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REAJUSTE\Permissionárias de Distribuição\2022\04- ABRIL\1-Ceral Araruama - Michelle\Estrutura\"/>
    </mc:Choice>
  </mc:AlternateContent>
  <xr:revisionPtr revIDLastSave="0" documentId="13_ncr:1_{19871121-C92C-4359-9A08-1320A3902B4F}" xr6:coauthVersionLast="47" xr6:coauthVersionMax="47" xr10:uidLastSave="{00000000-0000-0000-0000-000000000000}"/>
  <bookViews>
    <workbookView xWindow="-108" yWindow="-108" windowWidth="23256" windowHeight="12576" tabRatio="980" firstSheet="17" activeTab="29" xr2:uid="{CBB4ACD4-FA5F-425F-8B6B-9016B85BF1A7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40" r:id="rId20"/>
    <sheet name="CONSISTENCIA" sheetId="33" r:id="rId21"/>
    <sheet name="TUSD" sheetId="35" r:id="rId22"/>
    <sheet name="TE" sheetId="36" r:id="rId23"/>
    <sheet name="RESUMO TUSD" sheetId="37" r:id="rId24"/>
    <sheet name="RESUMO TE" sheetId="38" r:id="rId25"/>
    <sheet name="Descontos" sheetId="20" r:id="rId26"/>
    <sheet name="ERD" sheetId="39" r:id="rId27"/>
    <sheet name="TA - Aplicação" sheetId="41" r:id="rId28"/>
    <sheet name="TA - BE" sheetId="42" r:id="rId29"/>
    <sheet name="TA - CVA" sheetId="43" r:id="rId30"/>
  </sheets>
  <definedNames>
    <definedName name="DadosExternos_1" localSheetId="27" hidden="1">'TA - Aplicação'!$B$3:$AQ$50</definedName>
    <definedName name="DadosExternos_1" localSheetId="28" hidden="1">'TA - BE'!$B$3:$AQ$50</definedName>
    <definedName name="DadosExternos_1" localSheetId="29" hidden="1">'TA - CVA'!$B$3:$AQ$50</definedName>
  </definedNames>
  <calcPr calcId="191029" iterate="1"/>
  <pivotCaches>
    <pivotCache cacheId="138" r:id="rId31"/>
    <pivotCache cacheId="139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40" l="1"/>
  <c r="V32" i="40"/>
  <c r="V31" i="40"/>
  <c r="V30" i="40"/>
  <c r="V29" i="40"/>
  <c r="V28" i="40"/>
  <c r="V27" i="40"/>
  <c r="V26" i="40"/>
  <c r="V21" i="40"/>
  <c r="V16" i="40"/>
  <c r="V25" i="40"/>
  <c r="V20" i="40"/>
  <c r="V15" i="40"/>
  <c r="V24" i="40"/>
  <c r="V23" i="40"/>
  <c r="V22" i="40"/>
  <c r="V19" i="40"/>
  <c r="V18" i="40"/>
  <c r="V17" i="40"/>
  <c r="V14" i="40"/>
  <c r="V13" i="40"/>
  <c r="V12" i="40"/>
  <c r="V11" i="40"/>
  <c r="V9" i="40"/>
  <c r="V10" i="40"/>
  <c r="V8" i="40"/>
  <c r="V7" i="40"/>
  <c r="V6" i="40"/>
  <c r="V5" i="40"/>
  <c r="J11" i="40"/>
  <c r="J10" i="40"/>
  <c r="J6" i="40"/>
  <c r="J5" i="40"/>
  <c r="I3" i="39"/>
  <c r="I2" i="39" s="1"/>
  <c r="B2" i="39"/>
  <c r="C2" i="39"/>
  <c r="D2" i="39"/>
  <c r="E2" i="39"/>
  <c r="F2" i="39"/>
  <c r="G2" i="39"/>
  <c r="H2" i="39"/>
  <c r="J2" i="39"/>
  <c r="K2" i="39"/>
  <c r="L2" i="39"/>
  <c r="B11" i="39"/>
  <c r="K5" i="38" l="1"/>
  <c r="J5" i="38"/>
  <c r="I5" i="38"/>
  <c r="H5" i="38"/>
  <c r="G5" i="38"/>
  <c r="F5" i="38"/>
  <c r="E5" i="38"/>
  <c r="D5" i="38"/>
  <c r="C5" i="38"/>
  <c r="B5" i="38"/>
  <c r="I2" i="38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5" i="37"/>
  <c r="I2" i="37"/>
  <c r="AE13" i="33"/>
  <c r="AD13" i="33"/>
  <c r="AC13" i="33"/>
  <c r="AB13" i="33"/>
  <c r="AA13" i="33"/>
  <c r="W13" i="33"/>
  <c r="V13" i="33"/>
  <c r="U13" i="33"/>
  <c r="AI13" i="33" s="1"/>
  <c r="T13" i="33"/>
  <c r="S13" i="33"/>
  <c r="Y13" i="33" s="1"/>
  <c r="AG13" i="33" s="1"/>
  <c r="R13" i="33"/>
  <c r="AE12" i="33"/>
  <c r="AD12" i="33"/>
  <c r="AE8" i="33"/>
  <c r="AD8" i="33"/>
  <c r="AC8" i="33"/>
  <c r="AB8" i="33"/>
  <c r="AA8" i="33"/>
  <c r="W8" i="33"/>
  <c r="AJ8" i="33" s="1"/>
  <c r="V8" i="33"/>
  <c r="U8" i="33"/>
  <c r="AI8" i="33" s="1"/>
  <c r="T8" i="33"/>
  <c r="S8" i="33"/>
  <c r="Y8" i="33" s="1"/>
  <c r="R8" i="33"/>
  <c r="X8" i="33" s="1"/>
  <c r="AF8" i="33" s="1"/>
  <c r="AE6" i="33"/>
  <c r="AD6" i="33"/>
  <c r="AC6" i="33"/>
  <c r="AB6" i="33"/>
  <c r="AA6" i="33"/>
  <c r="W6" i="33"/>
  <c r="V6" i="33"/>
  <c r="U6" i="33"/>
  <c r="T6" i="33"/>
  <c r="S6" i="33"/>
  <c r="R6" i="33"/>
  <c r="AE5" i="33"/>
  <c r="AD5" i="33"/>
  <c r="AC5" i="33"/>
  <c r="AB5" i="33"/>
  <c r="AA5" i="33"/>
  <c r="W5" i="33"/>
  <c r="V5" i="33"/>
  <c r="U5" i="33"/>
  <c r="AI5" i="33" s="1"/>
  <c r="T5" i="33"/>
  <c r="S5" i="33"/>
  <c r="Y5" i="33" s="1"/>
  <c r="R5" i="33"/>
  <c r="AE4" i="33"/>
  <c r="AD4" i="33"/>
  <c r="AC4" i="33"/>
  <c r="AB4" i="33"/>
  <c r="AA4" i="33"/>
  <c r="W4" i="33"/>
  <c r="V4" i="33"/>
  <c r="U4" i="33"/>
  <c r="AI4" i="33" s="1"/>
  <c r="T4" i="33"/>
  <c r="S4" i="33"/>
  <c r="R4" i="33"/>
  <c r="AE3" i="33"/>
  <c r="AD3" i="33"/>
  <c r="AC3" i="33"/>
  <c r="AB3" i="33"/>
  <c r="AA3" i="33"/>
  <c r="W3" i="33"/>
  <c r="V3" i="33"/>
  <c r="U3" i="33"/>
  <c r="AI3" i="33" s="1"/>
  <c r="T3" i="33"/>
  <c r="S3" i="33"/>
  <c r="Y3" i="33" s="1"/>
  <c r="AG3" i="33" s="1"/>
  <c r="R3" i="33"/>
  <c r="X3" i="33" s="1"/>
  <c r="J463" i="33"/>
  <c r="J462" i="33"/>
  <c r="J461" i="33"/>
  <c r="J460" i="33"/>
  <c r="J459" i="33"/>
  <c r="J458" i="33"/>
  <c r="J457" i="33"/>
  <c r="J456" i="33"/>
  <c r="J455" i="33"/>
  <c r="J454" i="33"/>
  <c r="J453" i="33"/>
  <c r="J452" i="33"/>
  <c r="J181" i="33"/>
  <c r="M181" i="33" s="1"/>
  <c r="J180" i="33"/>
  <c r="J179" i="33"/>
  <c r="M179" i="33" s="1"/>
  <c r="J178" i="33"/>
  <c r="J177" i="33"/>
  <c r="J176" i="33"/>
  <c r="J175" i="33"/>
  <c r="J174" i="33"/>
  <c r="J173" i="33"/>
  <c r="M173" i="33" s="1"/>
  <c r="J172" i="33"/>
  <c r="J171" i="33"/>
  <c r="M171" i="33" s="1"/>
  <c r="J170" i="33"/>
  <c r="L169" i="33"/>
  <c r="K169" i="33"/>
  <c r="L168" i="33"/>
  <c r="K168" i="33"/>
  <c r="L167" i="33"/>
  <c r="O167" i="33" s="1"/>
  <c r="K167" i="33"/>
  <c r="L166" i="33"/>
  <c r="O166" i="33" s="1"/>
  <c r="K166" i="33"/>
  <c r="L165" i="33"/>
  <c r="K165" i="33"/>
  <c r="L164" i="33"/>
  <c r="K164" i="33"/>
  <c r="L163" i="33"/>
  <c r="O163" i="33" s="1"/>
  <c r="K163" i="33"/>
  <c r="L162" i="33"/>
  <c r="O162" i="33" s="1"/>
  <c r="K162" i="33"/>
  <c r="L161" i="33"/>
  <c r="K161" i="33"/>
  <c r="L160" i="33"/>
  <c r="K160" i="33"/>
  <c r="L159" i="33"/>
  <c r="O159" i="33" s="1"/>
  <c r="K159" i="33"/>
  <c r="L158" i="33"/>
  <c r="O158" i="33" s="1"/>
  <c r="K158" i="33"/>
  <c r="J157" i="33"/>
  <c r="J156" i="33"/>
  <c r="J155" i="33"/>
  <c r="J154" i="33"/>
  <c r="J153" i="33"/>
  <c r="M153" i="33" s="1"/>
  <c r="J152" i="33"/>
  <c r="J151" i="33"/>
  <c r="M151" i="33" s="1"/>
  <c r="J150" i="33"/>
  <c r="J149" i="33"/>
  <c r="J148" i="33"/>
  <c r="J147" i="33"/>
  <c r="J146" i="33"/>
  <c r="J145" i="33"/>
  <c r="M145" i="33" s="1"/>
  <c r="J144" i="33"/>
  <c r="J143" i="33"/>
  <c r="M143" i="33" s="1"/>
  <c r="J142" i="33"/>
  <c r="J141" i="33"/>
  <c r="J140" i="33"/>
  <c r="J139" i="33"/>
  <c r="J138" i="33"/>
  <c r="J137" i="33"/>
  <c r="M137" i="33" s="1"/>
  <c r="J136" i="33"/>
  <c r="J135" i="33"/>
  <c r="M135" i="33" s="1"/>
  <c r="J134" i="33"/>
  <c r="L133" i="33"/>
  <c r="K133" i="33"/>
  <c r="L132" i="33"/>
  <c r="K132" i="33"/>
  <c r="L131" i="33"/>
  <c r="O131" i="33" s="1"/>
  <c r="K131" i="33"/>
  <c r="L130" i="33"/>
  <c r="O130" i="33" s="1"/>
  <c r="K130" i="33"/>
  <c r="L129" i="33"/>
  <c r="K129" i="33"/>
  <c r="L128" i="33"/>
  <c r="K128" i="33"/>
  <c r="L127" i="33"/>
  <c r="O127" i="33" s="1"/>
  <c r="K127" i="33"/>
  <c r="L126" i="33"/>
  <c r="O126" i="33" s="1"/>
  <c r="K126" i="33"/>
  <c r="L125" i="33"/>
  <c r="K125" i="33"/>
  <c r="L124" i="33"/>
  <c r="K124" i="33"/>
  <c r="L123" i="33"/>
  <c r="O123" i="33" s="1"/>
  <c r="K123" i="33"/>
  <c r="L122" i="33"/>
  <c r="O122" i="33" s="1"/>
  <c r="K122" i="33"/>
  <c r="J121" i="33"/>
  <c r="J120" i="33"/>
  <c r="J119" i="33"/>
  <c r="J118" i="33"/>
  <c r="J117" i="33"/>
  <c r="M117" i="33" s="1"/>
  <c r="J116" i="33"/>
  <c r="J115" i="33"/>
  <c r="M115" i="33" s="1"/>
  <c r="J114" i="33"/>
  <c r="J113" i="33"/>
  <c r="J112" i="33"/>
  <c r="J111" i="33"/>
  <c r="J110" i="33"/>
  <c r="J109" i="33"/>
  <c r="M109" i="33" s="1"/>
  <c r="J108" i="33"/>
  <c r="J107" i="33"/>
  <c r="M107" i="33" s="1"/>
  <c r="J106" i="33"/>
  <c r="J105" i="33"/>
  <c r="J104" i="33"/>
  <c r="J103" i="33"/>
  <c r="J102" i="33"/>
  <c r="J101" i="33"/>
  <c r="M101" i="33" s="1"/>
  <c r="J100" i="33"/>
  <c r="J99" i="33"/>
  <c r="M99" i="33" s="1"/>
  <c r="J98" i="33"/>
  <c r="M475" i="33"/>
  <c r="J475" i="33"/>
  <c r="M474" i="33"/>
  <c r="J474" i="33"/>
  <c r="M473" i="33"/>
  <c r="J473" i="33"/>
  <c r="M472" i="33"/>
  <c r="J472" i="33"/>
  <c r="M471" i="33"/>
  <c r="J471" i="33"/>
  <c r="M470" i="33"/>
  <c r="J470" i="33"/>
  <c r="M469" i="33"/>
  <c r="J469" i="33"/>
  <c r="M468" i="33"/>
  <c r="J468" i="33"/>
  <c r="M467" i="33"/>
  <c r="J467" i="33"/>
  <c r="M466" i="33"/>
  <c r="J466" i="33"/>
  <c r="M465" i="33"/>
  <c r="J465" i="33"/>
  <c r="M464" i="33"/>
  <c r="J464" i="33"/>
  <c r="M463" i="33"/>
  <c r="M462" i="33"/>
  <c r="M461" i="33"/>
  <c r="M460" i="33"/>
  <c r="M459" i="33"/>
  <c r="M458" i="33"/>
  <c r="M457" i="33"/>
  <c r="M456" i="33"/>
  <c r="M455" i="33"/>
  <c r="M454" i="33"/>
  <c r="M453" i="33"/>
  <c r="M452" i="33"/>
  <c r="M451" i="33"/>
  <c r="J451" i="33"/>
  <c r="M450" i="33"/>
  <c r="J450" i="33"/>
  <c r="M449" i="33"/>
  <c r="J449" i="33"/>
  <c r="J448" i="33"/>
  <c r="M448" i="33" s="1"/>
  <c r="J447" i="33"/>
  <c r="M447" i="33" s="1"/>
  <c r="J446" i="33"/>
  <c r="M446" i="33" s="1"/>
  <c r="M445" i="33"/>
  <c r="J445" i="33"/>
  <c r="J444" i="33"/>
  <c r="M444" i="33" s="1"/>
  <c r="J443" i="33"/>
  <c r="M443" i="33" s="1"/>
  <c r="J442" i="33"/>
  <c r="M442" i="33" s="1"/>
  <c r="J441" i="33"/>
  <c r="M441" i="33" s="1"/>
  <c r="J440" i="33"/>
  <c r="M440" i="33" s="1"/>
  <c r="M439" i="33"/>
  <c r="J439" i="33"/>
  <c r="J438" i="33"/>
  <c r="M438" i="33" s="1"/>
  <c r="J437" i="33"/>
  <c r="M437" i="33" s="1"/>
  <c r="J436" i="33"/>
  <c r="M436" i="33" s="1"/>
  <c r="M435" i="33"/>
  <c r="J435" i="33"/>
  <c r="J434" i="33"/>
  <c r="M434" i="33" s="1"/>
  <c r="M433" i="33"/>
  <c r="J433" i="33"/>
  <c r="J432" i="33"/>
  <c r="M432" i="33" s="1"/>
  <c r="M431" i="33"/>
  <c r="J431" i="33"/>
  <c r="J430" i="33"/>
  <c r="M430" i="33" s="1"/>
  <c r="J429" i="33"/>
  <c r="M429" i="33" s="1"/>
  <c r="J428" i="33"/>
  <c r="M428" i="33" s="1"/>
  <c r="M427" i="33"/>
  <c r="J427" i="33"/>
  <c r="J426" i="33"/>
  <c r="M426" i="33" s="1"/>
  <c r="J425" i="33"/>
  <c r="M425" i="33" s="1"/>
  <c r="J424" i="33"/>
  <c r="M424" i="33" s="1"/>
  <c r="M423" i="33"/>
  <c r="J423" i="33"/>
  <c r="J422" i="33"/>
  <c r="M422" i="33" s="1"/>
  <c r="J421" i="33"/>
  <c r="M421" i="33" s="1"/>
  <c r="J420" i="33"/>
  <c r="M420" i="33" s="1"/>
  <c r="M419" i="33"/>
  <c r="J419" i="33"/>
  <c r="J418" i="33"/>
  <c r="M418" i="33" s="1"/>
  <c r="M417" i="33"/>
  <c r="J417" i="33"/>
  <c r="J416" i="33"/>
  <c r="M416" i="33" s="1"/>
  <c r="M415" i="33"/>
  <c r="J415" i="33"/>
  <c r="J414" i="33"/>
  <c r="M414" i="33" s="1"/>
  <c r="J413" i="33"/>
  <c r="M413" i="33" s="1"/>
  <c r="J412" i="33"/>
  <c r="M412" i="33" s="1"/>
  <c r="M411" i="33"/>
  <c r="J411" i="33"/>
  <c r="J410" i="33"/>
  <c r="M410" i="33" s="1"/>
  <c r="J409" i="33"/>
  <c r="M409" i="33" s="1"/>
  <c r="J408" i="33"/>
  <c r="M408" i="33" s="1"/>
  <c r="M407" i="33"/>
  <c r="J407" i="33"/>
  <c r="J406" i="33"/>
  <c r="M406" i="33" s="1"/>
  <c r="J405" i="33"/>
  <c r="M405" i="33" s="1"/>
  <c r="J404" i="33"/>
  <c r="M404" i="33" s="1"/>
  <c r="M403" i="33"/>
  <c r="J403" i="33"/>
  <c r="J402" i="33"/>
  <c r="M402" i="33" s="1"/>
  <c r="M401" i="33"/>
  <c r="J401" i="33"/>
  <c r="J400" i="33"/>
  <c r="M400" i="33" s="1"/>
  <c r="M399" i="33"/>
  <c r="J399" i="33"/>
  <c r="J398" i="33"/>
  <c r="M398" i="33" s="1"/>
  <c r="J397" i="33"/>
  <c r="M397" i="33" s="1"/>
  <c r="J396" i="33"/>
  <c r="M396" i="33" s="1"/>
  <c r="M395" i="33"/>
  <c r="J395" i="33"/>
  <c r="J394" i="33"/>
  <c r="M394" i="33" s="1"/>
  <c r="J393" i="33"/>
  <c r="M393" i="33" s="1"/>
  <c r="J392" i="33"/>
  <c r="M392" i="33" s="1"/>
  <c r="M391" i="33"/>
  <c r="J391" i="33"/>
  <c r="J390" i="33"/>
  <c r="M390" i="33" s="1"/>
  <c r="J389" i="33"/>
  <c r="M389" i="33" s="1"/>
  <c r="J388" i="33"/>
  <c r="M388" i="33" s="1"/>
  <c r="M387" i="33"/>
  <c r="J387" i="33"/>
  <c r="J386" i="33"/>
  <c r="M386" i="33" s="1"/>
  <c r="M385" i="33"/>
  <c r="J385" i="33"/>
  <c r="J384" i="33"/>
  <c r="M384" i="33" s="1"/>
  <c r="M383" i="33"/>
  <c r="J383" i="33"/>
  <c r="J382" i="33"/>
  <c r="M382" i="33" s="1"/>
  <c r="J381" i="33"/>
  <c r="M381" i="33" s="1"/>
  <c r="J380" i="33"/>
  <c r="M380" i="33" s="1"/>
  <c r="M379" i="33"/>
  <c r="J379" i="33"/>
  <c r="J378" i="33"/>
  <c r="M378" i="33" s="1"/>
  <c r="J377" i="33"/>
  <c r="M377" i="33" s="1"/>
  <c r="J376" i="33"/>
  <c r="M376" i="33" s="1"/>
  <c r="M375" i="33"/>
  <c r="J375" i="33"/>
  <c r="J374" i="33"/>
  <c r="M374" i="33" s="1"/>
  <c r="J373" i="33"/>
  <c r="M373" i="33" s="1"/>
  <c r="J372" i="33"/>
  <c r="M372" i="33" s="1"/>
  <c r="M371" i="33"/>
  <c r="J371" i="33"/>
  <c r="J370" i="33"/>
  <c r="M370" i="33" s="1"/>
  <c r="M369" i="33"/>
  <c r="J369" i="33"/>
  <c r="J368" i="33"/>
  <c r="M368" i="33" s="1"/>
  <c r="M367" i="33"/>
  <c r="J367" i="33"/>
  <c r="J366" i="33"/>
  <c r="M366" i="33" s="1"/>
  <c r="J365" i="33"/>
  <c r="M365" i="33" s="1"/>
  <c r="J364" i="33"/>
  <c r="M364" i="33" s="1"/>
  <c r="M363" i="33"/>
  <c r="J363" i="33"/>
  <c r="J362" i="33"/>
  <c r="M362" i="33" s="1"/>
  <c r="J361" i="33"/>
  <c r="M361" i="33" s="1"/>
  <c r="J360" i="33"/>
  <c r="M360" i="33" s="1"/>
  <c r="M359" i="33"/>
  <c r="J359" i="33"/>
  <c r="J358" i="33"/>
  <c r="M358" i="33" s="1"/>
  <c r="J357" i="33"/>
  <c r="M357" i="33" s="1"/>
  <c r="J356" i="33"/>
  <c r="M356" i="33" s="1"/>
  <c r="M355" i="33"/>
  <c r="J355" i="33"/>
  <c r="J354" i="33"/>
  <c r="M354" i="33" s="1"/>
  <c r="M353" i="33"/>
  <c r="J353" i="33"/>
  <c r="J352" i="33"/>
  <c r="M352" i="33" s="1"/>
  <c r="M351" i="33"/>
  <c r="J351" i="33"/>
  <c r="J350" i="33"/>
  <c r="M350" i="33" s="1"/>
  <c r="J349" i="33"/>
  <c r="M349" i="33" s="1"/>
  <c r="J348" i="33"/>
  <c r="M348" i="33" s="1"/>
  <c r="M347" i="33"/>
  <c r="J347" i="33"/>
  <c r="J346" i="33"/>
  <c r="M346" i="33" s="1"/>
  <c r="J345" i="33"/>
  <c r="M345" i="33" s="1"/>
  <c r="J344" i="33"/>
  <c r="M344" i="33" s="1"/>
  <c r="J343" i="33"/>
  <c r="M343" i="33" s="1"/>
  <c r="J342" i="33"/>
  <c r="M342" i="33" s="1"/>
  <c r="M341" i="33"/>
  <c r="J341" i="33"/>
  <c r="M340" i="33"/>
  <c r="J340" i="33"/>
  <c r="M339" i="33"/>
  <c r="J339" i="33"/>
  <c r="M338" i="33"/>
  <c r="J338" i="33"/>
  <c r="M337" i="33"/>
  <c r="J337" i="33"/>
  <c r="M336" i="33"/>
  <c r="J336" i="33"/>
  <c r="M335" i="33"/>
  <c r="J335" i="33"/>
  <c r="M334" i="33"/>
  <c r="J334" i="33"/>
  <c r="M333" i="33"/>
  <c r="J333" i="33"/>
  <c r="M332" i="33"/>
  <c r="J332" i="33"/>
  <c r="M331" i="33"/>
  <c r="J331" i="33"/>
  <c r="M330" i="33"/>
  <c r="J330" i="33"/>
  <c r="M329" i="33"/>
  <c r="J329" i="33"/>
  <c r="M328" i="33"/>
  <c r="J328" i="33"/>
  <c r="M327" i="33"/>
  <c r="J327" i="33"/>
  <c r="M326" i="33"/>
  <c r="J326" i="33"/>
  <c r="M325" i="33"/>
  <c r="J325" i="33"/>
  <c r="M324" i="33"/>
  <c r="J324" i="33"/>
  <c r="M323" i="33"/>
  <c r="J323" i="33"/>
  <c r="M322" i="33"/>
  <c r="J322" i="33"/>
  <c r="M321" i="33"/>
  <c r="J321" i="33"/>
  <c r="M320" i="33"/>
  <c r="J320" i="33"/>
  <c r="M319" i="33"/>
  <c r="J319" i="33"/>
  <c r="M318" i="33"/>
  <c r="J318" i="33"/>
  <c r="M317" i="33"/>
  <c r="J317" i="33"/>
  <c r="M316" i="33"/>
  <c r="J316" i="33"/>
  <c r="M315" i="33"/>
  <c r="J315" i="33"/>
  <c r="M314" i="33"/>
  <c r="J314" i="33"/>
  <c r="M313" i="33"/>
  <c r="J313" i="33"/>
  <c r="M312" i="33"/>
  <c r="J312" i="33"/>
  <c r="M311" i="33"/>
  <c r="J311" i="33"/>
  <c r="M310" i="33"/>
  <c r="J310" i="33"/>
  <c r="M309" i="33"/>
  <c r="J309" i="33"/>
  <c r="M308" i="33"/>
  <c r="J308" i="33"/>
  <c r="M307" i="33"/>
  <c r="J307" i="33"/>
  <c r="M306" i="33"/>
  <c r="J306" i="33"/>
  <c r="M305" i="33"/>
  <c r="J305" i="33"/>
  <c r="M304" i="33"/>
  <c r="J304" i="33"/>
  <c r="M303" i="33"/>
  <c r="J303" i="33"/>
  <c r="M302" i="33"/>
  <c r="J302" i="33"/>
  <c r="M301" i="33"/>
  <c r="J301" i="33"/>
  <c r="M300" i="33"/>
  <c r="J300" i="33"/>
  <c r="M299" i="33"/>
  <c r="J299" i="33"/>
  <c r="M298" i="33"/>
  <c r="J298" i="33"/>
  <c r="M297" i="33"/>
  <c r="J297" i="33"/>
  <c r="M296" i="33"/>
  <c r="J296" i="33"/>
  <c r="M295" i="33"/>
  <c r="J295" i="33"/>
  <c r="M294" i="33"/>
  <c r="J294" i="33"/>
  <c r="M293" i="33"/>
  <c r="J293" i="33"/>
  <c r="M292" i="33"/>
  <c r="J292" i="33"/>
  <c r="M291" i="33"/>
  <c r="J291" i="33"/>
  <c r="M290" i="33"/>
  <c r="J290" i="33"/>
  <c r="M289" i="33"/>
  <c r="J289" i="33"/>
  <c r="M288" i="33"/>
  <c r="J288" i="33"/>
  <c r="M287" i="33"/>
  <c r="J287" i="33"/>
  <c r="M286" i="33"/>
  <c r="J286" i="33"/>
  <c r="M285" i="33"/>
  <c r="J285" i="33"/>
  <c r="J284" i="33"/>
  <c r="M284" i="33" s="1"/>
  <c r="J283" i="33"/>
  <c r="M283" i="33" s="1"/>
  <c r="J282" i="33"/>
  <c r="M282" i="33" s="1"/>
  <c r="M281" i="33"/>
  <c r="J281" i="33"/>
  <c r="J280" i="33"/>
  <c r="M280" i="33" s="1"/>
  <c r="M279" i="33"/>
  <c r="J279" i="33"/>
  <c r="M278" i="33"/>
  <c r="J278" i="33"/>
  <c r="M277" i="33"/>
  <c r="J277" i="33"/>
  <c r="M276" i="33"/>
  <c r="J276" i="33"/>
  <c r="M275" i="33"/>
  <c r="J275" i="33"/>
  <c r="J274" i="33"/>
  <c r="M274" i="33" s="1"/>
  <c r="J273" i="33"/>
  <c r="M273" i="33" s="1"/>
  <c r="M272" i="33"/>
  <c r="J272" i="33"/>
  <c r="J271" i="33"/>
  <c r="M271" i="33" s="1"/>
  <c r="J270" i="33"/>
  <c r="M270" i="33" s="1"/>
  <c r="M269" i="33"/>
  <c r="J269" i="33"/>
  <c r="M268" i="33"/>
  <c r="J268" i="33"/>
  <c r="M267" i="33"/>
  <c r="J267" i="33"/>
  <c r="J266" i="33"/>
  <c r="M266" i="33" s="1"/>
  <c r="J265" i="33"/>
  <c r="M265" i="33" s="1"/>
  <c r="J264" i="33"/>
  <c r="M264" i="33" s="1"/>
  <c r="M263" i="33"/>
  <c r="J263" i="33"/>
  <c r="J262" i="33"/>
  <c r="M262" i="33" s="1"/>
  <c r="M261" i="33"/>
  <c r="J261" i="33"/>
  <c r="M260" i="33"/>
  <c r="J260" i="33"/>
  <c r="M259" i="33"/>
  <c r="J259" i="33"/>
  <c r="J258" i="33"/>
  <c r="M258" i="33" s="1"/>
  <c r="J257" i="33"/>
  <c r="M257" i="33" s="1"/>
  <c r="J256" i="33"/>
  <c r="M256" i="33" s="1"/>
  <c r="J255" i="33"/>
  <c r="M255" i="33" s="1"/>
  <c r="J254" i="33"/>
  <c r="M254" i="33" s="1"/>
  <c r="M253" i="33"/>
  <c r="J253" i="33"/>
  <c r="M252" i="33"/>
  <c r="J252" i="33"/>
  <c r="M251" i="33"/>
  <c r="J251" i="33"/>
  <c r="J250" i="33"/>
  <c r="M250" i="33" s="1"/>
  <c r="M249" i="33"/>
  <c r="J249" i="33"/>
  <c r="J248" i="33"/>
  <c r="M248" i="33" s="1"/>
  <c r="J247" i="33"/>
  <c r="M247" i="33" s="1"/>
  <c r="J246" i="33"/>
  <c r="M246" i="33" s="1"/>
  <c r="M245" i="33"/>
  <c r="J245" i="33"/>
  <c r="M244" i="33"/>
  <c r="J244" i="33"/>
  <c r="M243" i="33"/>
  <c r="J243" i="33"/>
  <c r="J242" i="33"/>
  <c r="M242" i="33" s="1"/>
  <c r="J241" i="33"/>
  <c r="M241" i="33" s="1"/>
  <c r="M240" i="33"/>
  <c r="J240" i="33"/>
  <c r="J239" i="33"/>
  <c r="M239" i="33" s="1"/>
  <c r="J238" i="33"/>
  <c r="M238" i="33" s="1"/>
  <c r="M237" i="33"/>
  <c r="J237" i="33"/>
  <c r="M236" i="33"/>
  <c r="J236" i="33"/>
  <c r="M235" i="33"/>
  <c r="J235" i="33"/>
  <c r="M234" i="33"/>
  <c r="J234" i="33"/>
  <c r="J233" i="33"/>
  <c r="M233" i="33" s="1"/>
  <c r="J232" i="33"/>
  <c r="M232" i="33" s="1"/>
  <c r="M231" i="33"/>
  <c r="J231" i="33"/>
  <c r="J230" i="33"/>
  <c r="M230" i="33" s="1"/>
  <c r="J229" i="33"/>
  <c r="M229" i="33" s="1"/>
  <c r="J228" i="33"/>
  <c r="M228" i="33" s="1"/>
  <c r="J227" i="33"/>
  <c r="M227" i="33" s="1"/>
  <c r="J226" i="33"/>
  <c r="M226" i="33" s="1"/>
  <c r="M225" i="33"/>
  <c r="J225" i="33"/>
  <c r="J224" i="33"/>
  <c r="M224" i="33" s="1"/>
  <c r="J223" i="33"/>
  <c r="M223" i="33" s="1"/>
  <c r="J222" i="33"/>
  <c r="M222" i="33" s="1"/>
  <c r="J221" i="33"/>
  <c r="M221" i="33" s="1"/>
  <c r="M220" i="33"/>
  <c r="J220" i="33"/>
  <c r="J219" i="33"/>
  <c r="M219" i="33" s="1"/>
  <c r="J218" i="33"/>
  <c r="M218" i="33" s="1"/>
  <c r="J217" i="33"/>
  <c r="M217" i="33" s="1"/>
  <c r="M216" i="33"/>
  <c r="J216" i="33"/>
  <c r="J215" i="33"/>
  <c r="M215" i="33" s="1"/>
  <c r="M214" i="33"/>
  <c r="J214" i="33"/>
  <c r="J213" i="33"/>
  <c r="M213" i="33" s="1"/>
  <c r="M212" i="33"/>
  <c r="J212" i="33"/>
  <c r="J211" i="33"/>
  <c r="M211" i="33" s="1"/>
  <c r="J210" i="33"/>
  <c r="M210" i="33" s="1"/>
  <c r="J209" i="33"/>
  <c r="M209" i="33" s="1"/>
  <c r="M208" i="33"/>
  <c r="J208" i="33"/>
  <c r="J207" i="33"/>
  <c r="M207" i="33" s="1"/>
  <c r="J206" i="33"/>
  <c r="M206" i="33" s="1"/>
  <c r="J205" i="33"/>
  <c r="M205" i="33" s="1"/>
  <c r="M204" i="33"/>
  <c r="J204" i="33"/>
  <c r="J203" i="33"/>
  <c r="M203" i="33" s="1"/>
  <c r="J202" i="33"/>
  <c r="M202" i="33" s="1"/>
  <c r="J201" i="33"/>
  <c r="M201" i="33" s="1"/>
  <c r="M200" i="33"/>
  <c r="J200" i="33"/>
  <c r="J199" i="33"/>
  <c r="M199" i="33" s="1"/>
  <c r="M198" i="33"/>
  <c r="J198" i="33"/>
  <c r="J197" i="33"/>
  <c r="M197" i="33" s="1"/>
  <c r="M196" i="33"/>
  <c r="J196" i="33"/>
  <c r="J195" i="33"/>
  <c r="M195" i="33" s="1"/>
  <c r="J194" i="33"/>
  <c r="M194" i="33" s="1"/>
  <c r="J193" i="33"/>
  <c r="M193" i="33" s="1"/>
  <c r="M192" i="33"/>
  <c r="J192" i="33"/>
  <c r="J191" i="33"/>
  <c r="M191" i="33" s="1"/>
  <c r="J190" i="33"/>
  <c r="M190" i="33" s="1"/>
  <c r="J189" i="33"/>
  <c r="M189" i="33" s="1"/>
  <c r="M188" i="33"/>
  <c r="J188" i="33"/>
  <c r="J187" i="33"/>
  <c r="M187" i="33" s="1"/>
  <c r="J186" i="33"/>
  <c r="M186" i="33" s="1"/>
  <c r="J185" i="33"/>
  <c r="M185" i="33" s="1"/>
  <c r="M184" i="33"/>
  <c r="J184" i="33"/>
  <c r="J183" i="33"/>
  <c r="M183" i="33" s="1"/>
  <c r="M182" i="33"/>
  <c r="J182" i="33"/>
  <c r="M180" i="33"/>
  <c r="M178" i="33"/>
  <c r="M177" i="33"/>
  <c r="M176" i="33"/>
  <c r="M175" i="33"/>
  <c r="M174" i="33"/>
  <c r="M172" i="33"/>
  <c r="M170" i="33"/>
  <c r="O169" i="33"/>
  <c r="N169" i="33"/>
  <c r="O168" i="33"/>
  <c r="N168" i="33"/>
  <c r="N167" i="33"/>
  <c r="N166" i="33"/>
  <c r="O165" i="33"/>
  <c r="N165" i="33"/>
  <c r="O164" i="33"/>
  <c r="N164" i="33"/>
  <c r="N163" i="33"/>
  <c r="N162" i="33"/>
  <c r="O161" i="33"/>
  <c r="N161" i="33"/>
  <c r="O160" i="33"/>
  <c r="N160" i="33"/>
  <c r="N159" i="33"/>
  <c r="N158" i="33"/>
  <c r="M157" i="33"/>
  <c r="M156" i="33"/>
  <c r="M155" i="33"/>
  <c r="M154" i="33"/>
  <c r="M152" i="33"/>
  <c r="M150" i="33"/>
  <c r="M149" i="33"/>
  <c r="M148" i="33"/>
  <c r="M147" i="33"/>
  <c r="M146" i="33"/>
  <c r="M144" i="33"/>
  <c r="M142" i="33"/>
  <c r="M141" i="33"/>
  <c r="M140" i="33"/>
  <c r="M139" i="33"/>
  <c r="M138" i="33"/>
  <c r="M136" i="33"/>
  <c r="M134" i="33"/>
  <c r="O133" i="33"/>
  <c r="N133" i="33"/>
  <c r="O132" i="33"/>
  <c r="N132" i="33"/>
  <c r="N131" i="33"/>
  <c r="N130" i="33"/>
  <c r="O129" i="33"/>
  <c r="N129" i="33"/>
  <c r="O128" i="33"/>
  <c r="N128" i="33"/>
  <c r="N127" i="33"/>
  <c r="N126" i="33"/>
  <c r="O125" i="33"/>
  <c r="N125" i="33"/>
  <c r="O124" i="33"/>
  <c r="N124" i="33"/>
  <c r="N123" i="33"/>
  <c r="N122" i="33"/>
  <c r="M121" i="33"/>
  <c r="M120" i="33"/>
  <c r="M119" i="33"/>
  <c r="M118" i="33"/>
  <c r="M116" i="33"/>
  <c r="M114" i="33"/>
  <c r="M113" i="33"/>
  <c r="M112" i="33"/>
  <c r="M111" i="33"/>
  <c r="M110" i="33"/>
  <c r="M108" i="33"/>
  <c r="M106" i="33"/>
  <c r="M105" i="33"/>
  <c r="M104" i="33"/>
  <c r="M103" i="33"/>
  <c r="M102" i="33"/>
  <c r="M100" i="33"/>
  <c r="M98" i="33"/>
  <c r="J97" i="33"/>
  <c r="M97" i="33" s="1"/>
  <c r="M96" i="33"/>
  <c r="J96" i="33"/>
  <c r="J95" i="33"/>
  <c r="M95" i="33" s="1"/>
  <c r="J94" i="33"/>
  <c r="M94" i="33" s="1"/>
  <c r="J93" i="33"/>
  <c r="M93" i="33" s="1"/>
  <c r="M92" i="33"/>
  <c r="J92" i="33"/>
  <c r="J91" i="33"/>
  <c r="M91" i="33" s="1"/>
  <c r="M90" i="33"/>
  <c r="J90" i="33"/>
  <c r="J89" i="33"/>
  <c r="M89" i="33" s="1"/>
  <c r="M88" i="33"/>
  <c r="J88" i="33"/>
  <c r="J87" i="33"/>
  <c r="M87" i="33" s="1"/>
  <c r="J86" i="33"/>
  <c r="M86" i="33" s="1"/>
  <c r="O85" i="33"/>
  <c r="L85" i="33"/>
  <c r="K85" i="33"/>
  <c r="N85" i="33" s="1"/>
  <c r="L84" i="33"/>
  <c r="O84" i="33" s="1"/>
  <c r="K84" i="33"/>
  <c r="N84" i="33" s="1"/>
  <c r="L83" i="33"/>
  <c r="O83" i="33" s="1"/>
  <c r="K83" i="33"/>
  <c r="N83" i="33" s="1"/>
  <c r="N82" i="33"/>
  <c r="L82" i="33"/>
  <c r="O82" i="33" s="1"/>
  <c r="K82" i="33"/>
  <c r="L81" i="33"/>
  <c r="O81" i="33" s="1"/>
  <c r="K81" i="33"/>
  <c r="N81" i="33" s="1"/>
  <c r="N80" i="33"/>
  <c r="L80" i="33"/>
  <c r="O80" i="33" s="1"/>
  <c r="K80" i="33"/>
  <c r="L79" i="33"/>
  <c r="O79" i="33" s="1"/>
  <c r="K79" i="33"/>
  <c r="N79" i="33" s="1"/>
  <c r="L78" i="33"/>
  <c r="O78" i="33" s="1"/>
  <c r="K78" i="33"/>
  <c r="N78" i="33" s="1"/>
  <c r="O77" i="33"/>
  <c r="L77" i="33"/>
  <c r="K77" i="33"/>
  <c r="N77" i="33" s="1"/>
  <c r="L76" i="33"/>
  <c r="O76" i="33" s="1"/>
  <c r="K76" i="33"/>
  <c r="N76" i="33" s="1"/>
  <c r="L75" i="33"/>
  <c r="O75" i="33" s="1"/>
  <c r="K75" i="33"/>
  <c r="N75" i="33" s="1"/>
  <c r="N74" i="33"/>
  <c r="L74" i="33"/>
  <c r="O74" i="33" s="1"/>
  <c r="K74" i="33"/>
  <c r="J73" i="33"/>
  <c r="M73" i="33" s="1"/>
  <c r="M72" i="33"/>
  <c r="J72" i="33"/>
  <c r="J71" i="33"/>
  <c r="M71" i="33" s="1"/>
  <c r="M70" i="33"/>
  <c r="J70" i="33"/>
  <c r="J69" i="33"/>
  <c r="M69" i="33" s="1"/>
  <c r="M68" i="33"/>
  <c r="J68" i="33"/>
  <c r="J67" i="33"/>
  <c r="M67" i="33" s="1"/>
  <c r="J66" i="33"/>
  <c r="M66" i="33" s="1"/>
  <c r="J65" i="33"/>
  <c r="M65" i="33" s="1"/>
  <c r="M64" i="33"/>
  <c r="J64" i="33"/>
  <c r="J63" i="33"/>
  <c r="M63" i="33" s="1"/>
  <c r="J62" i="33"/>
  <c r="M62" i="33" s="1"/>
  <c r="J61" i="33"/>
  <c r="M61" i="33" s="1"/>
  <c r="M60" i="33"/>
  <c r="J60" i="33"/>
  <c r="J59" i="33"/>
  <c r="M59" i="33" s="1"/>
  <c r="J58" i="33"/>
  <c r="M58" i="33" s="1"/>
  <c r="J57" i="33"/>
  <c r="M57" i="33" s="1"/>
  <c r="M56" i="33"/>
  <c r="J56" i="33"/>
  <c r="J55" i="33"/>
  <c r="M55" i="33" s="1"/>
  <c r="M54" i="33"/>
  <c r="J54" i="33"/>
  <c r="J53" i="33"/>
  <c r="M53" i="33" s="1"/>
  <c r="M52" i="33"/>
  <c r="J52" i="33"/>
  <c r="J51" i="33"/>
  <c r="M51" i="33" s="1"/>
  <c r="J50" i="33"/>
  <c r="M50" i="33" s="1"/>
  <c r="O49" i="33"/>
  <c r="L49" i="33"/>
  <c r="K49" i="33"/>
  <c r="N49" i="33" s="1"/>
  <c r="L48" i="33"/>
  <c r="O48" i="33" s="1"/>
  <c r="K48" i="33"/>
  <c r="N48" i="33" s="1"/>
  <c r="L47" i="33"/>
  <c r="O47" i="33" s="1"/>
  <c r="K47" i="33"/>
  <c r="N47" i="33" s="1"/>
  <c r="N46" i="33"/>
  <c r="L46" i="33"/>
  <c r="O46" i="33" s="1"/>
  <c r="K46" i="33"/>
  <c r="L45" i="33"/>
  <c r="O45" i="33" s="1"/>
  <c r="K45" i="33"/>
  <c r="N45" i="33" s="1"/>
  <c r="N44" i="33"/>
  <c r="L44" i="33"/>
  <c r="O44" i="33" s="1"/>
  <c r="K44" i="33"/>
  <c r="O43" i="33"/>
  <c r="L43" i="33"/>
  <c r="K43" i="33"/>
  <c r="N43" i="33" s="1"/>
  <c r="L42" i="33"/>
  <c r="O42" i="33" s="1"/>
  <c r="K42" i="33"/>
  <c r="N42" i="33" s="1"/>
  <c r="O41" i="33"/>
  <c r="L41" i="33"/>
  <c r="K41" i="33"/>
  <c r="N41" i="33" s="1"/>
  <c r="L40" i="33"/>
  <c r="O40" i="33" s="1"/>
  <c r="K40" i="33"/>
  <c r="N40" i="33" s="1"/>
  <c r="O39" i="33"/>
  <c r="L39" i="33"/>
  <c r="K39" i="33"/>
  <c r="N39" i="33" s="1"/>
  <c r="L38" i="33"/>
  <c r="O38" i="33" s="1"/>
  <c r="K38" i="33"/>
  <c r="N38" i="33" s="1"/>
  <c r="J37" i="33"/>
  <c r="M37" i="33" s="1"/>
  <c r="M36" i="33"/>
  <c r="J36" i="33"/>
  <c r="J35" i="33"/>
  <c r="M35" i="33" s="1"/>
  <c r="J34" i="33"/>
  <c r="M34" i="33" s="1"/>
  <c r="J33" i="33"/>
  <c r="M33" i="33" s="1"/>
  <c r="M32" i="33"/>
  <c r="J32" i="33"/>
  <c r="J31" i="33"/>
  <c r="M31" i="33" s="1"/>
  <c r="M30" i="33"/>
  <c r="J30" i="33"/>
  <c r="J29" i="33"/>
  <c r="M29" i="33" s="1"/>
  <c r="M28" i="33"/>
  <c r="J28" i="33"/>
  <c r="J27" i="33"/>
  <c r="M27" i="33" s="1"/>
  <c r="J26" i="33"/>
  <c r="M26" i="33" s="1"/>
  <c r="P11" i="5"/>
  <c r="P10" i="5"/>
  <c r="P9" i="5"/>
  <c r="R11" i="5"/>
  <c r="F43" i="5"/>
  <c r="E43" i="5"/>
  <c r="D43" i="5"/>
  <c r="F26" i="5"/>
  <c r="E26" i="5"/>
  <c r="D26" i="5"/>
  <c r="F25" i="5"/>
  <c r="E25" i="5"/>
  <c r="D25" i="5"/>
  <c r="F24" i="5"/>
  <c r="E24" i="5"/>
  <c r="D24" i="5"/>
  <c r="D13" i="5"/>
  <c r="F38" i="5"/>
  <c r="F17" i="5"/>
  <c r="F16" i="5"/>
  <c r="F12" i="5"/>
  <c r="F11" i="5"/>
  <c r="M15" i="5"/>
  <c r="M7" i="5"/>
  <c r="D35" i="5" s="1"/>
  <c r="X463" i="16"/>
  <c r="W463" i="16"/>
  <c r="X462" i="16"/>
  <c r="W462" i="16"/>
  <c r="X461" i="16"/>
  <c r="W461" i="16"/>
  <c r="X460" i="16"/>
  <c r="W460" i="16"/>
  <c r="X459" i="16"/>
  <c r="W459" i="16"/>
  <c r="X458" i="16"/>
  <c r="W458" i="16"/>
  <c r="X457" i="16"/>
  <c r="W457" i="16"/>
  <c r="X456" i="16"/>
  <c r="W456" i="16"/>
  <c r="X455" i="16"/>
  <c r="W455" i="16"/>
  <c r="X454" i="16"/>
  <c r="W454" i="16"/>
  <c r="X453" i="16"/>
  <c r="W453" i="16"/>
  <c r="X452" i="16"/>
  <c r="W452" i="16"/>
  <c r="AD211" i="17"/>
  <c r="X211" i="17"/>
  <c r="W211" i="17"/>
  <c r="AC211" i="17" s="1"/>
  <c r="AD210" i="17"/>
  <c r="X210" i="17"/>
  <c r="W210" i="17"/>
  <c r="AC210" i="17" s="1"/>
  <c r="AD209" i="17"/>
  <c r="X209" i="17"/>
  <c r="W209" i="17"/>
  <c r="AC209" i="17" s="1"/>
  <c r="AD208" i="17"/>
  <c r="X208" i="17"/>
  <c r="W208" i="17"/>
  <c r="AC208" i="17" s="1"/>
  <c r="AD207" i="17"/>
  <c r="X207" i="17"/>
  <c r="W207" i="17"/>
  <c r="AC207" i="17" s="1"/>
  <c r="AD206" i="17"/>
  <c r="X206" i="17"/>
  <c r="W206" i="17"/>
  <c r="AC206" i="17" s="1"/>
  <c r="AD205" i="17"/>
  <c r="X205" i="17"/>
  <c r="W205" i="17"/>
  <c r="AC205" i="17" s="1"/>
  <c r="AD204" i="17"/>
  <c r="X204" i="17"/>
  <c r="W204" i="17"/>
  <c r="AC204" i="17" s="1"/>
  <c r="AD203" i="17"/>
  <c r="X203" i="17"/>
  <c r="W203" i="17"/>
  <c r="AC203" i="17" s="1"/>
  <c r="AD202" i="17"/>
  <c r="X202" i="17"/>
  <c r="W202" i="17"/>
  <c r="AC202" i="17" s="1"/>
  <c r="AD201" i="17"/>
  <c r="X201" i="17"/>
  <c r="W201" i="17"/>
  <c r="AC201" i="17" s="1"/>
  <c r="AD200" i="17"/>
  <c r="X200" i="17"/>
  <c r="W200" i="17"/>
  <c r="AC200" i="17" s="1"/>
  <c r="X181" i="16"/>
  <c r="W181" i="16"/>
  <c r="X180" i="16"/>
  <c r="W180" i="16"/>
  <c r="X179" i="16"/>
  <c r="W179" i="16"/>
  <c r="X178" i="16"/>
  <c r="W178" i="16"/>
  <c r="X177" i="16"/>
  <c r="W177" i="16"/>
  <c r="X176" i="16"/>
  <c r="W176" i="16"/>
  <c r="X175" i="16"/>
  <c r="W175" i="16"/>
  <c r="X174" i="16"/>
  <c r="W174" i="16"/>
  <c r="X173" i="16"/>
  <c r="W173" i="16"/>
  <c r="X172" i="16"/>
  <c r="W172" i="16"/>
  <c r="X171" i="16"/>
  <c r="W171" i="16"/>
  <c r="X170" i="16"/>
  <c r="W170" i="16"/>
  <c r="V169" i="16"/>
  <c r="V168" i="16"/>
  <c r="V167" i="16"/>
  <c r="V166" i="16"/>
  <c r="V165" i="16"/>
  <c r="V164" i="16"/>
  <c r="V163" i="16"/>
  <c r="V162" i="16"/>
  <c r="V161" i="16"/>
  <c r="V160" i="16"/>
  <c r="V159" i="16"/>
  <c r="V158" i="16"/>
  <c r="X157" i="16"/>
  <c r="W157" i="16"/>
  <c r="X156" i="16"/>
  <c r="W156" i="16"/>
  <c r="X155" i="16"/>
  <c r="W155" i="16"/>
  <c r="X154" i="16"/>
  <c r="W154" i="16"/>
  <c r="X153" i="16"/>
  <c r="W153" i="16"/>
  <c r="X152" i="16"/>
  <c r="W152" i="16"/>
  <c r="X151" i="16"/>
  <c r="W151" i="16"/>
  <c r="X150" i="16"/>
  <c r="W150" i="16"/>
  <c r="X149" i="16"/>
  <c r="W149" i="16"/>
  <c r="X148" i="16"/>
  <c r="W148" i="16"/>
  <c r="X147" i="16"/>
  <c r="W147" i="16"/>
  <c r="X146" i="16"/>
  <c r="W146" i="16"/>
  <c r="X145" i="16"/>
  <c r="W145" i="16"/>
  <c r="X144" i="16"/>
  <c r="W144" i="16"/>
  <c r="X143" i="16"/>
  <c r="W143" i="16"/>
  <c r="X142" i="16"/>
  <c r="W142" i="16"/>
  <c r="X141" i="16"/>
  <c r="W141" i="16"/>
  <c r="X140" i="16"/>
  <c r="W140" i="16"/>
  <c r="X139" i="16"/>
  <c r="W139" i="16"/>
  <c r="X138" i="16"/>
  <c r="W138" i="16"/>
  <c r="X137" i="16"/>
  <c r="W137" i="16"/>
  <c r="X136" i="16"/>
  <c r="W136" i="16"/>
  <c r="X135" i="16"/>
  <c r="W135" i="16"/>
  <c r="X134" i="16"/>
  <c r="W134" i="16"/>
  <c r="V133" i="16"/>
  <c r="V132" i="16"/>
  <c r="V131" i="16"/>
  <c r="V130" i="16"/>
  <c r="V129" i="16"/>
  <c r="V128" i="16"/>
  <c r="V127" i="16"/>
  <c r="V126" i="16"/>
  <c r="V125" i="16"/>
  <c r="V124" i="16"/>
  <c r="V123" i="16"/>
  <c r="V122" i="16"/>
  <c r="X121" i="16"/>
  <c r="W121" i="16"/>
  <c r="X120" i="16"/>
  <c r="W120" i="16"/>
  <c r="X119" i="16"/>
  <c r="W119" i="16"/>
  <c r="X118" i="16"/>
  <c r="W118" i="16"/>
  <c r="X117" i="16"/>
  <c r="W117" i="16"/>
  <c r="X116" i="16"/>
  <c r="W116" i="16"/>
  <c r="X115" i="16"/>
  <c r="W115" i="16"/>
  <c r="X114" i="16"/>
  <c r="W114" i="16"/>
  <c r="X113" i="16"/>
  <c r="W113" i="16"/>
  <c r="X112" i="16"/>
  <c r="W112" i="16"/>
  <c r="X111" i="16"/>
  <c r="W111" i="16"/>
  <c r="X110" i="16"/>
  <c r="W110" i="16"/>
  <c r="AD85" i="17"/>
  <c r="X85" i="17"/>
  <c r="W85" i="17"/>
  <c r="AC85" i="17" s="1"/>
  <c r="AD84" i="17"/>
  <c r="X84" i="17"/>
  <c r="W84" i="17"/>
  <c r="AD83" i="17"/>
  <c r="X83" i="17"/>
  <c r="W83" i="17"/>
  <c r="AC83" i="17" s="1"/>
  <c r="AD82" i="17"/>
  <c r="X82" i="17"/>
  <c r="W82" i="17"/>
  <c r="AC82" i="17" s="1"/>
  <c r="AD81" i="17"/>
  <c r="X81" i="17"/>
  <c r="W81" i="17"/>
  <c r="AD80" i="17"/>
  <c r="X80" i="17"/>
  <c r="W80" i="17"/>
  <c r="AD79" i="17"/>
  <c r="X79" i="17"/>
  <c r="W79" i="17"/>
  <c r="AC79" i="17" s="1"/>
  <c r="AD78" i="17"/>
  <c r="X78" i="17"/>
  <c r="W78" i="17"/>
  <c r="AC78" i="17" s="1"/>
  <c r="AD77" i="17"/>
  <c r="X77" i="17"/>
  <c r="W77" i="17"/>
  <c r="AD76" i="17"/>
  <c r="X76" i="17"/>
  <c r="W76" i="17"/>
  <c r="AD75" i="17"/>
  <c r="X75" i="17"/>
  <c r="W75" i="17"/>
  <c r="AC75" i="17" s="1"/>
  <c r="AD74" i="17"/>
  <c r="X74" i="17"/>
  <c r="W74" i="17"/>
  <c r="AC74" i="17" s="1"/>
  <c r="AE73" i="17"/>
  <c r="V73" i="17"/>
  <c r="AB73" i="17" s="1"/>
  <c r="AE72" i="17"/>
  <c r="V72" i="17"/>
  <c r="AB72" i="17" s="1"/>
  <c r="AE71" i="17"/>
  <c r="AB71" i="17"/>
  <c r="V71" i="17"/>
  <c r="AE70" i="17"/>
  <c r="V70" i="17"/>
  <c r="AB70" i="17" s="1"/>
  <c r="AE69" i="17"/>
  <c r="V69" i="17"/>
  <c r="AB69" i="17" s="1"/>
  <c r="AE68" i="17"/>
  <c r="V68" i="17"/>
  <c r="AB68" i="17" s="1"/>
  <c r="AE67" i="17"/>
  <c r="V67" i="17"/>
  <c r="AB67" i="17" s="1"/>
  <c r="AE66" i="17"/>
  <c r="V66" i="17"/>
  <c r="AB66" i="17" s="1"/>
  <c r="AE65" i="17"/>
  <c r="V65" i="17"/>
  <c r="AB65" i="17" s="1"/>
  <c r="AE64" i="17"/>
  <c r="V64" i="17"/>
  <c r="AB64" i="17" s="1"/>
  <c r="AE63" i="17"/>
  <c r="AB63" i="17"/>
  <c r="V63" i="17"/>
  <c r="AE62" i="17"/>
  <c r="V62" i="17"/>
  <c r="AB62" i="17" s="1"/>
  <c r="AD61" i="17"/>
  <c r="X61" i="17"/>
  <c r="W61" i="17"/>
  <c r="AD60" i="17"/>
  <c r="X60" i="17"/>
  <c r="W60" i="17"/>
  <c r="AC60" i="17" s="1"/>
  <c r="AD59" i="17"/>
  <c r="X59" i="17"/>
  <c r="W59" i="17"/>
  <c r="AD58" i="17"/>
  <c r="X58" i="17"/>
  <c r="W58" i="17"/>
  <c r="AC58" i="17" s="1"/>
  <c r="AD57" i="17"/>
  <c r="X57" i="17"/>
  <c r="W57" i="17"/>
  <c r="AD56" i="17"/>
  <c r="X56" i="17"/>
  <c r="W56" i="17"/>
  <c r="AC56" i="17" s="1"/>
  <c r="AD55" i="17"/>
  <c r="X55" i="17"/>
  <c r="W55" i="17"/>
  <c r="AD54" i="17"/>
  <c r="X54" i="17"/>
  <c r="W54" i="17"/>
  <c r="AC54" i="17" s="1"/>
  <c r="AD53" i="17"/>
  <c r="X53" i="17"/>
  <c r="W53" i="17"/>
  <c r="AD52" i="17"/>
  <c r="X52" i="17"/>
  <c r="W52" i="17"/>
  <c r="AC52" i="17" s="1"/>
  <c r="AD51" i="17"/>
  <c r="X51" i="17"/>
  <c r="W51" i="17"/>
  <c r="AD50" i="17"/>
  <c r="X50" i="17"/>
  <c r="W50" i="17"/>
  <c r="AC50" i="17" s="1"/>
  <c r="AD49" i="17"/>
  <c r="X49" i="17"/>
  <c r="W49" i="17"/>
  <c r="AD48" i="17"/>
  <c r="X48" i="17"/>
  <c r="W48" i="17"/>
  <c r="AC48" i="17" s="1"/>
  <c r="AD47" i="17"/>
  <c r="X47" i="17"/>
  <c r="W47" i="17"/>
  <c r="AD46" i="17"/>
  <c r="X46" i="17"/>
  <c r="W46" i="17"/>
  <c r="AC46" i="17" s="1"/>
  <c r="AD45" i="17"/>
  <c r="X45" i="17"/>
  <c r="W45" i="17"/>
  <c r="AD44" i="17"/>
  <c r="X44" i="17"/>
  <c r="W44" i="17"/>
  <c r="AC44" i="17" s="1"/>
  <c r="AD43" i="17"/>
  <c r="X43" i="17"/>
  <c r="W43" i="17"/>
  <c r="AD42" i="17"/>
  <c r="X42" i="17"/>
  <c r="W42" i="17"/>
  <c r="AC42" i="17" s="1"/>
  <c r="AD41" i="17"/>
  <c r="X41" i="17"/>
  <c r="W41" i="17"/>
  <c r="AD40" i="17"/>
  <c r="X40" i="17"/>
  <c r="W40" i="17"/>
  <c r="AC40" i="17" s="1"/>
  <c r="AD39" i="17"/>
  <c r="X39" i="17"/>
  <c r="W39" i="17"/>
  <c r="AD38" i="17"/>
  <c r="X38" i="17"/>
  <c r="W38" i="17"/>
  <c r="AC38" i="17" s="1"/>
  <c r="AE37" i="17"/>
  <c r="AB37" i="17"/>
  <c r="V37" i="17"/>
  <c r="AE36" i="17"/>
  <c r="V36" i="17"/>
  <c r="AB36" i="17" s="1"/>
  <c r="AE35" i="17"/>
  <c r="V35" i="17"/>
  <c r="AB35" i="17" s="1"/>
  <c r="AE34" i="17"/>
  <c r="V34" i="17"/>
  <c r="AB34" i="17" s="1"/>
  <c r="AE33" i="17"/>
  <c r="V33" i="17"/>
  <c r="AB33" i="17" s="1"/>
  <c r="AE32" i="17"/>
  <c r="V32" i="17"/>
  <c r="AB32" i="17" s="1"/>
  <c r="AE31" i="17"/>
  <c r="V31" i="17"/>
  <c r="AB31" i="17" s="1"/>
  <c r="AE30" i="17"/>
  <c r="V30" i="17"/>
  <c r="AB30" i="17" s="1"/>
  <c r="AE29" i="17"/>
  <c r="V29" i="17"/>
  <c r="AB29" i="17" s="1"/>
  <c r="AE28" i="17"/>
  <c r="V28" i="17"/>
  <c r="AB28" i="17" s="1"/>
  <c r="AE27" i="17"/>
  <c r="V27" i="17"/>
  <c r="AB27" i="17" s="1"/>
  <c r="AE26" i="17"/>
  <c r="V26" i="17"/>
  <c r="AB26" i="17" s="1"/>
  <c r="AD25" i="17"/>
  <c r="X25" i="17"/>
  <c r="W25" i="17"/>
  <c r="AC25" i="17" s="1"/>
  <c r="AD24" i="17"/>
  <c r="X24" i="17"/>
  <c r="W24" i="17"/>
  <c r="AC24" i="17" s="1"/>
  <c r="AD23" i="17"/>
  <c r="X23" i="17"/>
  <c r="W23" i="17"/>
  <c r="AC23" i="17" s="1"/>
  <c r="AD22" i="17"/>
  <c r="X22" i="17"/>
  <c r="W22" i="17"/>
  <c r="AC22" i="17" s="1"/>
  <c r="AD21" i="17"/>
  <c r="X21" i="17"/>
  <c r="W21" i="17"/>
  <c r="AC21" i="17" s="1"/>
  <c r="AD20" i="17"/>
  <c r="X20" i="17"/>
  <c r="W20" i="17"/>
  <c r="AD19" i="17"/>
  <c r="X19" i="17"/>
  <c r="W19" i="17"/>
  <c r="AC19" i="17" s="1"/>
  <c r="AD18" i="17"/>
  <c r="X18" i="17"/>
  <c r="W18" i="17"/>
  <c r="AD17" i="17"/>
  <c r="X17" i="17"/>
  <c r="W17" i="17"/>
  <c r="AC17" i="17" s="1"/>
  <c r="AD16" i="17"/>
  <c r="X16" i="17"/>
  <c r="W16" i="17"/>
  <c r="AD15" i="17"/>
  <c r="X15" i="17"/>
  <c r="W15" i="17"/>
  <c r="AC15" i="17" s="1"/>
  <c r="AD14" i="17"/>
  <c r="X14" i="17"/>
  <c r="W14" i="17"/>
  <c r="M40" i="5"/>
  <c r="M39" i="5"/>
  <c r="M38" i="5"/>
  <c r="AJ9" i="17"/>
  <c r="AI9" i="17"/>
  <c r="AJ4" i="17"/>
  <c r="AI4" i="17"/>
  <c r="AJ3" i="17"/>
  <c r="AI3" i="17"/>
  <c r="AJ2" i="17"/>
  <c r="AI2" i="17"/>
  <c r="AD199" i="17"/>
  <c r="AD198" i="17"/>
  <c r="AD197" i="17"/>
  <c r="AD196" i="17"/>
  <c r="AD195" i="17"/>
  <c r="AD194" i="17"/>
  <c r="AD193" i="17"/>
  <c r="AD192" i="17"/>
  <c r="AD191" i="17"/>
  <c r="AD190" i="17"/>
  <c r="AD189" i="17"/>
  <c r="AD188" i="17"/>
  <c r="AD187" i="17"/>
  <c r="AD186" i="17"/>
  <c r="AD185" i="17"/>
  <c r="AD184" i="17"/>
  <c r="AD183" i="17"/>
  <c r="AD182" i="17"/>
  <c r="AD181" i="17"/>
  <c r="AD180" i="17"/>
  <c r="AD179" i="17"/>
  <c r="AD178" i="17"/>
  <c r="AD177" i="17"/>
  <c r="AD176" i="17"/>
  <c r="AD175" i="17"/>
  <c r="AD174" i="17"/>
  <c r="AD173" i="17"/>
  <c r="AD172" i="17"/>
  <c r="AD171" i="17"/>
  <c r="AD170" i="17"/>
  <c r="AD169" i="17"/>
  <c r="AD168" i="17"/>
  <c r="AD167" i="17"/>
  <c r="AD166" i="17"/>
  <c r="AD165" i="17"/>
  <c r="AD164" i="17"/>
  <c r="AD163" i="17"/>
  <c r="AD162" i="17"/>
  <c r="AD161" i="17"/>
  <c r="AD160" i="17"/>
  <c r="AD159" i="17"/>
  <c r="AD158" i="17"/>
  <c r="AD157" i="17"/>
  <c r="AD156" i="17"/>
  <c r="AD155" i="17"/>
  <c r="AD154" i="17"/>
  <c r="AD153" i="17"/>
  <c r="AD152" i="17"/>
  <c r="AD151" i="17"/>
  <c r="AD150" i="17"/>
  <c r="AD149" i="17"/>
  <c r="AD148" i="17"/>
  <c r="AD147" i="17"/>
  <c r="AD146" i="17"/>
  <c r="AD145" i="17"/>
  <c r="AD144" i="17"/>
  <c r="AD143" i="17"/>
  <c r="AD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30" i="17"/>
  <c r="AD129" i="17"/>
  <c r="AD128" i="17"/>
  <c r="AD127" i="17"/>
  <c r="AD126" i="17"/>
  <c r="AD125" i="17"/>
  <c r="AD124" i="17"/>
  <c r="AD123" i="17"/>
  <c r="AD122" i="17"/>
  <c r="AD121" i="17"/>
  <c r="AD120" i="17"/>
  <c r="AD119" i="17"/>
  <c r="AD118" i="17"/>
  <c r="AD117" i="17"/>
  <c r="AD116" i="17"/>
  <c r="AD115" i="17"/>
  <c r="AD114" i="17"/>
  <c r="AD113" i="17"/>
  <c r="AD112" i="17"/>
  <c r="AD111" i="17"/>
  <c r="AD110" i="17"/>
  <c r="AD109" i="17"/>
  <c r="AD108" i="17"/>
  <c r="AD107" i="17"/>
  <c r="AD106" i="17"/>
  <c r="AD105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13" i="17"/>
  <c r="AD12" i="17"/>
  <c r="AD11" i="17"/>
  <c r="AD10" i="17"/>
  <c r="AD9" i="17"/>
  <c r="AD8" i="17"/>
  <c r="AD7" i="17"/>
  <c r="AD6" i="17"/>
  <c r="AD5" i="17"/>
  <c r="AD4" i="17"/>
  <c r="AD3" i="17"/>
  <c r="AD2" i="17"/>
  <c r="V211" i="17"/>
  <c r="AB211" i="17" s="1"/>
  <c r="V210" i="17"/>
  <c r="AB210" i="17" s="1"/>
  <c r="V209" i="17"/>
  <c r="AB209" i="17" s="1"/>
  <c r="V208" i="17"/>
  <c r="AB208" i="17" s="1"/>
  <c r="V207" i="17"/>
  <c r="AB207" i="17" s="1"/>
  <c r="V206" i="17"/>
  <c r="AB206" i="17" s="1"/>
  <c r="V205" i="17"/>
  <c r="AB205" i="17" s="1"/>
  <c r="V204" i="17"/>
  <c r="AB204" i="17" s="1"/>
  <c r="V203" i="17"/>
  <c r="AB203" i="17" s="1"/>
  <c r="V202" i="17"/>
  <c r="AB202" i="17" s="1"/>
  <c r="V201" i="17"/>
  <c r="AB201" i="17" s="1"/>
  <c r="V200" i="17"/>
  <c r="AB200" i="17" s="1"/>
  <c r="X199" i="17"/>
  <c r="W199" i="17"/>
  <c r="V199" i="17"/>
  <c r="AB199" i="17" s="1"/>
  <c r="X198" i="17"/>
  <c r="W198" i="17"/>
  <c r="V198" i="17"/>
  <c r="AB198" i="17" s="1"/>
  <c r="X197" i="17"/>
  <c r="W197" i="17"/>
  <c r="V197" i="17"/>
  <c r="AB197" i="17" s="1"/>
  <c r="X196" i="17"/>
  <c r="W196" i="17"/>
  <c r="V196" i="17"/>
  <c r="AB196" i="17" s="1"/>
  <c r="X195" i="17"/>
  <c r="W195" i="17"/>
  <c r="V195" i="17"/>
  <c r="AB195" i="17" s="1"/>
  <c r="X194" i="17"/>
  <c r="W194" i="17"/>
  <c r="V194" i="17"/>
  <c r="AB194" i="17" s="1"/>
  <c r="X193" i="17"/>
  <c r="W193" i="17"/>
  <c r="V193" i="17"/>
  <c r="AB193" i="17" s="1"/>
  <c r="X192" i="17"/>
  <c r="W192" i="17"/>
  <c r="V192" i="17"/>
  <c r="AB192" i="17" s="1"/>
  <c r="X191" i="17"/>
  <c r="W191" i="17"/>
  <c r="V191" i="17"/>
  <c r="AB191" i="17" s="1"/>
  <c r="X190" i="17"/>
  <c r="W190" i="17"/>
  <c r="V190" i="17"/>
  <c r="AB190" i="17" s="1"/>
  <c r="X189" i="17"/>
  <c r="W189" i="17"/>
  <c r="V189" i="17"/>
  <c r="AB189" i="17" s="1"/>
  <c r="X188" i="17"/>
  <c r="W188" i="17"/>
  <c r="V188" i="17"/>
  <c r="AB188" i="17" s="1"/>
  <c r="X187" i="17"/>
  <c r="W187" i="17"/>
  <c r="V187" i="17"/>
  <c r="AB187" i="17" s="1"/>
  <c r="X186" i="17"/>
  <c r="W186" i="17"/>
  <c r="V186" i="17"/>
  <c r="AB186" i="17" s="1"/>
  <c r="X185" i="17"/>
  <c r="W185" i="17"/>
  <c r="V185" i="17"/>
  <c r="AB185" i="17" s="1"/>
  <c r="X184" i="17"/>
  <c r="W184" i="17"/>
  <c r="V184" i="17"/>
  <c r="AB184" i="17" s="1"/>
  <c r="X183" i="17"/>
  <c r="W183" i="17"/>
  <c r="V183" i="17"/>
  <c r="AB183" i="17" s="1"/>
  <c r="X182" i="17"/>
  <c r="W182" i="17"/>
  <c r="V182" i="17"/>
  <c r="AB182" i="17" s="1"/>
  <c r="X181" i="17"/>
  <c r="W181" i="17"/>
  <c r="V181" i="17"/>
  <c r="AB181" i="17" s="1"/>
  <c r="X180" i="17"/>
  <c r="W180" i="17"/>
  <c r="V180" i="17"/>
  <c r="AB180" i="17" s="1"/>
  <c r="X179" i="17"/>
  <c r="W179" i="17"/>
  <c r="V179" i="17"/>
  <c r="AB179" i="17" s="1"/>
  <c r="X178" i="17"/>
  <c r="W178" i="17"/>
  <c r="V178" i="17"/>
  <c r="AB178" i="17" s="1"/>
  <c r="X177" i="17"/>
  <c r="W177" i="17"/>
  <c r="V177" i="17"/>
  <c r="AB177" i="17" s="1"/>
  <c r="X176" i="17"/>
  <c r="W176" i="17"/>
  <c r="V176" i="17"/>
  <c r="AB176" i="17" s="1"/>
  <c r="X175" i="17"/>
  <c r="W175" i="17"/>
  <c r="V175" i="17"/>
  <c r="AB175" i="17" s="1"/>
  <c r="X174" i="17"/>
  <c r="W174" i="17"/>
  <c r="V174" i="17"/>
  <c r="AB174" i="17" s="1"/>
  <c r="X173" i="17"/>
  <c r="W173" i="17"/>
  <c r="V173" i="17"/>
  <c r="AB173" i="17" s="1"/>
  <c r="X172" i="17"/>
  <c r="W172" i="17"/>
  <c r="V172" i="17"/>
  <c r="AB172" i="17" s="1"/>
  <c r="X171" i="17"/>
  <c r="W171" i="17"/>
  <c r="V171" i="17"/>
  <c r="AB171" i="17" s="1"/>
  <c r="X170" i="17"/>
  <c r="W170" i="17"/>
  <c r="V170" i="17"/>
  <c r="AB170" i="17" s="1"/>
  <c r="X169" i="17"/>
  <c r="W169" i="17"/>
  <c r="V169" i="17"/>
  <c r="AB169" i="17" s="1"/>
  <c r="X168" i="17"/>
  <c r="W168" i="17"/>
  <c r="V168" i="17"/>
  <c r="AB168" i="17" s="1"/>
  <c r="X167" i="17"/>
  <c r="W167" i="17"/>
  <c r="V167" i="17"/>
  <c r="AB167" i="17" s="1"/>
  <c r="X166" i="17"/>
  <c r="W166" i="17"/>
  <c r="V166" i="17"/>
  <c r="AB166" i="17" s="1"/>
  <c r="X165" i="17"/>
  <c r="W165" i="17"/>
  <c r="V165" i="17"/>
  <c r="AB165" i="17" s="1"/>
  <c r="X164" i="17"/>
  <c r="W164" i="17"/>
  <c r="V164" i="17"/>
  <c r="AB164" i="17" s="1"/>
  <c r="X163" i="17"/>
  <c r="W163" i="17"/>
  <c r="V163" i="17"/>
  <c r="AB163" i="17" s="1"/>
  <c r="X162" i="17"/>
  <c r="W162" i="17"/>
  <c r="V162" i="17"/>
  <c r="AB162" i="17" s="1"/>
  <c r="X161" i="17"/>
  <c r="W161" i="17"/>
  <c r="V161" i="17"/>
  <c r="AB161" i="17" s="1"/>
  <c r="X160" i="17"/>
  <c r="W160" i="17"/>
  <c r="V160" i="17"/>
  <c r="AB160" i="17" s="1"/>
  <c r="X159" i="17"/>
  <c r="W159" i="17"/>
  <c r="V159" i="17"/>
  <c r="AB159" i="17" s="1"/>
  <c r="X158" i="17"/>
  <c r="W158" i="17"/>
  <c r="V158" i="17"/>
  <c r="AB158" i="17" s="1"/>
  <c r="X157" i="17"/>
  <c r="W157" i="17"/>
  <c r="V157" i="17"/>
  <c r="AB157" i="17" s="1"/>
  <c r="X156" i="17"/>
  <c r="W156" i="17"/>
  <c r="V156" i="17"/>
  <c r="AB156" i="17" s="1"/>
  <c r="X155" i="17"/>
  <c r="W155" i="17"/>
  <c r="V155" i="17"/>
  <c r="AB155" i="17" s="1"/>
  <c r="X154" i="17"/>
  <c r="W154" i="17"/>
  <c r="V154" i="17"/>
  <c r="AB154" i="17" s="1"/>
  <c r="X153" i="17"/>
  <c r="W153" i="17"/>
  <c r="V153" i="17"/>
  <c r="AB153" i="17" s="1"/>
  <c r="X152" i="17"/>
  <c r="W152" i="17"/>
  <c r="V152" i="17"/>
  <c r="AB152" i="17" s="1"/>
  <c r="X151" i="17"/>
  <c r="W151" i="17"/>
  <c r="V151" i="17"/>
  <c r="AB151" i="17" s="1"/>
  <c r="X150" i="17"/>
  <c r="W150" i="17"/>
  <c r="V150" i="17"/>
  <c r="AB150" i="17" s="1"/>
  <c r="X149" i="17"/>
  <c r="W149" i="17"/>
  <c r="V149" i="17"/>
  <c r="AB149" i="17" s="1"/>
  <c r="X148" i="17"/>
  <c r="W148" i="17"/>
  <c r="V148" i="17"/>
  <c r="AB148" i="17" s="1"/>
  <c r="X147" i="17"/>
  <c r="W147" i="17"/>
  <c r="V147" i="17"/>
  <c r="AB147" i="17" s="1"/>
  <c r="X146" i="17"/>
  <c r="W146" i="17"/>
  <c r="V146" i="17"/>
  <c r="AB146" i="17" s="1"/>
  <c r="X145" i="17"/>
  <c r="W145" i="17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AB142" i="17" s="1"/>
  <c r="X141" i="17"/>
  <c r="W141" i="17"/>
  <c r="V141" i="17"/>
  <c r="AB141" i="17" s="1"/>
  <c r="X140" i="17"/>
  <c r="W140" i="17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V137" i="17"/>
  <c r="AB137" i="17" s="1"/>
  <c r="X136" i="17"/>
  <c r="W136" i="17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V129" i="17"/>
  <c r="AB129" i="17" s="1"/>
  <c r="X128" i="17"/>
  <c r="W128" i="17"/>
  <c r="V128" i="17"/>
  <c r="AB128" i="17" s="1"/>
  <c r="X127" i="17"/>
  <c r="W127" i="17"/>
  <c r="V127" i="17"/>
  <c r="AB127" i="17" s="1"/>
  <c r="X126" i="17"/>
  <c r="W126" i="17"/>
  <c r="V126" i="17"/>
  <c r="AB126" i="17" s="1"/>
  <c r="X125" i="17"/>
  <c r="W125" i="17"/>
  <c r="V125" i="17"/>
  <c r="AB125" i="17" s="1"/>
  <c r="X124" i="17"/>
  <c r="W124" i="17"/>
  <c r="V124" i="17"/>
  <c r="AB124" i="17" s="1"/>
  <c r="X123" i="17"/>
  <c r="W123" i="17"/>
  <c r="AC123" i="17" s="1"/>
  <c r="V123" i="17"/>
  <c r="AB123" i="17" s="1"/>
  <c r="X122" i="17"/>
  <c r="W122" i="17"/>
  <c r="V122" i="17"/>
  <c r="AB122" i="17" s="1"/>
  <c r="X121" i="17"/>
  <c r="W121" i="17"/>
  <c r="V121" i="17"/>
  <c r="AB121" i="17" s="1"/>
  <c r="X120" i="17"/>
  <c r="W120" i="17"/>
  <c r="V120" i="17"/>
  <c r="AB120" i="17" s="1"/>
  <c r="X119" i="17"/>
  <c r="W119" i="17"/>
  <c r="AC119" i="17" s="1"/>
  <c r="V119" i="17"/>
  <c r="AB119" i="17" s="1"/>
  <c r="X118" i="17"/>
  <c r="W118" i="17"/>
  <c r="V118" i="17"/>
  <c r="AB118" i="17" s="1"/>
  <c r="X117" i="17"/>
  <c r="W117" i="17"/>
  <c r="V117" i="17"/>
  <c r="AB117" i="17" s="1"/>
  <c r="X116" i="17"/>
  <c r="W116" i="17"/>
  <c r="V116" i="17"/>
  <c r="AB116" i="17" s="1"/>
  <c r="X115" i="17"/>
  <c r="W115" i="17"/>
  <c r="AC115" i="17" s="1"/>
  <c r="V115" i="17"/>
  <c r="AB115" i="17" s="1"/>
  <c r="X114" i="17"/>
  <c r="W114" i="17"/>
  <c r="V114" i="17"/>
  <c r="AB114" i="17" s="1"/>
  <c r="X113" i="17"/>
  <c r="W113" i="17"/>
  <c r="V113" i="17"/>
  <c r="AB113" i="17" s="1"/>
  <c r="X112" i="17"/>
  <c r="W112" i="17"/>
  <c r="V112" i="17"/>
  <c r="AB112" i="17" s="1"/>
  <c r="X111" i="17"/>
  <c r="W111" i="17"/>
  <c r="AC111" i="17" s="1"/>
  <c r="V111" i="17"/>
  <c r="AB111" i="17" s="1"/>
  <c r="X110" i="17"/>
  <c r="W110" i="17"/>
  <c r="V110" i="17"/>
  <c r="AB110" i="17" s="1"/>
  <c r="X109" i="17"/>
  <c r="W109" i="17"/>
  <c r="V109" i="17"/>
  <c r="AB109" i="17" s="1"/>
  <c r="X108" i="17"/>
  <c r="W108" i="17"/>
  <c r="V108" i="17"/>
  <c r="AB108" i="17" s="1"/>
  <c r="X107" i="17"/>
  <c r="W107" i="17"/>
  <c r="AC107" i="17" s="1"/>
  <c r="V107" i="17"/>
  <c r="AB107" i="17" s="1"/>
  <c r="X106" i="17"/>
  <c r="W106" i="17"/>
  <c r="AC106" i="17" s="1"/>
  <c r="V106" i="17"/>
  <c r="AB106" i="17" s="1"/>
  <c r="X105" i="17"/>
  <c r="W105" i="17"/>
  <c r="V105" i="17"/>
  <c r="AB105" i="17" s="1"/>
  <c r="X104" i="17"/>
  <c r="W104" i="17"/>
  <c r="V104" i="17"/>
  <c r="AB104" i="17" s="1"/>
  <c r="X103" i="17"/>
  <c r="W103" i="17"/>
  <c r="AC103" i="17" s="1"/>
  <c r="V103" i="17"/>
  <c r="AB103" i="17" s="1"/>
  <c r="X102" i="17"/>
  <c r="W102" i="17"/>
  <c r="V102" i="17"/>
  <c r="AB102" i="17" s="1"/>
  <c r="X101" i="17"/>
  <c r="W101" i="17"/>
  <c r="V101" i="17"/>
  <c r="AB101" i="17" s="1"/>
  <c r="X100" i="17"/>
  <c r="W100" i="17"/>
  <c r="V100" i="17"/>
  <c r="AB100" i="17" s="1"/>
  <c r="X99" i="17"/>
  <c r="W99" i="17"/>
  <c r="AC99" i="17" s="1"/>
  <c r="V99" i="17"/>
  <c r="AB99" i="17" s="1"/>
  <c r="X98" i="17"/>
  <c r="W98" i="17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AC95" i="17" s="1"/>
  <c r="V95" i="17"/>
  <c r="AB95" i="17" s="1"/>
  <c r="X94" i="17"/>
  <c r="W94" i="17"/>
  <c r="V94" i="17"/>
  <c r="AB94" i="17" s="1"/>
  <c r="X93" i="17"/>
  <c r="W93" i="17"/>
  <c r="V93" i="17"/>
  <c r="AB93" i="17" s="1"/>
  <c r="X92" i="17"/>
  <c r="W92" i="17"/>
  <c r="V92" i="17"/>
  <c r="AB92" i="17" s="1"/>
  <c r="X91" i="17"/>
  <c r="W91" i="17"/>
  <c r="AC91" i="17" s="1"/>
  <c r="V91" i="17"/>
  <c r="AB91" i="17" s="1"/>
  <c r="X90" i="17"/>
  <c r="W90" i="17"/>
  <c r="AC90" i="17" s="1"/>
  <c r="V90" i="17"/>
  <c r="AB90" i="17" s="1"/>
  <c r="X89" i="17"/>
  <c r="W89" i="17"/>
  <c r="V89" i="17"/>
  <c r="AB89" i="17" s="1"/>
  <c r="X88" i="17"/>
  <c r="W88" i="17"/>
  <c r="V88" i="17"/>
  <c r="AB88" i="17" s="1"/>
  <c r="X87" i="17"/>
  <c r="W87" i="17"/>
  <c r="AC87" i="17" s="1"/>
  <c r="V87" i="17"/>
  <c r="AB87" i="17" s="1"/>
  <c r="X86" i="17"/>
  <c r="W86" i="17"/>
  <c r="V86" i="17"/>
  <c r="AB86" i="17" s="1"/>
  <c r="V85" i="17"/>
  <c r="AB85" i="17" s="1"/>
  <c r="V84" i="17"/>
  <c r="AB84" i="17" s="1"/>
  <c r="V83" i="17"/>
  <c r="AB83" i="17" s="1"/>
  <c r="V82" i="17"/>
  <c r="AB82" i="17" s="1"/>
  <c r="V81" i="17"/>
  <c r="AB81" i="17" s="1"/>
  <c r="V80" i="17"/>
  <c r="AB80" i="17" s="1"/>
  <c r="V79" i="17"/>
  <c r="AB79" i="17" s="1"/>
  <c r="V78" i="17"/>
  <c r="AB78" i="17" s="1"/>
  <c r="V77" i="17"/>
  <c r="AB77" i="17" s="1"/>
  <c r="V76" i="17"/>
  <c r="AB76" i="17" s="1"/>
  <c r="V75" i="17"/>
  <c r="AB75" i="17" s="1"/>
  <c r="V74" i="17"/>
  <c r="AB74" i="17" s="1"/>
  <c r="X73" i="17"/>
  <c r="W73" i="17"/>
  <c r="X72" i="17"/>
  <c r="W72" i="17"/>
  <c r="AC72" i="17" s="1"/>
  <c r="X71" i="17"/>
  <c r="W71" i="17"/>
  <c r="AC71" i="17" s="1"/>
  <c r="X70" i="17"/>
  <c r="W70" i="17"/>
  <c r="AC70" i="17" s="1"/>
  <c r="X69" i="17"/>
  <c r="W69" i="17"/>
  <c r="X68" i="17"/>
  <c r="W68" i="17"/>
  <c r="AC68" i="17" s="1"/>
  <c r="X67" i="17"/>
  <c r="W67" i="17"/>
  <c r="AC67" i="17" s="1"/>
  <c r="X66" i="17"/>
  <c r="W66" i="17"/>
  <c r="AC66" i="17" s="1"/>
  <c r="X65" i="17"/>
  <c r="W65" i="17"/>
  <c r="X64" i="17"/>
  <c r="W64" i="17"/>
  <c r="AC64" i="17" s="1"/>
  <c r="X63" i="17"/>
  <c r="W63" i="17"/>
  <c r="AC63" i="17" s="1"/>
  <c r="X62" i="17"/>
  <c r="W62" i="17"/>
  <c r="AC62" i="17" s="1"/>
  <c r="V61" i="17"/>
  <c r="AB61" i="17" s="1"/>
  <c r="V60" i="17"/>
  <c r="AB60" i="17" s="1"/>
  <c r="V59" i="17"/>
  <c r="AB59" i="17" s="1"/>
  <c r="V58" i="17"/>
  <c r="AB58" i="17" s="1"/>
  <c r="V57" i="17"/>
  <c r="AB57" i="17" s="1"/>
  <c r="V56" i="17"/>
  <c r="AB56" i="17" s="1"/>
  <c r="V55" i="17"/>
  <c r="AB55" i="17" s="1"/>
  <c r="V54" i="17"/>
  <c r="AB54" i="17" s="1"/>
  <c r="V53" i="17"/>
  <c r="AB53" i="17" s="1"/>
  <c r="V52" i="17"/>
  <c r="AB52" i="17" s="1"/>
  <c r="V51" i="17"/>
  <c r="AB51" i="17" s="1"/>
  <c r="V50" i="17"/>
  <c r="AB50" i="17" s="1"/>
  <c r="V49" i="17"/>
  <c r="AB49" i="17" s="1"/>
  <c r="V48" i="17"/>
  <c r="AB48" i="17" s="1"/>
  <c r="V47" i="17"/>
  <c r="AB47" i="17" s="1"/>
  <c r="V46" i="17"/>
  <c r="AB46" i="17" s="1"/>
  <c r="V45" i="17"/>
  <c r="AB45" i="17" s="1"/>
  <c r="V44" i="17"/>
  <c r="AB44" i="17" s="1"/>
  <c r="V43" i="17"/>
  <c r="AB43" i="17" s="1"/>
  <c r="V42" i="17"/>
  <c r="AB42" i="17" s="1"/>
  <c r="V41" i="17"/>
  <c r="AB41" i="17" s="1"/>
  <c r="V40" i="17"/>
  <c r="AB40" i="17" s="1"/>
  <c r="V39" i="17"/>
  <c r="AB39" i="17" s="1"/>
  <c r="V38" i="17"/>
  <c r="AB38" i="17" s="1"/>
  <c r="X37" i="17"/>
  <c r="W37" i="17"/>
  <c r="X36" i="17"/>
  <c r="W36" i="17"/>
  <c r="AC36" i="17" s="1"/>
  <c r="X35" i="17"/>
  <c r="W35" i="17"/>
  <c r="AC35" i="17" s="1"/>
  <c r="X34" i="17"/>
  <c r="W34" i="17"/>
  <c r="AC34" i="17" s="1"/>
  <c r="X33" i="17"/>
  <c r="W33" i="17"/>
  <c r="X32" i="17"/>
  <c r="W32" i="17"/>
  <c r="AC32" i="17" s="1"/>
  <c r="X31" i="17"/>
  <c r="W31" i="17"/>
  <c r="AC31" i="17" s="1"/>
  <c r="X30" i="17"/>
  <c r="W30" i="17"/>
  <c r="AC30" i="17" s="1"/>
  <c r="X29" i="17"/>
  <c r="W29" i="17"/>
  <c r="X28" i="17"/>
  <c r="W28" i="17"/>
  <c r="AC28" i="17" s="1"/>
  <c r="X27" i="17"/>
  <c r="W27" i="17"/>
  <c r="AC27" i="17" s="1"/>
  <c r="X26" i="17"/>
  <c r="W26" i="17"/>
  <c r="AC26" i="17" s="1"/>
  <c r="V25" i="17"/>
  <c r="AB25" i="17" s="1"/>
  <c r="V24" i="17"/>
  <c r="AB24" i="17" s="1"/>
  <c r="V23" i="17"/>
  <c r="AB23" i="17" s="1"/>
  <c r="V22" i="17"/>
  <c r="AB22" i="17" s="1"/>
  <c r="V21" i="17"/>
  <c r="AB21" i="17" s="1"/>
  <c r="V20" i="17"/>
  <c r="AB20" i="17" s="1"/>
  <c r="V19" i="17"/>
  <c r="AB19" i="17" s="1"/>
  <c r="V18" i="17"/>
  <c r="AB18" i="17" s="1"/>
  <c r="V17" i="17"/>
  <c r="AB17" i="17" s="1"/>
  <c r="V16" i="17"/>
  <c r="AB16" i="17" s="1"/>
  <c r="V15" i="17"/>
  <c r="AB15" i="17" s="1"/>
  <c r="V14" i="17"/>
  <c r="AB14" i="17" s="1"/>
  <c r="X13" i="17"/>
  <c r="W13" i="17"/>
  <c r="V13" i="17"/>
  <c r="AB13" i="17" s="1"/>
  <c r="X12" i="17"/>
  <c r="W12" i="17"/>
  <c r="V12" i="17"/>
  <c r="AB12" i="17" s="1"/>
  <c r="X11" i="17"/>
  <c r="W11" i="17"/>
  <c r="AC11" i="17" s="1"/>
  <c r="V11" i="17"/>
  <c r="AB11" i="17" s="1"/>
  <c r="X10" i="17"/>
  <c r="W10" i="17"/>
  <c r="V10" i="17"/>
  <c r="AB10" i="17" s="1"/>
  <c r="X9" i="17"/>
  <c r="W9" i="17"/>
  <c r="V9" i="17"/>
  <c r="AB9" i="17" s="1"/>
  <c r="X8" i="17"/>
  <c r="W8" i="17"/>
  <c r="AC8" i="17" s="1"/>
  <c r="V8" i="17"/>
  <c r="AB8" i="17" s="1"/>
  <c r="X7" i="17"/>
  <c r="W7" i="17"/>
  <c r="AC7" i="17" s="1"/>
  <c r="V7" i="17"/>
  <c r="AB7" i="17" s="1"/>
  <c r="X6" i="17"/>
  <c r="W6" i="17"/>
  <c r="V6" i="17"/>
  <c r="AB6" i="17" s="1"/>
  <c r="X5" i="17"/>
  <c r="W5" i="17"/>
  <c r="V5" i="17"/>
  <c r="AB5" i="17" s="1"/>
  <c r="X4" i="17"/>
  <c r="W4" i="17"/>
  <c r="V4" i="17"/>
  <c r="AB4" i="17" s="1"/>
  <c r="X3" i="17"/>
  <c r="W3" i="17"/>
  <c r="AC3" i="17" s="1"/>
  <c r="V3" i="17"/>
  <c r="AB3" i="17" s="1"/>
  <c r="X2" i="17"/>
  <c r="W2" i="17"/>
  <c r="V2" i="17"/>
  <c r="AB2" i="17" s="1"/>
  <c r="AE475" i="16"/>
  <c r="AE474" i="16"/>
  <c r="AE473" i="16"/>
  <c r="AE472" i="16"/>
  <c r="AE471" i="16"/>
  <c r="AE470" i="16"/>
  <c r="AE469" i="16"/>
  <c r="AE468" i="16"/>
  <c r="AE467" i="16"/>
  <c r="AE466" i="16"/>
  <c r="AE465" i="16"/>
  <c r="AE464" i="16"/>
  <c r="AA12" i="33" s="1"/>
  <c r="AE463" i="16"/>
  <c r="AD463" i="16"/>
  <c r="AC463" i="16"/>
  <c r="AE462" i="16"/>
  <c r="AD462" i="16"/>
  <c r="AC462" i="16"/>
  <c r="AE461" i="16"/>
  <c r="AD461" i="16"/>
  <c r="AC461" i="16"/>
  <c r="AE460" i="16"/>
  <c r="AD460" i="16"/>
  <c r="AC460" i="16"/>
  <c r="AE459" i="16"/>
  <c r="AD459" i="16"/>
  <c r="AC459" i="16"/>
  <c r="AE458" i="16"/>
  <c r="AD458" i="16"/>
  <c r="AC458" i="16"/>
  <c r="AE457" i="16"/>
  <c r="AD457" i="16"/>
  <c r="AC457" i="16"/>
  <c r="AE456" i="16"/>
  <c r="AD456" i="16"/>
  <c r="AC456" i="16"/>
  <c r="AE455" i="16"/>
  <c r="AD455" i="16"/>
  <c r="AC455" i="16"/>
  <c r="AE454" i="16"/>
  <c r="AD454" i="16"/>
  <c r="AC454" i="16"/>
  <c r="AE453" i="16"/>
  <c r="AD453" i="16"/>
  <c r="AC453" i="16"/>
  <c r="AE452" i="16"/>
  <c r="AD452" i="16"/>
  <c r="AC452" i="16"/>
  <c r="AE451" i="16"/>
  <c r="AE450" i="16"/>
  <c r="AE449" i="16"/>
  <c r="AE448" i="16"/>
  <c r="AE447" i="16"/>
  <c r="AE446" i="16"/>
  <c r="AE445" i="16"/>
  <c r="AE444" i="16"/>
  <c r="AE443" i="16"/>
  <c r="AE442" i="16"/>
  <c r="AE441" i="16"/>
  <c r="AE440" i="16"/>
  <c r="AE439" i="16"/>
  <c r="AE438" i="16"/>
  <c r="AE437" i="16"/>
  <c r="AE436" i="16"/>
  <c r="AE435" i="16"/>
  <c r="AE434" i="16"/>
  <c r="AE433" i="16"/>
  <c r="AE432" i="16"/>
  <c r="AE431" i="16"/>
  <c r="AE430" i="16"/>
  <c r="AE429" i="16"/>
  <c r="AE428" i="16"/>
  <c r="AE427" i="16"/>
  <c r="AE426" i="16"/>
  <c r="AE425" i="16"/>
  <c r="AE424" i="16"/>
  <c r="AE423" i="16"/>
  <c r="AE422" i="16"/>
  <c r="AE421" i="16"/>
  <c r="AE420" i="16"/>
  <c r="AE419" i="16"/>
  <c r="AE418" i="16"/>
  <c r="AE417" i="16"/>
  <c r="AE416" i="16"/>
  <c r="AE415" i="16"/>
  <c r="AE414" i="16"/>
  <c r="AE413" i="16"/>
  <c r="AE412" i="16"/>
  <c r="AE411" i="16"/>
  <c r="AE410" i="16"/>
  <c r="AE409" i="16"/>
  <c r="AE408" i="16"/>
  <c r="AE407" i="16"/>
  <c r="AE406" i="16"/>
  <c r="AE405" i="16"/>
  <c r="AE404" i="16"/>
  <c r="AE403" i="16"/>
  <c r="AE402" i="16"/>
  <c r="AE401" i="16"/>
  <c r="AE400" i="16"/>
  <c r="AD400" i="16"/>
  <c r="AE399" i="16"/>
  <c r="AE398" i="16"/>
  <c r="AE397" i="16"/>
  <c r="AE396" i="16"/>
  <c r="AE395" i="16"/>
  <c r="AE394" i="16"/>
  <c r="AE393" i="16"/>
  <c r="AE392" i="16"/>
  <c r="AE391" i="16"/>
  <c r="AE390" i="16"/>
  <c r="AE389" i="16"/>
  <c r="AE388" i="16"/>
  <c r="AE387" i="16"/>
  <c r="AB387" i="16"/>
  <c r="AE386" i="16"/>
  <c r="AE385" i="16"/>
  <c r="AE384" i="16"/>
  <c r="AE383" i="16"/>
  <c r="AE382" i="16"/>
  <c r="AE381" i="16"/>
  <c r="AD381" i="16"/>
  <c r="AE380" i="16"/>
  <c r="AE379" i="16"/>
  <c r="AE378" i="16"/>
  <c r="AE377" i="16"/>
  <c r="AE376" i="16"/>
  <c r="AE375" i="16"/>
  <c r="AE374" i="16"/>
  <c r="AE373" i="16"/>
  <c r="AE372" i="16"/>
  <c r="AE371" i="16"/>
  <c r="AE370" i="16"/>
  <c r="AE369" i="16"/>
  <c r="AE368" i="16"/>
  <c r="AE367" i="16"/>
  <c r="AE366" i="16"/>
  <c r="AE365" i="16"/>
  <c r="AE364" i="16"/>
  <c r="AE363" i="16"/>
  <c r="AE362" i="16"/>
  <c r="AE361" i="16"/>
  <c r="AE360" i="16"/>
  <c r="AE359" i="16"/>
  <c r="AE358" i="16"/>
  <c r="AE357" i="16"/>
  <c r="AE356" i="16"/>
  <c r="AE355" i="16"/>
  <c r="AE354" i="16"/>
  <c r="AE353" i="16"/>
  <c r="AE352" i="16"/>
  <c r="AC352" i="16"/>
  <c r="AE351" i="16"/>
  <c r="AE350" i="16"/>
  <c r="AE349" i="16"/>
  <c r="AE348" i="16"/>
  <c r="AE347" i="16"/>
  <c r="AE346" i="16"/>
  <c r="AE345" i="16"/>
  <c r="AE344" i="16"/>
  <c r="AE343" i="16"/>
  <c r="AE342" i="16"/>
  <c r="AE341" i="16"/>
  <c r="AC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C325" i="16"/>
  <c r="AE324" i="16"/>
  <c r="AE323" i="16"/>
  <c r="AE322" i="16"/>
  <c r="AE321" i="16"/>
  <c r="AE320" i="16"/>
  <c r="AE319" i="16"/>
  <c r="AE318" i="16"/>
  <c r="AE317" i="16"/>
  <c r="AE316" i="16"/>
  <c r="AE315" i="16"/>
  <c r="AB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B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D279" i="16"/>
  <c r="AE278" i="16"/>
  <c r="AE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D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E248" i="16"/>
  <c r="AE247" i="16"/>
  <c r="AD247" i="16"/>
  <c r="AE246" i="16"/>
  <c r="AE245" i="16"/>
  <c r="AE244" i="16"/>
  <c r="AE243" i="16"/>
  <c r="AE242" i="16"/>
  <c r="AE241" i="16"/>
  <c r="AE240" i="16"/>
  <c r="AE239" i="16"/>
  <c r="AE238" i="16"/>
  <c r="AE237" i="16"/>
  <c r="AE236" i="16"/>
  <c r="AE235" i="16"/>
  <c r="AE234" i="16"/>
  <c r="AE233" i="16"/>
  <c r="AE232" i="16"/>
  <c r="AE231" i="16"/>
  <c r="AD231" i="16"/>
  <c r="AE230" i="16"/>
  <c r="AE229" i="16"/>
  <c r="AE228" i="16"/>
  <c r="AE227" i="16"/>
  <c r="AE226" i="16"/>
  <c r="AE225" i="16"/>
  <c r="AE224" i="16"/>
  <c r="AE223" i="16"/>
  <c r="AE222" i="16"/>
  <c r="AE221" i="16"/>
  <c r="AE220" i="16"/>
  <c r="AE219" i="16"/>
  <c r="AE218" i="16"/>
  <c r="AE217" i="16"/>
  <c r="AE216" i="16"/>
  <c r="AE215" i="16"/>
  <c r="AD215" i="16"/>
  <c r="AE214" i="16"/>
  <c r="AE213" i="16"/>
  <c r="AE212" i="16"/>
  <c r="AE211" i="16"/>
  <c r="AE210" i="16"/>
  <c r="AE209" i="16"/>
  <c r="AE208" i="16"/>
  <c r="AE207" i="16"/>
  <c r="AE206" i="16"/>
  <c r="AE205" i="16"/>
  <c r="AE204" i="16"/>
  <c r="AE203" i="16"/>
  <c r="AE202" i="16"/>
  <c r="AE201" i="16"/>
  <c r="AE200" i="16"/>
  <c r="AE199" i="16"/>
  <c r="AD199" i="16"/>
  <c r="AE198" i="16"/>
  <c r="AE197" i="16"/>
  <c r="AE196" i="16"/>
  <c r="AE195" i="16"/>
  <c r="AE194" i="16"/>
  <c r="AE193" i="16"/>
  <c r="AE192" i="16"/>
  <c r="AE191" i="16"/>
  <c r="AE190" i="16"/>
  <c r="AE189" i="16"/>
  <c r="AE188" i="16"/>
  <c r="AE187" i="16"/>
  <c r="AE186" i="16"/>
  <c r="AE185" i="16"/>
  <c r="AE184" i="16"/>
  <c r="AE183" i="16"/>
  <c r="AD183" i="16"/>
  <c r="AE182" i="16"/>
  <c r="AE181" i="16"/>
  <c r="AD181" i="16"/>
  <c r="AC181" i="16"/>
  <c r="AE180" i="16"/>
  <c r="AD180" i="16"/>
  <c r="AC180" i="16"/>
  <c r="AE179" i="16"/>
  <c r="AD179" i="16"/>
  <c r="AC179" i="16"/>
  <c r="AE178" i="16"/>
  <c r="AD178" i="16"/>
  <c r="AC178" i="16"/>
  <c r="AE177" i="16"/>
  <c r="AD177" i="16"/>
  <c r="AC177" i="16"/>
  <c r="AE176" i="16"/>
  <c r="AD176" i="16"/>
  <c r="AC176" i="16"/>
  <c r="AE175" i="16"/>
  <c r="AD175" i="16"/>
  <c r="AC175" i="16"/>
  <c r="AE174" i="16"/>
  <c r="AD174" i="16"/>
  <c r="AC174" i="16"/>
  <c r="AE173" i="16"/>
  <c r="AD173" i="16"/>
  <c r="AC173" i="16"/>
  <c r="AE172" i="16"/>
  <c r="AD172" i="16"/>
  <c r="AC172" i="16"/>
  <c r="AE171" i="16"/>
  <c r="AD171" i="16"/>
  <c r="AC171" i="16"/>
  <c r="AE170" i="16"/>
  <c r="AD170" i="16"/>
  <c r="AC170" i="16"/>
  <c r="AG169" i="16"/>
  <c r="AF169" i="16"/>
  <c r="AB169" i="16"/>
  <c r="AG168" i="16"/>
  <c r="AF168" i="16"/>
  <c r="AB168" i="16"/>
  <c r="AG167" i="16"/>
  <c r="AF167" i="16"/>
  <c r="AB167" i="16"/>
  <c r="AG166" i="16"/>
  <c r="AF166" i="16"/>
  <c r="AB166" i="16"/>
  <c r="AG165" i="16"/>
  <c r="AF165" i="16"/>
  <c r="AB165" i="16"/>
  <c r="AG164" i="16"/>
  <c r="AF164" i="16"/>
  <c r="AB164" i="16"/>
  <c r="AG163" i="16"/>
  <c r="AF163" i="16"/>
  <c r="AB163" i="16"/>
  <c r="AG162" i="16"/>
  <c r="AF162" i="16"/>
  <c r="AB162" i="16"/>
  <c r="AG161" i="16"/>
  <c r="AF161" i="16"/>
  <c r="AB161" i="16"/>
  <c r="AG160" i="16"/>
  <c r="AF160" i="16"/>
  <c r="AB160" i="16"/>
  <c r="AG159" i="16"/>
  <c r="AF159" i="16"/>
  <c r="AB159" i="16"/>
  <c r="AG158" i="16"/>
  <c r="AF158" i="16"/>
  <c r="AD158" i="16"/>
  <c r="AB158" i="16"/>
  <c r="AE157" i="16"/>
  <c r="AD157" i="16"/>
  <c r="AC157" i="16"/>
  <c r="AE156" i="16"/>
  <c r="AD156" i="16"/>
  <c r="AC156" i="16"/>
  <c r="AE155" i="16"/>
  <c r="AD155" i="16"/>
  <c r="AC155" i="16"/>
  <c r="AE154" i="16"/>
  <c r="AD154" i="16"/>
  <c r="AC154" i="16"/>
  <c r="AE153" i="16"/>
  <c r="AD153" i="16"/>
  <c r="AC153" i="16"/>
  <c r="AE152" i="16"/>
  <c r="AD152" i="16"/>
  <c r="AC152" i="16"/>
  <c r="AE151" i="16"/>
  <c r="AD151" i="16"/>
  <c r="AC151" i="16"/>
  <c r="AE150" i="16"/>
  <c r="AD150" i="16"/>
  <c r="AC150" i="16"/>
  <c r="AE149" i="16"/>
  <c r="AD149" i="16"/>
  <c r="AC149" i="16"/>
  <c r="AE148" i="16"/>
  <c r="AD148" i="16"/>
  <c r="AC148" i="16"/>
  <c r="AE147" i="16"/>
  <c r="AD147" i="16"/>
  <c r="AC147" i="16"/>
  <c r="AE146" i="16"/>
  <c r="AD146" i="16"/>
  <c r="AC146" i="16"/>
  <c r="AE145" i="16"/>
  <c r="AD145" i="16"/>
  <c r="AC145" i="16"/>
  <c r="AE144" i="16"/>
  <c r="AD144" i="16"/>
  <c r="AC144" i="16"/>
  <c r="AE143" i="16"/>
  <c r="AD143" i="16"/>
  <c r="AC143" i="16"/>
  <c r="AE142" i="16"/>
  <c r="AD142" i="16"/>
  <c r="AC142" i="16"/>
  <c r="AE141" i="16"/>
  <c r="AD141" i="16"/>
  <c r="AC141" i="16"/>
  <c r="AE140" i="16"/>
  <c r="AD140" i="16"/>
  <c r="AC140" i="16"/>
  <c r="AE139" i="16"/>
  <c r="AD139" i="16"/>
  <c r="AC139" i="16"/>
  <c r="AE138" i="16"/>
  <c r="AD138" i="16"/>
  <c r="AC138" i="16"/>
  <c r="AE137" i="16"/>
  <c r="AD137" i="16"/>
  <c r="AC137" i="16"/>
  <c r="AE136" i="16"/>
  <c r="AD136" i="16"/>
  <c r="AC136" i="16"/>
  <c r="AE135" i="16"/>
  <c r="AD135" i="16"/>
  <c r="AC135" i="16"/>
  <c r="AE134" i="16"/>
  <c r="AD134" i="16"/>
  <c r="AC134" i="16"/>
  <c r="AG133" i="16"/>
  <c r="AF133" i="16"/>
  <c r="AC133" i="16"/>
  <c r="AB133" i="16"/>
  <c r="AG132" i="16"/>
  <c r="AF132" i="16"/>
  <c r="AB132" i="16"/>
  <c r="AG131" i="16"/>
  <c r="AF131" i="16"/>
  <c r="AC131" i="16"/>
  <c r="AB131" i="16"/>
  <c r="AG130" i="16"/>
  <c r="AF130" i="16"/>
  <c r="AB130" i="16"/>
  <c r="AG129" i="16"/>
  <c r="AF129" i="16"/>
  <c r="AB129" i="16"/>
  <c r="AG128" i="16"/>
  <c r="AF128" i="16"/>
  <c r="AB128" i="16"/>
  <c r="AG127" i="16"/>
  <c r="AF127" i="16"/>
  <c r="AB127" i="16"/>
  <c r="AG126" i="16"/>
  <c r="AF126" i="16"/>
  <c r="AB126" i="16"/>
  <c r="AG125" i="16"/>
  <c r="AF125" i="16"/>
  <c r="AB125" i="16"/>
  <c r="AG124" i="16"/>
  <c r="AF124" i="16"/>
  <c r="AB124" i="16"/>
  <c r="AG123" i="16"/>
  <c r="AF123" i="16"/>
  <c r="AB123" i="16"/>
  <c r="AG122" i="16"/>
  <c r="AF122" i="16"/>
  <c r="AB122" i="16"/>
  <c r="AE121" i="16"/>
  <c r="AD121" i="16"/>
  <c r="AC121" i="16"/>
  <c r="AE120" i="16"/>
  <c r="AD120" i="16"/>
  <c r="AC120" i="16"/>
  <c r="AE119" i="16"/>
  <c r="AD119" i="16"/>
  <c r="AC119" i="16"/>
  <c r="AE118" i="16"/>
  <c r="AD118" i="16"/>
  <c r="AC118" i="16"/>
  <c r="AB118" i="16"/>
  <c r="AE117" i="16"/>
  <c r="AD117" i="16"/>
  <c r="AC117" i="16"/>
  <c r="AE116" i="16"/>
  <c r="AD116" i="16"/>
  <c r="AC116" i="16"/>
  <c r="AE115" i="16"/>
  <c r="AD115" i="16"/>
  <c r="AC115" i="16"/>
  <c r="AE114" i="16"/>
  <c r="AD114" i="16"/>
  <c r="AC114" i="16"/>
  <c r="AE113" i="16"/>
  <c r="AD113" i="16"/>
  <c r="AC113" i="16"/>
  <c r="AE112" i="16"/>
  <c r="AD112" i="16"/>
  <c r="AC112" i="16"/>
  <c r="AE111" i="16"/>
  <c r="AD111" i="16"/>
  <c r="AC111" i="16"/>
  <c r="AE110" i="16"/>
  <c r="AD110" i="16"/>
  <c r="AC110" i="16"/>
  <c r="AE109" i="16"/>
  <c r="AE108" i="16"/>
  <c r="AB108" i="16"/>
  <c r="AE107" i="16"/>
  <c r="AE106" i="16"/>
  <c r="AE105" i="16"/>
  <c r="AE104" i="16"/>
  <c r="AB104" i="16"/>
  <c r="AE103" i="16"/>
  <c r="AE102" i="16"/>
  <c r="AE101" i="16"/>
  <c r="AE100" i="16"/>
  <c r="AB100" i="16"/>
  <c r="AE99" i="16"/>
  <c r="AE98" i="16"/>
  <c r="AE97" i="16"/>
  <c r="AE96" i="16"/>
  <c r="AB96" i="16"/>
  <c r="AE95" i="16"/>
  <c r="AE94" i="16"/>
  <c r="AE93" i="16"/>
  <c r="AE92" i="16"/>
  <c r="AB92" i="16"/>
  <c r="AE91" i="16"/>
  <c r="AE90" i="16"/>
  <c r="AE89" i="16"/>
  <c r="AE88" i="16"/>
  <c r="AB88" i="16"/>
  <c r="AE87" i="16"/>
  <c r="AE86" i="16"/>
  <c r="AG85" i="16"/>
  <c r="AF85" i="16"/>
  <c r="AG84" i="16"/>
  <c r="AF84" i="16"/>
  <c r="AG83" i="16"/>
  <c r="AF83" i="16"/>
  <c r="AG82" i="16"/>
  <c r="AF82" i="16"/>
  <c r="AD82" i="16"/>
  <c r="AG81" i="16"/>
  <c r="AF81" i="16"/>
  <c r="AG80" i="16"/>
  <c r="AF80" i="16"/>
  <c r="AG79" i="16"/>
  <c r="AF79" i="16"/>
  <c r="AG78" i="16"/>
  <c r="AF78" i="16"/>
  <c r="AG77" i="16"/>
  <c r="AF77" i="16"/>
  <c r="AG76" i="16"/>
  <c r="AF76" i="16"/>
  <c r="AG75" i="16"/>
  <c r="AF75" i="16"/>
  <c r="AG74" i="16"/>
  <c r="AF74" i="16"/>
  <c r="AE73" i="16"/>
  <c r="AE72" i="16"/>
  <c r="AE71" i="16"/>
  <c r="AE70" i="16"/>
  <c r="AE69" i="16"/>
  <c r="AE68" i="16"/>
  <c r="AE67" i="16"/>
  <c r="AE66" i="16"/>
  <c r="AE65" i="16"/>
  <c r="AE64" i="16"/>
  <c r="AE63" i="16"/>
  <c r="AE62" i="16"/>
  <c r="AE61" i="16"/>
  <c r="AE60" i="16"/>
  <c r="AE59" i="16"/>
  <c r="AE58" i="16"/>
  <c r="AE57" i="16"/>
  <c r="AE56" i="16"/>
  <c r="AE55" i="16"/>
  <c r="AE54" i="16"/>
  <c r="AE53" i="16"/>
  <c r="AE52" i="16"/>
  <c r="AE51" i="16"/>
  <c r="AE50" i="16"/>
  <c r="AG49" i="16"/>
  <c r="AF49" i="16"/>
  <c r="AG48" i="16"/>
  <c r="AF48" i="16"/>
  <c r="AC48" i="16"/>
  <c r="AG47" i="16"/>
  <c r="AF47" i="16"/>
  <c r="AG46" i="16"/>
  <c r="AF46" i="16"/>
  <c r="AG45" i="16"/>
  <c r="AF45" i="16"/>
  <c r="AG44" i="16"/>
  <c r="AF44" i="16"/>
  <c r="AG43" i="16"/>
  <c r="AF43" i="16"/>
  <c r="AG42" i="16"/>
  <c r="AF42" i="16"/>
  <c r="AG41" i="16"/>
  <c r="AF41" i="16"/>
  <c r="AC41" i="16"/>
  <c r="AG40" i="16"/>
  <c r="AF40" i="16"/>
  <c r="AG39" i="16"/>
  <c r="AF39" i="16"/>
  <c r="AC39" i="16"/>
  <c r="AG38" i="16"/>
  <c r="AF38" i="16"/>
  <c r="AE37" i="16"/>
  <c r="AE36" i="16"/>
  <c r="AE35" i="16"/>
  <c r="AE34" i="16"/>
  <c r="AE33" i="16"/>
  <c r="AE32" i="16"/>
  <c r="AE31" i="16"/>
  <c r="AE30" i="16"/>
  <c r="AE29" i="16"/>
  <c r="AE28" i="16"/>
  <c r="AE27" i="16"/>
  <c r="AE26" i="16"/>
  <c r="AB23" i="16"/>
  <c r="AD17" i="16"/>
  <c r="AC12" i="16"/>
  <c r="AB7" i="16"/>
  <c r="X475" i="16"/>
  <c r="AD475" i="16" s="1"/>
  <c r="W475" i="16"/>
  <c r="AC475" i="16" s="1"/>
  <c r="V475" i="16"/>
  <c r="AB475" i="16" s="1"/>
  <c r="X474" i="16"/>
  <c r="AD474" i="16" s="1"/>
  <c r="W474" i="16"/>
  <c r="AC474" i="16" s="1"/>
  <c r="V474" i="16"/>
  <c r="AB474" i="16" s="1"/>
  <c r="X473" i="16"/>
  <c r="AD473" i="16" s="1"/>
  <c r="W473" i="16"/>
  <c r="AC473" i="16" s="1"/>
  <c r="V473" i="16"/>
  <c r="AB473" i="16" s="1"/>
  <c r="X472" i="16"/>
  <c r="AD472" i="16" s="1"/>
  <c r="W472" i="16"/>
  <c r="AC472" i="16" s="1"/>
  <c r="V472" i="16"/>
  <c r="AB472" i="16" s="1"/>
  <c r="X471" i="16"/>
  <c r="AD471" i="16" s="1"/>
  <c r="W471" i="16"/>
  <c r="AC471" i="16" s="1"/>
  <c r="V471" i="16"/>
  <c r="AB471" i="16" s="1"/>
  <c r="X470" i="16"/>
  <c r="AD470" i="16" s="1"/>
  <c r="W470" i="16"/>
  <c r="AC470" i="16" s="1"/>
  <c r="V470" i="16"/>
  <c r="AB470" i="16" s="1"/>
  <c r="X469" i="16"/>
  <c r="AD469" i="16" s="1"/>
  <c r="W469" i="16"/>
  <c r="AC469" i="16" s="1"/>
  <c r="V469" i="16"/>
  <c r="AB469" i="16" s="1"/>
  <c r="X468" i="16"/>
  <c r="AD468" i="16" s="1"/>
  <c r="W468" i="16"/>
  <c r="AC468" i="16" s="1"/>
  <c r="V468" i="16"/>
  <c r="AB468" i="16" s="1"/>
  <c r="X467" i="16"/>
  <c r="AD467" i="16" s="1"/>
  <c r="W467" i="16"/>
  <c r="AC467" i="16" s="1"/>
  <c r="V467" i="16"/>
  <c r="AB467" i="16" s="1"/>
  <c r="X466" i="16"/>
  <c r="AD466" i="16" s="1"/>
  <c r="W466" i="16"/>
  <c r="AC466" i="16" s="1"/>
  <c r="V466" i="16"/>
  <c r="AB466" i="16" s="1"/>
  <c r="X465" i="16"/>
  <c r="AD465" i="16" s="1"/>
  <c r="W465" i="16"/>
  <c r="AC465" i="16" s="1"/>
  <c r="V465" i="16"/>
  <c r="AB465" i="16" s="1"/>
  <c r="X464" i="16"/>
  <c r="AD464" i="16" s="1"/>
  <c r="W464" i="16"/>
  <c r="AC464" i="16" s="1"/>
  <c r="V464" i="16"/>
  <c r="AB464" i="16" s="1"/>
  <c r="V463" i="16"/>
  <c r="AB463" i="16" s="1"/>
  <c r="V462" i="16"/>
  <c r="AB462" i="16" s="1"/>
  <c r="V461" i="16"/>
  <c r="AB461" i="16" s="1"/>
  <c r="V460" i="16"/>
  <c r="AB460" i="16" s="1"/>
  <c r="V459" i="16"/>
  <c r="AB459" i="16" s="1"/>
  <c r="V458" i="16"/>
  <c r="AB458" i="16" s="1"/>
  <c r="V457" i="16"/>
  <c r="AB457" i="16" s="1"/>
  <c r="V456" i="16"/>
  <c r="AB456" i="16" s="1"/>
  <c r="V455" i="16"/>
  <c r="AB455" i="16" s="1"/>
  <c r="V454" i="16"/>
  <c r="AB454" i="16" s="1"/>
  <c r="V453" i="16"/>
  <c r="AB453" i="16" s="1"/>
  <c r="V452" i="16"/>
  <c r="AB452" i="16" s="1"/>
  <c r="X451" i="16"/>
  <c r="AD451" i="16" s="1"/>
  <c r="W451" i="16"/>
  <c r="AC451" i="16" s="1"/>
  <c r="V451" i="16"/>
  <c r="AB451" i="16" s="1"/>
  <c r="X450" i="16"/>
  <c r="AD450" i="16" s="1"/>
  <c r="W450" i="16"/>
  <c r="AC450" i="16" s="1"/>
  <c r="V450" i="16"/>
  <c r="AB450" i="16" s="1"/>
  <c r="X449" i="16"/>
  <c r="AD449" i="16" s="1"/>
  <c r="W449" i="16"/>
  <c r="AC449" i="16" s="1"/>
  <c r="V449" i="16"/>
  <c r="AB449" i="16" s="1"/>
  <c r="X448" i="16"/>
  <c r="AD448" i="16" s="1"/>
  <c r="W448" i="16"/>
  <c r="AC448" i="16" s="1"/>
  <c r="V448" i="16"/>
  <c r="AB448" i="16" s="1"/>
  <c r="X447" i="16"/>
  <c r="AD447" i="16" s="1"/>
  <c r="W447" i="16"/>
  <c r="AC447" i="16" s="1"/>
  <c r="V447" i="16"/>
  <c r="AB447" i="16" s="1"/>
  <c r="X446" i="16"/>
  <c r="AD446" i="16" s="1"/>
  <c r="W446" i="16"/>
  <c r="AC446" i="16" s="1"/>
  <c r="V446" i="16"/>
  <c r="AB446" i="16" s="1"/>
  <c r="X445" i="16"/>
  <c r="AD445" i="16" s="1"/>
  <c r="W445" i="16"/>
  <c r="AC445" i="16" s="1"/>
  <c r="V445" i="16"/>
  <c r="AB445" i="16" s="1"/>
  <c r="X444" i="16"/>
  <c r="AD444" i="16" s="1"/>
  <c r="W444" i="16"/>
  <c r="AC444" i="16" s="1"/>
  <c r="V444" i="16"/>
  <c r="AB444" i="16" s="1"/>
  <c r="X443" i="16"/>
  <c r="AD443" i="16" s="1"/>
  <c r="W443" i="16"/>
  <c r="AC443" i="16" s="1"/>
  <c r="V443" i="16"/>
  <c r="AB443" i="16" s="1"/>
  <c r="X442" i="16"/>
  <c r="AD442" i="16" s="1"/>
  <c r="W442" i="16"/>
  <c r="AC442" i="16" s="1"/>
  <c r="V442" i="16"/>
  <c r="AB442" i="16" s="1"/>
  <c r="X441" i="16"/>
  <c r="AD441" i="16" s="1"/>
  <c r="W441" i="16"/>
  <c r="AC441" i="16" s="1"/>
  <c r="V441" i="16"/>
  <c r="AB441" i="16" s="1"/>
  <c r="X440" i="16"/>
  <c r="AD440" i="16" s="1"/>
  <c r="W440" i="16"/>
  <c r="AC440" i="16" s="1"/>
  <c r="V440" i="16"/>
  <c r="AB440" i="16" s="1"/>
  <c r="X439" i="16"/>
  <c r="AD439" i="16" s="1"/>
  <c r="W439" i="16"/>
  <c r="AC439" i="16" s="1"/>
  <c r="V439" i="16"/>
  <c r="AB439" i="16" s="1"/>
  <c r="X438" i="16"/>
  <c r="AD438" i="16" s="1"/>
  <c r="W438" i="16"/>
  <c r="AC438" i="16" s="1"/>
  <c r="V438" i="16"/>
  <c r="AB438" i="16" s="1"/>
  <c r="X437" i="16"/>
  <c r="AD437" i="16" s="1"/>
  <c r="W437" i="16"/>
  <c r="AC437" i="16" s="1"/>
  <c r="V437" i="16"/>
  <c r="AB437" i="16" s="1"/>
  <c r="X436" i="16"/>
  <c r="AD436" i="16" s="1"/>
  <c r="W436" i="16"/>
  <c r="AC436" i="16" s="1"/>
  <c r="V436" i="16"/>
  <c r="AB436" i="16" s="1"/>
  <c r="X435" i="16"/>
  <c r="AD435" i="16" s="1"/>
  <c r="W435" i="16"/>
  <c r="AC435" i="16" s="1"/>
  <c r="V435" i="16"/>
  <c r="AB435" i="16" s="1"/>
  <c r="X434" i="16"/>
  <c r="AD434" i="16" s="1"/>
  <c r="W434" i="16"/>
  <c r="AC434" i="16" s="1"/>
  <c r="V434" i="16"/>
  <c r="AB434" i="16" s="1"/>
  <c r="X433" i="16"/>
  <c r="AD433" i="16" s="1"/>
  <c r="W433" i="16"/>
  <c r="AC433" i="16" s="1"/>
  <c r="V433" i="16"/>
  <c r="AB433" i="16" s="1"/>
  <c r="X432" i="16"/>
  <c r="AD432" i="16" s="1"/>
  <c r="W432" i="16"/>
  <c r="AC432" i="16" s="1"/>
  <c r="V432" i="16"/>
  <c r="AB432" i="16" s="1"/>
  <c r="X431" i="16"/>
  <c r="AD431" i="16" s="1"/>
  <c r="W431" i="16"/>
  <c r="AC431" i="16" s="1"/>
  <c r="V431" i="16"/>
  <c r="AB431" i="16" s="1"/>
  <c r="X430" i="16"/>
  <c r="AD430" i="16" s="1"/>
  <c r="W430" i="16"/>
  <c r="AC430" i="16" s="1"/>
  <c r="V430" i="16"/>
  <c r="AB430" i="16" s="1"/>
  <c r="X429" i="16"/>
  <c r="AD429" i="16" s="1"/>
  <c r="W429" i="16"/>
  <c r="AC429" i="16" s="1"/>
  <c r="V429" i="16"/>
  <c r="AB429" i="16" s="1"/>
  <c r="X428" i="16"/>
  <c r="AD428" i="16" s="1"/>
  <c r="W428" i="16"/>
  <c r="AC428" i="16" s="1"/>
  <c r="V428" i="16"/>
  <c r="AB428" i="16" s="1"/>
  <c r="X427" i="16"/>
  <c r="AD427" i="16" s="1"/>
  <c r="W427" i="16"/>
  <c r="AC427" i="16" s="1"/>
  <c r="V427" i="16"/>
  <c r="AB427" i="16" s="1"/>
  <c r="X426" i="16"/>
  <c r="AD426" i="16" s="1"/>
  <c r="W426" i="16"/>
  <c r="AC426" i="16" s="1"/>
  <c r="V426" i="16"/>
  <c r="AB426" i="16" s="1"/>
  <c r="X425" i="16"/>
  <c r="AD425" i="16" s="1"/>
  <c r="W425" i="16"/>
  <c r="AC425" i="16" s="1"/>
  <c r="V425" i="16"/>
  <c r="AB425" i="16" s="1"/>
  <c r="X424" i="16"/>
  <c r="AD424" i="16" s="1"/>
  <c r="W424" i="16"/>
  <c r="AC424" i="16" s="1"/>
  <c r="V424" i="16"/>
  <c r="AB424" i="16" s="1"/>
  <c r="X423" i="16"/>
  <c r="AD423" i="16" s="1"/>
  <c r="W423" i="16"/>
  <c r="AC423" i="16" s="1"/>
  <c r="V423" i="16"/>
  <c r="AB423" i="16" s="1"/>
  <c r="X422" i="16"/>
  <c r="AD422" i="16" s="1"/>
  <c r="W422" i="16"/>
  <c r="AC422" i="16" s="1"/>
  <c r="V422" i="16"/>
  <c r="AB422" i="16" s="1"/>
  <c r="X421" i="16"/>
  <c r="AD421" i="16" s="1"/>
  <c r="W421" i="16"/>
  <c r="AC421" i="16" s="1"/>
  <c r="V421" i="16"/>
  <c r="AB421" i="16" s="1"/>
  <c r="X420" i="16"/>
  <c r="AD420" i="16" s="1"/>
  <c r="W420" i="16"/>
  <c r="AC420" i="16" s="1"/>
  <c r="V420" i="16"/>
  <c r="AB420" i="16" s="1"/>
  <c r="X419" i="16"/>
  <c r="AD419" i="16" s="1"/>
  <c r="W419" i="16"/>
  <c r="AC419" i="16" s="1"/>
  <c r="V419" i="16"/>
  <c r="AB419" i="16" s="1"/>
  <c r="X418" i="16"/>
  <c r="AD418" i="16" s="1"/>
  <c r="W418" i="16"/>
  <c r="AC418" i="16" s="1"/>
  <c r="V418" i="16"/>
  <c r="AB418" i="16" s="1"/>
  <c r="X417" i="16"/>
  <c r="AD417" i="16" s="1"/>
  <c r="W417" i="16"/>
  <c r="AC417" i="16" s="1"/>
  <c r="V417" i="16"/>
  <c r="AB417" i="16" s="1"/>
  <c r="X416" i="16"/>
  <c r="AD416" i="16" s="1"/>
  <c r="W416" i="16"/>
  <c r="AC416" i="16" s="1"/>
  <c r="V416" i="16"/>
  <c r="AB416" i="16" s="1"/>
  <c r="X415" i="16"/>
  <c r="AD415" i="16" s="1"/>
  <c r="W415" i="16"/>
  <c r="AC415" i="16" s="1"/>
  <c r="V415" i="16"/>
  <c r="AB415" i="16" s="1"/>
  <c r="X414" i="16"/>
  <c r="AD414" i="16" s="1"/>
  <c r="W414" i="16"/>
  <c r="AC414" i="16" s="1"/>
  <c r="V414" i="16"/>
  <c r="AB414" i="16" s="1"/>
  <c r="X413" i="16"/>
  <c r="AD413" i="16" s="1"/>
  <c r="W413" i="16"/>
  <c r="AC413" i="16" s="1"/>
  <c r="V413" i="16"/>
  <c r="AB413" i="16" s="1"/>
  <c r="X412" i="16"/>
  <c r="AD412" i="16" s="1"/>
  <c r="W412" i="16"/>
  <c r="AC412" i="16" s="1"/>
  <c r="V412" i="16"/>
  <c r="AB412" i="16" s="1"/>
  <c r="X411" i="16"/>
  <c r="AD411" i="16" s="1"/>
  <c r="W411" i="16"/>
  <c r="AC411" i="16" s="1"/>
  <c r="V411" i="16"/>
  <c r="AB411" i="16" s="1"/>
  <c r="X410" i="16"/>
  <c r="AD410" i="16" s="1"/>
  <c r="W410" i="16"/>
  <c r="AC410" i="16" s="1"/>
  <c r="V410" i="16"/>
  <c r="AB410" i="16" s="1"/>
  <c r="X409" i="16"/>
  <c r="AD409" i="16" s="1"/>
  <c r="W409" i="16"/>
  <c r="AC409" i="16" s="1"/>
  <c r="V409" i="16"/>
  <c r="AB409" i="16" s="1"/>
  <c r="X408" i="16"/>
  <c r="AD408" i="16" s="1"/>
  <c r="W408" i="16"/>
  <c r="AC408" i="16" s="1"/>
  <c r="V408" i="16"/>
  <c r="AB408" i="16" s="1"/>
  <c r="X407" i="16"/>
  <c r="AD407" i="16" s="1"/>
  <c r="W407" i="16"/>
  <c r="AC407" i="16" s="1"/>
  <c r="V407" i="16"/>
  <c r="AB407" i="16" s="1"/>
  <c r="X406" i="16"/>
  <c r="AD406" i="16" s="1"/>
  <c r="W406" i="16"/>
  <c r="AC406" i="16" s="1"/>
  <c r="V406" i="16"/>
  <c r="AB406" i="16" s="1"/>
  <c r="X405" i="16"/>
  <c r="AD405" i="16" s="1"/>
  <c r="W405" i="16"/>
  <c r="AC405" i="16" s="1"/>
  <c r="V405" i="16"/>
  <c r="AB405" i="16" s="1"/>
  <c r="X404" i="16"/>
  <c r="AD404" i="16" s="1"/>
  <c r="W404" i="16"/>
  <c r="AC404" i="16" s="1"/>
  <c r="V404" i="16"/>
  <c r="AB404" i="16" s="1"/>
  <c r="X403" i="16"/>
  <c r="AD403" i="16" s="1"/>
  <c r="W403" i="16"/>
  <c r="AC403" i="16" s="1"/>
  <c r="V403" i="16"/>
  <c r="AB403" i="16" s="1"/>
  <c r="X402" i="16"/>
  <c r="AD402" i="16" s="1"/>
  <c r="W402" i="16"/>
  <c r="AC402" i="16" s="1"/>
  <c r="V402" i="16"/>
  <c r="AB402" i="16" s="1"/>
  <c r="X401" i="16"/>
  <c r="AD401" i="16" s="1"/>
  <c r="W401" i="16"/>
  <c r="AC401" i="16" s="1"/>
  <c r="V401" i="16"/>
  <c r="AB401" i="16" s="1"/>
  <c r="X400" i="16"/>
  <c r="W400" i="16"/>
  <c r="AC400" i="16" s="1"/>
  <c r="V400" i="16"/>
  <c r="AB400" i="16" s="1"/>
  <c r="X399" i="16"/>
  <c r="AD399" i="16" s="1"/>
  <c r="W399" i="16"/>
  <c r="AC399" i="16" s="1"/>
  <c r="V399" i="16"/>
  <c r="AB399" i="16" s="1"/>
  <c r="X398" i="16"/>
  <c r="AD398" i="16" s="1"/>
  <c r="W398" i="16"/>
  <c r="AC398" i="16" s="1"/>
  <c r="V398" i="16"/>
  <c r="AB398" i="16" s="1"/>
  <c r="X397" i="16"/>
  <c r="AD397" i="16" s="1"/>
  <c r="W397" i="16"/>
  <c r="AC397" i="16" s="1"/>
  <c r="V397" i="16"/>
  <c r="AB397" i="16" s="1"/>
  <c r="X396" i="16"/>
  <c r="AD396" i="16" s="1"/>
  <c r="W396" i="16"/>
  <c r="AC396" i="16" s="1"/>
  <c r="V396" i="16"/>
  <c r="AB396" i="16" s="1"/>
  <c r="X395" i="16"/>
  <c r="AD395" i="16" s="1"/>
  <c r="W395" i="16"/>
  <c r="AC395" i="16" s="1"/>
  <c r="V395" i="16"/>
  <c r="AB395" i="16" s="1"/>
  <c r="X394" i="16"/>
  <c r="AD394" i="16" s="1"/>
  <c r="W394" i="16"/>
  <c r="AC394" i="16" s="1"/>
  <c r="V394" i="16"/>
  <c r="AB394" i="16" s="1"/>
  <c r="X393" i="16"/>
  <c r="AD393" i="16" s="1"/>
  <c r="W393" i="16"/>
  <c r="AC393" i="16" s="1"/>
  <c r="V393" i="16"/>
  <c r="AB393" i="16" s="1"/>
  <c r="X392" i="16"/>
  <c r="AD392" i="16" s="1"/>
  <c r="W392" i="16"/>
  <c r="AC392" i="16" s="1"/>
  <c r="V392" i="16"/>
  <c r="AB392" i="16" s="1"/>
  <c r="X391" i="16"/>
  <c r="AD391" i="16" s="1"/>
  <c r="W391" i="16"/>
  <c r="AC391" i="16" s="1"/>
  <c r="V391" i="16"/>
  <c r="AB391" i="16" s="1"/>
  <c r="X390" i="16"/>
  <c r="AD390" i="16" s="1"/>
  <c r="W390" i="16"/>
  <c r="AC390" i="16" s="1"/>
  <c r="V390" i="16"/>
  <c r="AB390" i="16" s="1"/>
  <c r="X389" i="16"/>
  <c r="AD389" i="16" s="1"/>
  <c r="W389" i="16"/>
  <c r="AC389" i="16" s="1"/>
  <c r="V389" i="16"/>
  <c r="AB389" i="16" s="1"/>
  <c r="X388" i="16"/>
  <c r="AD388" i="16" s="1"/>
  <c r="W388" i="16"/>
  <c r="AC388" i="16" s="1"/>
  <c r="V388" i="16"/>
  <c r="AB388" i="16" s="1"/>
  <c r="X387" i="16"/>
  <c r="AD387" i="16" s="1"/>
  <c r="W387" i="16"/>
  <c r="AC387" i="16" s="1"/>
  <c r="V387" i="16"/>
  <c r="X386" i="16"/>
  <c r="AD386" i="16" s="1"/>
  <c r="W386" i="16"/>
  <c r="AC386" i="16" s="1"/>
  <c r="V386" i="16"/>
  <c r="AB386" i="16" s="1"/>
  <c r="X385" i="16"/>
  <c r="AD385" i="16" s="1"/>
  <c r="W385" i="16"/>
  <c r="AC385" i="16" s="1"/>
  <c r="V385" i="16"/>
  <c r="AB385" i="16" s="1"/>
  <c r="X384" i="16"/>
  <c r="AD384" i="16" s="1"/>
  <c r="W384" i="16"/>
  <c r="AC384" i="16" s="1"/>
  <c r="V384" i="16"/>
  <c r="AB384" i="16" s="1"/>
  <c r="X383" i="16"/>
  <c r="AD383" i="16" s="1"/>
  <c r="W383" i="16"/>
  <c r="AC383" i="16" s="1"/>
  <c r="V383" i="16"/>
  <c r="AB383" i="16" s="1"/>
  <c r="X382" i="16"/>
  <c r="AD382" i="16" s="1"/>
  <c r="W382" i="16"/>
  <c r="AC382" i="16" s="1"/>
  <c r="V382" i="16"/>
  <c r="AB382" i="16" s="1"/>
  <c r="X381" i="16"/>
  <c r="W381" i="16"/>
  <c r="AC381" i="16" s="1"/>
  <c r="V381" i="16"/>
  <c r="AB381" i="16" s="1"/>
  <c r="X380" i="16"/>
  <c r="AD380" i="16" s="1"/>
  <c r="W380" i="16"/>
  <c r="AC380" i="16" s="1"/>
  <c r="V380" i="16"/>
  <c r="AB380" i="16" s="1"/>
  <c r="X379" i="16"/>
  <c r="AD379" i="16" s="1"/>
  <c r="W379" i="16"/>
  <c r="AC379" i="16" s="1"/>
  <c r="V379" i="16"/>
  <c r="AB379" i="16" s="1"/>
  <c r="X378" i="16"/>
  <c r="AD378" i="16" s="1"/>
  <c r="W378" i="16"/>
  <c r="AC378" i="16" s="1"/>
  <c r="V378" i="16"/>
  <c r="AB378" i="16" s="1"/>
  <c r="X377" i="16"/>
  <c r="AD377" i="16" s="1"/>
  <c r="W377" i="16"/>
  <c r="AC377" i="16" s="1"/>
  <c r="V377" i="16"/>
  <c r="AB377" i="16" s="1"/>
  <c r="X376" i="16"/>
  <c r="AD376" i="16" s="1"/>
  <c r="W376" i="16"/>
  <c r="AC376" i="16" s="1"/>
  <c r="V376" i="16"/>
  <c r="AB376" i="16" s="1"/>
  <c r="X375" i="16"/>
  <c r="AD375" i="16" s="1"/>
  <c r="W375" i="16"/>
  <c r="AC375" i="16" s="1"/>
  <c r="V375" i="16"/>
  <c r="AB375" i="16" s="1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AD371" i="16" s="1"/>
  <c r="W371" i="16"/>
  <c r="AC371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X362" i="16"/>
  <c r="AD362" i="16" s="1"/>
  <c r="W362" i="16"/>
  <c r="AC362" i="16" s="1"/>
  <c r="V362" i="16"/>
  <c r="AB362" i="16" s="1"/>
  <c r="X361" i="16"/>
  <c r="AD361" i="16" s="1"/>
  <c r="W361" i="16"/>
  <c r="AC361" i="16" s="1"/>
  <c r="V361" i="16"/>
  <c r="AB361" i="16" s="1"/>
  <c r="X360" i="16"/>
  <c r="AD360" i="16" s="1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AD355" i="16" s="1"/>
  <c r="W355" i="16"/>
  <c r="AC355" i="16" s="1"/>
  <c r="V355" i="16"/>
  <c r="AB355" i="16" s="1"/>
  <c r="X354" i="16"/>
  <c r="AD354" i="16" s="1"/>
  <c r="W354" i="16"/>
  <c r="AC354" i="16" s="1"/>
  <c r="V354" i="16"/>
  <c r="AB354" i="16" s="1"/>
  <c r="X353" i="16"/>
  <c r="AD353" i="16" s="1"/>
  <c r="W353" i="16"/>
  <c r="AC353" i="16" s="1"/>
  <c r="V353" i="16"/>
  <c r="AB353" i="16" s="1"/>
  <c r="X352" i="16"/>
  <c r="AD352" i="16" s="1"/>
  <c r="W352" i="16"/>
  <c r="V352" i="16"/>
  <c r="AB352" i="16" s="1"/>
  <c r="X351" i="16"/>
  <c r="AD351" i="16" s="1"/>
  <c r="W351" i="16"/>
  <c r="AC351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AB232" i="16" s="1"/>
  <c r="X231" i="16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W215" i="16"/>
  <c r="AC215" i="16" s="1"/>
  <c r="V215" i="16"/>
  <c r="AB215" i="16" s="1"/>
  <c r="X214" i="16"/>
  <c r="AD214" i="16" s="1"/>
  <c r="W214" i="16"/>
  <c r="AC214" i="16" s="1"/>
  <c r="V214" i="16"/>
  <c r="AB214" i="16" s="1"/>
  <c r="X213" i="16"/>
  <c r="AD213" i="16" s="1"/>
  <c r="W213" i="16"/>
  <c r="AC213" i="16" s="1"/>
  <c r="V213" i="16"/>
  <c r="AB213" i="16" s="1"/>
  <c r="X212" i="16"/>
  <c r="AD212" i="16" s="1"/>
  <c r="W212" i="16"/>
  <c r="AC212" i="16" s="1"/>
  <c r="V212" i="16"/>
  <c r="AB212" i="16" s="1"/>
  <c r="X211" i="16"/>
  <c r="AD211" i="16" s="1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AD209" i="16" s="1"/>
  <c r="W209" i="16"/>
  <c r="AC209" i="16" s="1"/>
  <c r="V209" i="16"/>
  <c r="AB209" i="16" s="1"/>
  <c r="X208" i="16"/>
  <c r="AD208" i="16" s="1"/>
  <c r="W208" i="16"/>
  <c r="AC208" i="16" s="1"/>
  <c r="V208" i="16"/>
  <c r="AB208" i="16" s="1"/>
  <c r="X207" i="16"/>
  <c r="AD207" i="16" s="1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AD205" i="16" s="1"/>
  <c r="W205" i="16"/>
  <c r="AC205" i="16" s="1"/>
  <c r="V205" i="16"/>
  <c r="AB205" i="16" s="1"/>
  <c r="X204" i="16"/>
  <c r="AD204" i="16" s="1"/>
  <c r="W204" i="16"/>
  <c r="AC204" i="16" s="1"/>
  <c r="V204" i="16"/>
  <c r="AB204" i="16" s="1"/>
  <c r="X203" i="16"/>
  <c r="AD203" i="16" s="1"/>
  <c r="W203" i="16"/>
  <c r="AC203" i="16" s="1"/>
  <c r="V203" i="16"/>
  <c r="AB203" i="16" s="1"/>
  <c r="X202" i="16"/>
  <c r="AD202" i="16" s="1"/>
  <c r="W202" i="16"/>
  <c r="AC202" i="16" s="1"/>
  <c r="V202" i="16"/>
  <c r="AB202" i="16" s="1"/>
  <c r="X201" i="16"/>
  <c r="AD201" i="16" s="1"/>
  <c r="W201" i="16"/>
  <c r="AC201" i="16" s="1"/>
  <c r="V201" i="16"/>
  <c r="AB201" i="16" s="1"/>
  <c r="X200" i="16"/>
  <c r="AD200" i="16" s="1"/>
  <c r="W200" i="16"/>
  <c r="AC200" i="16" s="1"/>
  <c r="V200" i="16"/>
  <c r="AB200" i="16" s="1"/>
  <c r="X199" i="16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AD195" i="16" s="1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W183" i="16"/>
  <c r="AC183" i="16" s="1"/>
  <c r="V183" i="16"/>
  <c r="AB183" i="16" s="1"/>
  <c r="X182" i="16"/>
  <c r="AD182" i="16" s="1"/>
  <c r="W182" i="16"/>
  <c r="AC182" i="16" s="1"/>
  <c r="V182" i="16"/>
  <c r="AB182" i="16" s="1"/>
  <c r="V181" i="16"/>
  <c r="AB181" i="16" s="1"/>
  <c r="V180" i="16"/>
  <c r="AB180" i="16" s="1"/>
  <c r="V179" i="16"/>
  <c r="AB179" i="16" s="1"/>
  <c r="V178" i="16"/>
  <c r="AB178" i="16" s="1"/>
  <c r="V177" i="16"/>
  <c r="AB177" i="16" s="1"/>
  <c r="V176" i="16"/>
  <c r="AB176" i="16" s="1"/>
  <c r="V175" i="16"/>
  <c r="AB175" i="16" s="1"/>
  <c r="V174" i="16"/>
  <c r="AB174" i="16" s="1"/>
  <c r="V173" i="16"/>
  <c r="AB173" i="16" s="1"/>
  <c r="V172" i="16"/>
  <c r="AB172" i="16" s="1"/>
  <c r="V171" i="16"/>
  <c r="AB171" i="16" s="1"/>
  <c r="V170" i="16"/>
  <c r="AB170" i="16" s="1"/>
  <c r="X169" i="16"/>
  <c r="AD169" i="16" s="1"/>
  <c r="W169" i="16"/>
  <c r="AC169" i="16" s="1"/>
  <c r="X168" i="16"/>
  <c r="AD168" i="16" s="1"/>
  <c r="W168" i="16"/>
  <c r="AC168" i="16" s="1"/>
  <c r="X167" i="16"/>
  <c r="AD167" i="16" s="1"/>
  <c r="W167" i="16"/>
  <c r="AC167" i="16" s="1"/>
  <c r="X166" i="16"/>
  <c r="AD166" i="16" s="1"/>
  <c r="W166" i="16"/>
  <c r="AC166" i="16" s="1"/>
  <c r="X165" i="16"/>
  <c r="AD165" i="16" s="1"/>
  <c r="W165" i="16"/>
  <c r="AC165" i="16" s="1"/>
  <c r="X164" i="16"/>
  <c r="AD164" i="16" s="1"/>
  <c r="W164" i="16"/>
  <c r="AC164" i="16" s="1"/>
  <c r="X163" i="16"/>
  <c r="AD163" i="16" s="1"/>
  <c r="W163" i="16"/>
  <c r="AC163" i="16" s="1"/>
  <c r="X162" i="16"/>
  <c r="AD162" i="16" s="1"/>
  <c r="W162" i="16"/>
  <c r="AC162" i="16" s="1"/>
  <c r="X161" i="16"/>
  <c r="AD161" i="16" s="1"/>
  <c r="W161" i="16"/>
  <c r="AC161" i="16" s="1"/>
  <c r="X160" i="16"/>
  <c r="AD160" i="16" s="1"/>
  <c r="W160" i="16"/>
  <c r="AC160" i="16" s="1"/>
  <c r="X159" i="16"/>
  <c r="AD159" i="16" s="1"/>
  <c r="W159" i="16"/>
  <c r="AC159" i="16" s="1"/>
  <c r="X158" i="16"/>
  <c r="W158" i="16"/>
  <c r="AC158" i="16" s="1"/>
  <c r="V157" i="16"/>
  <c r="AB157" i="16" s="1"/>
  <c r="V156" i="16"/>
  <c r="AB156" i="16" s="1"/>
  <c r="V155" i="16"/>
  <c r="AB155" i="16" s="1"/>
  <c r="V154" i="16"/>
  <c r="AB154" i="16" s="1"/>
  <c r="V153" i="16"/>
  <c r="AB153" i="16" s="1"/>
  <c r="V152" i="16"/>
  <c r="AB152" i="16" s="1"/>
  <c r="V151" i="16"/>
  <c r="AB151" i="16" s="1"/>
  <c r="V150" i="16"/>
  <c r="AB150" i="16" s="1"/>
  <c r="V149" i="16"/>
  <c r="AB149" i="16" s="1"/>
  <c r="V148" i="16"/>
  <c r="AB148" i="16" s="1"/>
  <c r="V147" i="16"/>
  <c r="AB147" i="16" s="1"/>
  <c r="V146" i="16"/>
  <c r="AB146" i="16" s="1"/>
  <c r="V145" i="16"/>
  <c r="AB145" i="16" s="1"/>
  <c r="V144" i="16"/>
  <c r="AB144" i="16" s="1"/>
  <c r="V143" i="16"/>
  <c r="AB143" i="16" s="1"/>
  <c r="V142" i="16"/>
  <c r="AB142" i="16" s="1"/>
  <c r="V141" i="16"/>
  <c r="AB141" i="16" s="1"/>
  <c r="V140" i="16"/>
  <c r="AB140" i="16" s="1"/>
  <c r="V139" i="16"/>
  <c r="AB139" i="16" s="1"/>
  <c r="V138" i="16"/>
  <c r="AB138" i="16" s="1"/>
  <c r="V137" i="16"/>
  <c r="AB137" i="16" s="1"/>
  <c r="V136" i="16"/>
  <c r="AB136" i="16" s="1"/>
  <c r="V135" i="16"/>
  <c r="AB135" i="16" s="1"/>
  <c r="V134" i="16"/>
  <c r="AB134" i="16" s="1"/>
  <c r="X133" i="16"/>
  <c r="AD133" i="16" s="1"/>
  <c r="W133" i="16"/>
  <c r="X132" i="16"/>
  <c r="AD132" i="16" s="1"/>
  <c r="W132" i="16"/>
  <c r="AC132" i="16" s="1"/>
  <c r="X131" i="16"/>
  <c r="AD131" i="16" s="1"/>
  <c r="W131" i="16"/>
  <c r="X130" i="16"/>
  <c r="AD130" i="16" s="1"/>
  <c r="W130" i="16"/>
  <c r="AC130" i="16" s="1"/>
  <c r="X129" i="16"/>
  <c r="AD129" i="16" s="1"/>
  <c r="W129" i="16"/>
  <c r="AC129" i="16" s="1"/>
  <c r="X128" i="16"/>
  <c r="AD128" i="16" s="1"/>
  <c r="W128" i="16"/>
  <c r="AC128" i="16" s="1"/>
  <c r="X127" i="16"/>
  <c r="AD127" i="16" s="1"/>
  <c r="W127" i="16"/>
  <c r="AC127" i="16" s="1"/>
  <c r="X126" i="16"/>
  <c r="AD126" i="16" s="1"/>
  <c r="W126" i="16"/>
  <c r="AC126" i="16" s="1"/>
  <c r="X125" i="16"/>
  <c r="AD125" i="16" s="1"/>
  <c r="W125" i="16"/>
  <c r="AC125" i="16" s="1"/>
  <c r="X124" i="16"/>
  <c r="AD124" i="16" s="1"/>
  <c r="W124" i="16"/>
  <c r="AC124" i="16" s="1"/>
  <c r="X123" i="16"/>
  <c r="AD123" i="16" s="1"/>
  <c r="W123" i="16"/>
  <c r="AC123" i="16" s="1"/>
  <c r="X122" i="16"/>
  <c r="AD122" i="16" s="1"/>
  <c r="W122" i="16"/>
  <c r="AC122" i="16" s="1"/>
  <c r="V121" i="16"/>
  <c r="AB121" i="16" s="1"/>
  <c r="V120" i="16"/>
  <c r="AB120" i="16" s="1"/>
  <c r="V119" i="16"/>
  <c r="AB119" i="16" s="1"/>
  <c r="V118" i="16"/>
  <c r="V117" i="16"/>
  <c r="AB117" i="16" s="1"/>
  <c r="V116" i="16"/>
  <c r="AB116" i="16" s="1"/>
  <c r="V115" i="16"/>
  <c r="AB115" i="16" s="1"/>
  <c r="V114" i="16"/>
  <c r="AB114" i="16" s="1"/>
  <c r="V113" i="16"/>
  <c r="AB113" i="16" s="1"/>
  <c r="V112" i="16"/>
  <c r="AB112" i="16" s="1"/>
  <c r="V111" i="16"/>
  <c r="AB111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AA51" i="7" s="1"/>
  <c r="Z51" i="6"/>
  <c r="X51" i="6"/>
  <c r="W51" i="6"/>
  <c r="V51" i="6"/>
  <c r="U51" i="6"/>
  <c r="AD50" i="6"/>
  <c r="AB50" i="6"/>
  <c r="AA50" i="6"/>
  <c r="AA50" i="7" s="1"/>
  <c r="Z50" i="6"/>
  <c r="X50" i="6"/>
  <c r="W50" i="6"/>
  <c r="V50" i="6"/>
  <c r="U50" i="6"/>
  <c r="AD49" i="6"/>
  <c r="AB49" i="6"/>
  <c r="AA49" i="6"/>
  <c r="AA49" i="7" s="1"/>
  <c r="Z49" i="6"/>
  <c r="X49" i="6"/>
  <c r="W49" i="6"/>
  <c r="V49" i="6"/>
  <c r="U49" i="6"/>
  <c r="AD48" i="6"/>
  <c r="AB48" i="6"/>
  <c r="AA48" i="6"/>
  <c r="AA48" i="7" s="1"/>
  <c r="Z48" i="6"/>
  <c r="X48" i="6"/>
  <c r="W48" i="6"/>
  <c r="V48" i="6"/>
  <c r="U48" i="6"/>
  <c r="AD47" i="6"/>
  <c r="AB47" i="6"/>
  <c r="AA47" i="6"/>
  <c r="AA47" i="7" s="1"/>
  <c r="Z47" i="6"/>
  <c r="X47" i="6"/>
  <c r="W47" i="6"/>
  <c r="V47" i="6"/>
  <c r="U47" i="6"/>
  <c r="AD46" i="6"/>
  <c r="AB46" i="6"/>
  <c r="AA46" i="6"/>
  <c r="AA46" i="7" s="1"/>
  <c r="Z46" i="6"/>
  <c r="X46" i="6"/>
  <c r="W46" i="6"/>
  <c r="V46" i="6"/>
  <c r="U46" i="6"/>
  <c r="AD45" i="6"/>
  <c r="AB45" i="6"/>
  <c r="AA45" i="6"/>
  <c r="AA45" i="7" s="1"/>
  <c r="Z45" i="6"/>
  <c r="X45" i="6"/>
  <c r="W45" i="6"/>
  <c r="V45" i="6"/>
  <c r="U45" i="6"/>
  <c r="AD44" i="6"/>
  <c r="AB44" i="6"/>
  <c r="AA44" i="6"/>
  <c r="Z44" i="6"/>
  <c r="X44" i="6"/>
  <c r="W44" i="6"/>
  <c r="V44" i="6"/>
  <c r="U44" i="6"/>
  <c r="AD43" i="6"/>
  <c r="AB43" i="6"/>
  <c r="AA43" i="6"/>
  <c r="AA43" i="7" s="1"/>
  <c r="Z43" i="6"/>
  <c r="X43" i="6"/>
  <c r="W43" i="6"/>
  <c r="V43" i="6"/>
  <c r="U43" i="6"/>
  <c r="AD42" i="6"/>
  <c r="AB42" i="6"/>
  <c r="AA42" i="6"/>
  <c r="AA42" i="7" s="1"/>
  <c r="Z42" i="6"/>
  <c r="X42" i="6"/>
  <c r="W42" i="6"/>
  <c r="V42" i="6"/>
  <c r="U42" i="6"/>
  <c r="AD41" i="6"/>
  <c r="AB41" i="6"/>
  <c r="AA41" i="6"/>
  <c r="AA41" i="7" s="1"/>
  <c r="Z41" i="6"/>
  <c r="X41" i="6"/>
  <c r="W41" i="6"/>
  <c r="V41" i="6"/>
  <c r="U41" i="6"/>
  <c r="AD40" i="6"/>
  <c r="AB40" i="6"/>
  <c r="AA40" i="6"/>
  <c r="AA40" i="7" s="1"/>
  <c r="Z40" i="6"/>
  <c r="X40" i="6"/>
  <c r="W40" i="6"/>
  <c r="V40" i="6"/>
  <c r="U40" i="6"/>
  <c r="AD39" i="6"/>
  <c r="AB39" i="6"/>
  <c r="AA39" i="6"/>
  <c r="AA39" i="7" s="1"/>
  <c r="Z39" i="6"/>
  <c r="X39" i="6"/>
  <c r="W39" i="6"/>
  <c r="V39" i="6"/>
  <c r="U39" i="6"/>
  <c r="AD38" i="6"/>
  <c r="AB38" i="6"/>
  <c r="AA38" i="6"/>
  <c r="AA38" i="7" s="1"/>
  <c r="Z38" i="6"/>
  <c r="X38" i="6"/>
  <c r="W38" i="6"/>
  <c r="V38" i="6"/>
  <c r="U38" i="6"/>
  <c r="AD37" i="6"/>
  <c r="AB37" i="6"/>
  <c r="AA37" i="6"/>
  <c r="AA37" i="7" s="1"/>
  <c r="Z37" i="6"/>
  <c r="X37" i="6"/>
  <c r="W37" i="6"/>
  <c r="V37" i="6"/>
  <c r="U37" i="6"/>
  <c r="AD36" i="6"/>
  <c r="AB36" i="6"/>
  <c r="AA36" i="6"/>
  <c r="AA36" i="7" s="1"/>
  <c r="Z36" i="6"/>
  <c r="X36" i="6"/>
  <c r="W36" i="6"/>
  <c r="V36" i="6"/>
  <c r="U36" i="6"/>
  <c r="AD35" i="6"/>
  <c r="AB35" i="6"/>
  <c r="AA35" i="6"/>
  <c r="AA35" i="7" s="1"/>
  <c r="Z35" i="6"/>
  <c r="X35" i="6"/>
  <c r="W35" i="6"/>
  <c r="V35" i="6"/>
  <c r="U35" i="6"/>
  <c r="AD34" i="6"/>
  <c r="AB34" i="6"/>
  <c r="AA34" i="6"/>
  <c r="AA34" i="7" s="1"/>
  <c r="Z34" i="6"/>
  <c r="X34" i="6"/>
  <c r="W34" i="6"/>
  <c r="V34" i="6"/>
  <c r="U34" i="6"/>
  <c r="AD33" i="6"/>
  <c r="AB33" i="6"/>
  <c r="AA33" i="6"/>
  <c r="AA33" i="7" s="1"/>
  <c r="Z33" i="6"/>
  <c r="X33" i="6"/>
  <c r="W33" i="6"/>
  <c r="V33" i="6"/>
  <c r="U33" i="6"/>
  <c r="AD32" i="6"/>
  <c r="AB32" i="6"/>
  <c r="AA32" i="6"/>
  <c r="AA32" i="7" s="1"/>
  <c r="Z32" i="6"/>
  <c r="X32" i="6"/>
  <c r="W32" i="6"/>
  <c r="V32" i="6"/>
  <c r="U32" i="6"/>
  <c r="AD31" i="6"/>
  <c r="AB31" i="6"/>
  <c r="AA31" i="6"/>
  <c r="AA31" i="7" s="1"/>
  <c r="Z31" i="6"/>
  <c r="X31" i="6"/>
  <c r="W31" i="6"/>
  <c r="V31" i="6"/>
  <c r="U31" i="6"/>
  <c r="AD30" i="6"/>
  <c r="AB30" i="6"/>
  <c r="AA30" i="6"/>
  <c r="AA30" i="7" s="1"/>
  <c r="Z30" i="6"/>
  <c r="X30" i="6"/>
  <c r="W30" i="6"/>
  <c r="V30" i="6"/>
  <c r="U30" i="6"/>
  <c r="AD29" i="6"/>
  <c r="AB29" i="6"/>
  <c r="AA29" i="6"/>
  <c r="AA29" i="7" s="1"/>
  <c r="Z29" i="6"/>
  <c r="X29" i="6"/>
  <c r="W29" i="6"/>
  <c r="V29" i="6"/>
  <c r="U29" i="6"/>
  <c r="AD28" i="6"/>
  <c r="AB28" i="6"/>
  <c r="AA28" i="6"/>
  <c r="Z28" i="6"/>
  <c r="X28" i="6"/>
  <c r="W28" i="6"/>
  <c r="V28" i="6"/>
  <c r="U28" i="6"/>
  <c r="AD27" i="6"/>
  <c r="AB27" i="6"/>
  <c r="AA27" i="6"/>
  <c r="AA27" i="7" s="1"/>
  <c r="Z27" i="6"/>
  <c r="X27" i="6"/>
  <c r="W27" i="6"/>
  <c r="V27" i="6"/>
  <c r="U27" i="6"/>
  <c r="AD26" i="6"/>
  <c r="AB26" i="6"/>
  <c r="AA26" i="6"/>
  <c r="AA26" i="7" s="1"/>
  <c r="Z26" i="6"/>
  <c r="X26" i="6"/>
  <c r="W26" i="6"/>
  <c r="V26" i="6"/>
  <c r="U26" i="6"/>
  <c r="AD25" i="6"/>
  <c r="AC25" i="6"/>
  <c r="AB25" i="6"/>
  <c r="AA25" i="6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Z23" i="6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Z19" i="6"/>
  <c r="Y19" i="6"/>
  <c r="X19" i="6"/>
  <c r="W19" i="6"/>
  <c r="V19" i="6"/>
  <c r="U19" i="6"/>
  <c r="AD18" i="6"/>
  <c r="AC18" i="6"/>
  <c r="AB18" i="6"/>
  <c r="AA18" i="6"/>
  <c r="AA18" i="7" s="1"/>
  <c r="Z18" i="6"/>
  <c r="Z18" i="7" s="1"/>
  <c r="Y18" i="6"/>
  <c r="X18" i="6"/>
  <c r="W18" i="6"/>
  <c r="V18" i="6"/>
  <c r="U18" i="6"/>
  <c r="AD17" i="6"/>
  <c r="AC17" i="6"/>
  <c r="AB17" i="6"/>
  <c r="AA17" i="6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Z15" i="6"/>
  <c r="Y15" i="6"/>
  <c r="X15" i="6"/>
  <c r="W15" i="6"/>
  <c r="V15" i="6"/>
  <c r="U15" i="6"/>
  <c r="AD14" i="6"/>
  <c r="AC14" i="6"/>
  <c r="AB14" i="6"/>
  <c r="AA14" i="6"/>
  <c r="AA14" i="7" s="1"/>
  <c r="Z14" i="6"/>
  <c r="Z14" i="7" s="1"/>
  <c r="Y14" i="6"/>
  <c r="X14" i="6"/>
  <c r="W14" i="6"/>
  <c r="V14" i="6"/>
  <c r="U14" i="6"/>
  <c r="AD13" i="6"/>
  <c r="AC13" i="6"/>
  <c r="AB13" i="6"/>
  <c r="AA13" i="6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Z11" i="6"/>
  <c r="Y11" i="6"/>
  <c r="X11" i="6"/>
  <c r="W11" i="6"/>
  <c r="V11" i="6"/>
  <c r="U11" i="6"/>
  <c r="AD10" i="6"/>
  <c r="AC10" i="6"/>
  <c r="AB10" i="6"/>
  <c r="AA10" i="6"/>
  <c r="AA10" i="7" s="1"/>
  <c r="Z10" i="6"/>
  <c r="Z10" i="7" s="1"/>
  <c r="Y10" i="6"/>
  <c r="X10" i="6"/>
  <c r="W10" i="6"/>
  <c r="V10" i="6"/>
  <c r="U10" i="6"/>
  <c r="AD9" i="6"/>
  <c r="AC9" i="6"/>
  <c r="AB9" i="6"/>
  <c r="AA9" i="6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Z7" i="6"/>
  <c r="Y7" i="6"/>
  <c r="X7" i="6"/>
  <c r="W7" i="6"/>
  <c r="V7" i="6"/>
  <c r="U7" i="6"/>
  <c r="AD6" i="6"/>
  <c r="AC6" i="6"/>
  <c r="AB6" i="6"/>
  <c r="AA6" i="6"/>
  <c r="AA6" i="7" s="1"/>
  <c r="Z6" i="6"/>
  <c r="Z6" i="7" s="1"/>
  <c r="Y6" i="6"/>
  <c r="X6" i="6"/>
  <c r="W6" i="6"/>
  <c r="V6" i="6"/>
  <c r="U6" i="6"/>
  <c r="AD5" i="6"/>
  <c r="AC5" i="6"/>
  <c r="AB5" i="6"/>
  <c r="AA5" i="6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W47" i="13"/>
  <c r="U47" i="13"/>
  <c r="S47" i="13"/>
  <c r="O47" i="13"/>
  <c r="N47" i="13"/>
  <c r="M47" i="13"/>
  <c r="U46" i="13"/>
  <c r="T46" i="13"/>
  <c r="S46" i="13"/>
  <c r="O46" i="13"/>
  <c r="N46" i="13"/>
  <c r="M46" i="13"/>
  <c r="W45" i="13"/>
  <c r="U45" i="13"/>
  <c r="T45" i="13"/>
  <c r="S45" i="13"/>
  <c r="O45" i="13"/>
  <c r="N45" i="13"/>
  <c r="M45" i="13"/>
  <c r="W47" i="12"/>
  <c r="U47" i="12"/>
  <c r="S47" i="12"/>
  <c r="O47" i="12"/>
  <c r="N47" i="12"/>
  <c r="M47" i="12"/>
  <c r="U46" i="12"/>
  <c r="T46" i="12"/>
  <c r="S46" i="12"/>
  <c r="O46" i="12"/>
  <c r="N46" i="12"/>
  <c r="M46" i="12"/>
  <c r="W45" i="12"/>
  <c r="U45" i="12"/>
  <c r="U49" i="12" s="1"/>
  <c r="T45" i="12"/>
  <c r="T49" i="12" s="1"/>
  <c r="S45" i="12"/>
  <c r="S49" i="12" s="1"/>
  <c r="O45" i="12"/>
  <c r="O49" i="12" s="1"/>
  <c r="N45" i="12"/>
  <c r="N49" i="12" s="1"/>
  <c r="M45" i="12"/>
  <c r="M49" i="12" s="1"/>
  <c r="X42" i="11"/>
  <c r="X41" i="11"/>
  <c r="X40" i="11"/>
  <c r="X39" i="11"/>
  <c r="X38" i="11"/>
  <c r="X37" i="11"/>
  <c r="X36" i="11"/>
  <c r="X35" i="11"/>
  <c r="X34" i="11"/>
  <c r="X33" i="11"/>
  <c r="X32" i="11"/>
  <c r="X31" i="11"/>
  <c r="X30" i="11"/>
  <c r="X29" i="11"/>
  <c r="X28" i="11"/>
  <c r="X27" i="11"/>
  <c r="X26" i="11"/>
  <c r="X25" i="11"/>
  <c r="X24" i="11"/>
  <c r="X23" i="11"/>
  <c r="X22" i="11"/>
  <c r="X21" i="11"/>
  <c r="X20" i="11"/>
  <c r="X19" i="11"/>
  <c r="X18" i="11"/>
  <c r="X17" i="11"/>
  <c r="X16" i="11"/>
  <c r="X15" i="11"/>
  <c r="X14" i="11"/>
  <c r="X13" i="11"/>
  <c r="X12" i="11"/>
  <c r="X11" i="11"/>
  <c r="X10" i="11"/>
  <c r="X9" i="11"/>
  <c r="X8" i="11"/>
  <c r="X7" i="11"/>
  <c r="X6" i="11"/>
  <c r="X5" i="11"/>
  <c r="W47" i="11"/>
  <c r="U47" i="11"/>
  <c r="S47" i="11"/>
  <c r="O47" i="11"/>
  <c r="N47" i="11"/>
  <c r="M47" i="11"/>
  <c r="U46" i="11"/>
  <c r="T46" i="11"/>
  <c r="S46" i="11"/>
  <c r="O46" i="11"/>
  <c r="N46" i="11"/>
  <c r="M46" i="11"/>
  <c r="W45" i="11"/>
  <c r="U45" i="11"/>
  <c r="U49" i="11" s="1"/>
  <c r="T45" i="11"/>
  <c r="T49" i="11" s="1"/>
  <c r="S45" i="11"/>
  <c r="S49" i="11" s="1"/>
  <c r="O45" i="11"/>
  <c r="O49" i="11" s="1"/>
  <c r="N45" i="11"/>
  <c r="N49" i="11" s="1"/>
  <c r="M45" i="11"/>
  <c r="M49" i="11" s="1"/>
  <c r="W47" i="10"/>
  <c r="W45" i="10"/>
  <c r="U47" i="10"/>
  <c r="U46" i="10"/>
  <c r="U45" i="10"/>
  <c r="T46" i="10"/>
  <c r="T45" i="10"/>
  <c r="S47" i="10"/>
  <c r="S46" i="10"/>
  <c r="S45" i="10"/>
  <c r="Q48" i="10"/>
  <c r="O47" i="10"/>
  <c r="O46" i="10"/>
  <c r="O45" i="10"/>
  <c r="N47" i="10"/>
  <c r="N46" i="10"/>
  <c r="N45" i="10"/>
  <c r="M47" i="10"/>
  <c r="M46" i="10"/>
  <c r="M45" i="10"/>
  <c r="Y42" i="10"/>
  <c r="Y41" i="10"/>
  <c r="Y40" i="10"/>
  <c r="Y39" i="10"/>
  <c r="Y38" i="10"/>
  <c r="Y37" i="10"/>
  <c r="Y36" i="10"/>
  <c r="Y35" i="10"/>
  <c r="Y34" i="10"/>
  <c r="Y33" i="10"/>
  <c r="Y32" i="10"/>
  <c r="Y31" i="10"/>
  <c r="Y30" i="10"/>
  <c r="Y29" i="10"/>
  <c r="Y28" i="10"/>
  <c r="Y27" i="10"/>
  <c r="Y26" i="10"/>
  <c r="Y25" i="10"/>
  <c r="Y24" i="10"/>
  <c r="Y23" i="10"/>
  <c r="Y22" i="10"/>
  <c r="Y21" i="10"/>
  <c r="Y20" i="10"/>
  <c r="Y19" i="10"/>
  <c r="Y18" i="10"/>
  <c r="Y17" i="10"/>
  <c r="Y15" i="10"/>
  <c r="Y14" i="10"/>
  <c r="Y13" i="10"/>
  <c r="Y12" i="10"/>
  <c r="U42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5" i="10"/>
  <c r="U14" i="10"/>
  <c r="U13" i="10"/>
  <c r="U12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5" i="10"/>
  <c r="T14" i="10"/>
  <c r="T13" i="10"/>
  <c r="T12" i="10"/>
  <c r="S42" i="10"/>
  <c r="S41" i="10"/>
  <c r="S40" i="10"/>
  <c r="S39" i="10"/>
  <c r="S38" i="10"/>
  <c r="S37" i="10"/>
  <c r="S36" i="10"/>
  <c r="S35" i="10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5" i="10"/>
  <c r="S14" i="10"/>
  <c r="S13" i="10"/>
  <c r="S12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Q21" i="10"/>
  <c r="Q20" i="10"/>
  <c r="Q19" i="10"/>
  <c r="Q18" i="10"/>
  <c r="Q17" i="10"/>
  <c r="Q15" i="10"/>
  <c r="Q14" i="10"/>
  <c r="Q13" i="10"/>
  <c r="Q12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5" i="10"/>
  <c r="O14" i="10"/>
  <c r="O13" i="10"/>
  <c r="O12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5" i="10"/>
  <c r="N14" i="10"/>
  <c r="N13" i="10"/>
  <c r="N12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5" i="10"/>
  <c r="M14" i="10"/>
  <c r="M13" i="10"/>
  <c r="M12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5" i="10"/>
  <c r="L14" i="10"/>
  <c r="L13" i="10"/>
  <c r="L12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M57" i="7" s="1"/>
  <c r="AG51" i="7"/>
  <c r="Z51" i="7"/>
  <c r="AG50" i="7"/>
  <c r="Z50" i="7"/>
  <c r="AG49" i="7"/>
  <c r="Z49" i="7"/>
  <c r="AG48" i="7"/>
  <c r="Z48" i="7"/>
  <c r="AG47" i="7"/>
  <c r="Z47" i="7"/>
  <c r="AG46" i="7"/>
  <c r="Z46" i="7"/>
  <c r="AG45" i="7"/>
  <c r="Z45" i="7"/>
  <c r="AG44" i="7"/>
  <c r="AA44" i="7"/>
  <c r="Z44" i="7"/>
  <c r="AG43" i="7"/>
  <c r="Z43" i="7"/>
  <c r="AG42" i="7"/>
  <c r="Z42" i="7"/>
  <c r="AG41" i="7"/>
  <c r="Z41" i="7"/>
  <c r="AG40" i="7"/>
  <c r="Z40" i="7"/>
  <c r="AG39" i="7"/>
  <c r="Z39" i="7"/>
  <c r="AG38" i="7"/>
  <c r="Z38" i="7"/>
  <c r="AG37" i="7"/>
  <c r="Z37" i="7"/>
  <c r="AG36" i="7"/>
  <c r="Z36" i="7"/>
  <c r="AG35" i="7"/>
  <c r="Z35" i="7"/>
  <c r="AG34" i="7"/>
  <c r="Z34" i="7"/>
  <c r="AG33" i="7"/>
  <c r="Z33" i="7"/>
  <c r="AG32" i="7"/>
  <c r="Z32" i="7"/>
  <c r="AG31" i="7"/>
  <c r="Z31" i="7"/>
  <c r="AG30" i="7"/>
  <c r="Z30" i="7"/>
  <c r="AG29" i="7"/>
  <c r="Z29" i="7"/>
  <c r="AG28" i="7"/>
  <c r="AA28" i="7"/>
  <c r="Z28" i="7"/>
  <c r="AG27" i="7"/>
  <c r="Z27" i="7"/>
  <c r="AG26" i="7"/>
  <c r="Z26" i="7"/>
  <c r="AG25" i="7"/>
  <c r="AA25" i="7"/>
  <c r="Z25" i="7"/>
  <c r="AG24" i="7"/>
  <c r="AA24" i="7"/>
  <c r="Z24" i="7"/>
  <c r="AG23" i="7"/>
  <c r="AA23" i="7"/>
  <c r="Z23" i="7"/>
  <c r="AG22" i="7"/>
  <c r="AA22" i="7"/>
  <c r="Z22" i="7"/>
  <c r="AG21" i="7"/>
  <c r="AA21" i="7"/>
  <c r="Z21" i="7"/>
  <c r="AG20" i="7"/>
  <c r="AA20" i="7"/>
  <c r="Z20" i="7"/>
  <c r="AG19" i="7"/>
  <c r="AA19" i="7"/>
  <c r="Z19" i="7"/>
  <c r="AG18" i="7"/>
  <c r="AG17" i="7"/>
  <c r="AA17" i="7"/>
  <c r="Z17" i="7"/>
  <c r="AG16" i="7"/>
  <c r="AA16" i="7"/>
  <c r="Z16" i="7"/>
  <c r="AG15" i="7"/>
  <c r="AA15" i="7"/>
  <c r="Z15" i="7"/>
  <c r="AG14" i="7"/>
  <c r="AG13" i="7"/>
  <c r="AA13" i="7"/>
  <c r="Z13" i="7"/>
  <c r="AG12" i="7"/>
  <c r="AA12" i="7"/>
  <c r="Z12" i="7"/>
  <c r="AG11" i="7"/>
  <c r="AA11" i="7"/>
  <c r="Z11" i="7"/>
  <c r="AG10" i="7"/>
  <c r="AG9" i="7"/>
  <c r="AA9" i="7"/>
  <c r="Z9" i="7"/>
  <c r="AG8" i="7"/>
  <c r="AA8" i="7"/>
  <c r="Z8" i="7"/>
  <c r="AG7" i="7"/>
  <c r="AA7" i="7"/>
  <c r="Z7" i="7"/>
  <c r="AG6" i="7"/>
  <c r="AG5" i="7"/>
  <c r="AA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Q58" i="6"/>
  <c r="Q57" i="6"/>
  <c r="Q56" i="6"/>
  <c r="P58" i="6"/>
  <c r="P57" i="6"/>
  <c r="P56" i="6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N16" i="6"/>
  <c r="N15" i="6"/>
  <c r="N9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AJ56" i="6"/>
  <c r="AI58" i="6"/>
  <c r="AI56" i="6"/>
  <c r="AH58" i="6"/>
  <c r="AH57" i="6"/>
  <c r="AH56" i="6"/>
  <c r="W56" i="6"/>
  <c r="U58" i="6"/>
  <c r="F44" i="5"/>
  <c r="E44" i="5"/>
  <c r="D44" i="5"/>
  <c r="F42" i="5"/>
  <c r="D42" i="5"/>
  <c r="F40" i="5"/>
  <c r="E40" i="5"/>
  <c r="D40" i="5"/>
  <c r="F28" i="5"/>
  <c r="F23" i="5"/>
  <c r="D23" i="5"/>
  <c r="AG56" i="6" s="1"/>
  <c r="F20" i="5"/>
  <c r="E20" i="5"/>
  <c r="D20" i="5"/>
  <c r="AD56" i="6" s="1"/>
  <c r="F18" i="5"/>
  <c r="E18" i="5"/>
  <c r="AB57" i="6" s="1"/>
  <c r="T39" i="4"/>
  <c r="S39" i="4"/>
  <c r="R39" i="4"/>
  <c r="Q39" i="4"/>
  <c r="P39" i="4"/>
  <c r="O39" i="4"/>
  <c r="N39" i="4"/>
  <c r="M39" i="4"/>
  <c r="L39" i="4"/>
  <c r="K39" i="4"/>
  <c r="J39" i="4"/>
  <c r="I39" i="4"/>
  <c r="U39" i="4" s="1"/>
  <c r="T38" i="4"/>
  <c r="S38" i="4"/>
  <c r="R38" i="4"/>
  <c r="Q38" i="4"/>
  <c r="P38" i="4"/>
  <c r="O38" i="4"/>
  <c r="N38" i="4"/>
  <c r="M38" i="4"/>
  <c r="U38" i="4" s="1"/>
  <c r="L38" i="4"/>
  <c r="K38" i="4"/>
  <c r="J38" i="4"/>
  <c r="I38" i="4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U31" i="4" s="1"/>
  <c r="L31" i="4"/>
  <c r="K31" i="4"/>
  <c r="J31" i="4"/>
  <c r="I31" i="4"/>
  <c r="T30" i="4"/>
  <c r="S30" i="4"/>
  <c r="R30" i="4"/>
  <c r="Q30" i="4"/>
  <c r="P30" i="4"/>
  <c r="O30" i="4"/>
  <c r="N30" i="4"/>
  <c r="M30" i="4"/>
  <c r="U30" i="4" s="1"/>
  <c r="L30" i="4"/>
  <c r="K30" i="4"/>
  <c r="J30" i="4"/>
  <c r="I30" i="4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U28" i="4" s="1"/>
  <c r="K28" i="4"/>
  <c r="J28" i="4"/>
  <c r="I28" i="4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U23" i="4" s="1"/>
  <c r="L23" i="4"/>
  <c r="K23" i="4"/>
  <c r="J23" i="4"/>
  <c r="I23" i="4"/>
  <c r="T22" i="4"/>
  <c r="S22" i="4"/>
  <c r="R22" i="4"/>
  <c r="Q22" i="4"/>
  <c r="P22" i="4"/>
  <c r="O22" i="4"/>
  <c r="N22" i="4"/>
  <c r="M22" i="4"/>
  <c r="U22" i="4" s="1"/>
  <c r="L22" i="4"/>
  <c r="K22" i="4"/>
  <c r="J22" i="4"/>
  <c r="I22" i="4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U20" i="4" s="1"/>
  <c r="K20" i="4"/>
  <c r="J20" i="4"/>
  <c r="I20" i="4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U15" i="4" s="1"/>
  <c r="L15" i="4"/>
  <c r="K15" i="4"/>
  <c r="J15" i="4"/>
  <c r="I15" i="4"/>
  <c r="T14" i="4"/>
  <c r="S14" i="4"/>
  <c r="R14" i="4"/>
  <c r="Q14" i="4"/>
  <c r="P14" i="4"/>
  <c r="O14" i="4"/>
  <c r="N14" i="4"/>
  <c r="M14" i="4"/>
  <c r="L14" i="4"/>
  <c r="K14" i="4"/>
  <c r="J14" i="4"/>
  <c r="U14" i="4" s="1"/>
  <c r="I14" i="4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U12" i="4" s="1"/>
  <c r="K12" i="4"/>
  <c r="J12" i="4"/>
  <c r="I12" i="4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U7" i="4" s="1"/>
  <c r="L7" i="4"/>
  <c r="K7" i="4"/>
  <c r="J7" i="4"/>
  <c r="I7" i="4"/>
  <c r="T6" i="4"/>
  <c r="S6" i="4"/>
  <c r="R6" i="4"/>
  <c r="Q6" i="4"/>
  <c r="P6" i="4"/>
  <c r="O6" i="4"/>
  <c r="N6" i="4"/>
  <c r="M6" i="4"/>
  <c r="L6" i="4"/>
  <c r="K6" i="4"/>
  <c r="J6" i="4"/>
  <c r="U6" i="4" s="1"/>
  <c r="I6" i="4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U4" i="4" s="1"/>
  <c r="K4" i="4"/>
  <c r="J4" i="4"/>
  <c r="I4" i="4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U45" i="3" s="1"/>
  <c r="I45" i="3"/>
  <c r="T44" i="3"/>
  <c r="S44" i="3"/>
  <c r="R44" i="3"/>
  <c r="Q44" i="3"/>
  <c r="P44" i="3"/>
  <c r="O44" i="3"/>
  <c r="N44" i="3"/>
  <c r="M44" i="3"/>
  <c r="L44" i="3"/>
  <c r="K44" i="3"/>
  <c r="J44" i="3"/>
  <c r="U44" i="3" s="1"/>
  <c r="I44" i="3"/>
  <c r="T43" i="3"/>
  <c r="S43" i="3"/>
  <c r="R43" i="3"/>
  <c r="Q43" i="3"/>
  <c r="P43" i="3"/>
  <c r="O43" i="3"/>
  <c r="N43" i="3"/>
  <c r="M43" i="3"/>
  <c r="U43" i="3" s="1"/>
  <c r="L43" i="3"/>
  <c r="K43" i="3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U37" i="3" s="1"/>
  <c r="I37" i="3"/>
  <c r="T36" i="3"/>
  <c r="S36" i="3"/>
  <c r="R36" i="3"/>
  <c r="Q36" i="3"/>
  <c r="P36" i="3"/>
  <c r="O36" i="3"/>
  <c r="N36" i="3"/>
  <c r="M36" i="3"/>
  <c r="L36" i="3"/>
  <c r="K36" i="3"/>
  <c r="U36" i="3" s="1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U35" i="3" s="1"/>
  <c r="I35" i="3"/>
  <c r="T34" i="3"/>
  <c r="S34" i="3"/>
  <c r="R34" i="3"/>
  <c r="Q34" i="3"/>
  <c r="P34" i="3"/>
  <c r="O34" i="3"/>
  <c r="N34" i="3"/>
  <c r="M34" i="3"/>
  <c r="U34" i="3" s="1"/>
  <c r="L34" i="3"/>
  <c r="K34" i="3"/>
  <c r="J34" i="3"/>
  <c r="I34" i="3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U29" i="3" s="1"/>
  <c r="I29" i="3"/>
  <c r="T28" i="3"/>
  <c r="S28" i="3"/>
  <c r="R28" i="3"/>
  <c r="Q28" i="3"/>
  <c r="P28" i="3"/>
  <c r="O28" i="3"/>
  <c r="N28" i="3"/>
  <c r="M28" i="3"/>
  <c r="L28" i="3"/>
  <c r="K28" i="3"/>
  <c r="U28" i="3" s="1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U27" i="3" s="1"/>
  <c r="I27" i="3"/>
  <c r="T26" i="3"/>
  <c r="S26" i="3"/>
  <c r="R26" i="3"/>
  <c r="Q26" i="3"/>
  <c r="P26" i="3"/>
  <c r="O26" i="3"/>
  <c r="N26" i="3"/>
  <c r="M26" i="3"/>
  <c r="U26" i="3" s="1"/>
  <c r="L26" i="3"/>
  <c r="K26" i="3"/>
  <c r="J26" i="3"/>
  <c r="I26" i="3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U21" i="3" s="1"/>
  <c r="I21" i="3"/>
  <c r="T20" i="3"/>
  <c r="S20" i="3"/>
  <c r="R20" i="3"/>
  <c r="Q20" i="3"/>
  <c r="P20" i="3"/>
  <c r="O20" i="3"/>
  <c r="N20" i="3"/>
  <c r="M20" i="3"/>
  <c r="L20" i="3"/>
  <c r="K20" i="3"/>
  <c r="U20" i="3" s="1"/>
  <c r="J20" i="3"/>
  <c r="I20" i="3"/>
  <c r="T19" i="3"/>
  <c r="S19" i="3"/>
  <c r="R19" i="3"/>
  <c r="Q19" i="3"/>
  <c r="P19" i="3"/>
  <c r="O19" i="3"/>
  <c r="N19" i="3"/>
  <c r="M19" i="3"/>
  <c r="L19" i="3"/>
  <c r="K19" i="3"/>
  <c r="J19" i="3"/>
  <c r="U19" i="3" s="1"/>
  <c r="I19" i="3"/>
  <c r="T18" i="3"/>
  <c r="S18" i="3"/>
  <c r="R18" i="3"/>
  <c r="Q18" i="3"/>
  <c r="P18" i="3"/>
  <c r="O18" i="3"/>
  <c r="N18" i="3"/>
  <c r="M18" i="3"/>
  <c r="U18" i="3" s="1"/>
  <c r="L18" i="3"/>
  <c r="K18" i="3"/>
  <c r="J18" i="3"/>
  <c r="I18" i="3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U13" i="3" s="1"/>
  <c r="I13" i="3"/>
  <c r="T12" i="3"/>
  <c r="S12" i="3"/>
  <c r="R12" i="3"/>
  <c r="Q12" i="3"/>
  <c r="P12" i="3"/>
  <c r="O12" i="3"/>
  <c r="N12" i="3"/>
  <c r="M12" i="3"/>
  <c r="L12" i="3"/>
  <c r="K12" i="3"/>
  <c r="U12" i="3" s="1"/>
  <c r="J12" i="3"/>
  <c r="I12" i="3"/>
  <c r="T11" i="3"/>
  <c r="S11" i="3"/>
  <c r="R11" i="3"/>
  <c r="Q11" i="3"/>
  <c r="P11" i="3"/>
  <c r="O11" i="3"/>
  <c r="N11" i="3"/>
  <c r="M11" i="3"/>
  <c r="L11" i="3"/>
  <c r="K11" i="3"/>
  <c r="J11" i="3"/>
  <c r="U11" i="3" s="1"/>
  <c r="I11" i="3"/>
  <c r="T10" i="3"/>
  <c r="S10" i="3"/>
  <c r="R10" i="3"/>
  <c r="Q10" i="3"/>
  <c r="P10" i="3"/>
  <c r="O10" i="3"/>
  <c r="N10" i="3"/>
  <c r="M10" i="3"/>
  <c r="U10" i="3" s="1"/>
  <c r="L10" i="3"/>
  <c r="K10" i="3"/>
  <c r="J10" i="3"/>
  <c r="I10" i="3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U5" i="3" s="1"/>
  <c r="I5" i="3"/>
  <c r="T4" i="3"/>
  <c r="S4" i="3"/>
  <c r="R4" i="3"/>
  <c r="Q4" i="3"/>
  <c r="P4" i="3"/>
  <c r="O4" i="3"/>
  <c r="N4" i="3"/>
  <c r="M4" i="3"/>
  <c r="L4" i="3"/>
  <c r="K4" i="3"/>
  <c r="U4" i="3" s="1"/>
  <c r="J4" i="3"/>
  <c r="I4" i="3"/>
  <c r="T3" i="3"/>
  <c r="S3" i="3"/>
  <c r="R3" i="3"/>
  <c r="Q3" i="3"/>
  <c r="P3" i="3"/>
  <c r="O3" i="3"/>
  <c r="N3" i="3"/>
  <c r="M3" i="3"/>
  <c r="L3" i="3"/>
  <c r="K3" i="3"/>
  <c r="J3" i="3"/>
  <c r="U3" i="3" s="1"/>
  <c r="I3" i="3"/>
  <c r="T2" i="3"/>
  <c r="S2" i="3"/>
  <c r="R2" i="3"/>
  <c r="Q2" i="3"/>
  <c r="P2" i="3"/>
  <c r="O2" i="3"/>
  <c r="N2" i="3"/>
  <c r="M2" i="3"/>
  <c r="U2" i="3" s="1"/>
  <c r="L2" i="3"/>
  <c r="K2" i="3"/>
  <c r="J2" i="3"/>
  <c r="I2" i="3"/>
  <c r="H1" i="2"/>
  <c r="I25" i="35" l="1"/>
  <c r="I25" i="9"/>
  <c r="I25" i="6"/>
  <c r="I25" i="8"/>
  <c r="I25" i="14"/>
  <c r="I25" i="7"/>
  <c r="I43" i="35"/>
  <c r="I43" i="9"/>
  <c r="I43" i="14"/>
  <c r="I43" i="8"/>
  <c r="I43" i="7"/>
  <c r="I43" i="6"/>
  <c r="I8" i="36"/>
  <c r="AA51" i="36" s="1"/>
  <c r="I8" i="13"/>
  <c r="I8" i="11"/>
  <c r="I8" i="12"/>
  <c r="I8" i="10"/>
  <c r="I14" i="36"/>
  <c r="I14" i="12"/>
  <c r="I14" i="13"/>
  <c r="I14" i="11"/>
  <c r="I14" i="10"/>
  <c r="I16" i="36"/>
  <c r="I16" i="13"/>
  <c r="I16" i="11"/>
  <c r="I16" i="10"/>
  <c r="I16" i="12"/>
  <c r="I20" i="36"/>
  <c r="I20" i="13"/>
  <c r="I20" i="11"/>
  <c r="I20" i="10"/>
  <c r="I20" i="12"/>
  <c r="I25" i="36"/>
  <c r="I25" i="13"/>
  <c r="I25" i="11"/>
  <c r="I25" i="10"/>
  <c r="I25" i="12"/>
  <c r="I28" i="36"/>
  <c r="AE71" i="36" s="1"/>
  <c r="I28" i="13"/>
  <c r="I28" i="11"/>
  <c r="I28" i="10"/>
  <c r="I28" i="12"/>
  <c r="I30" i="36"/>
  <c r="I30" i="12"/>
  <c r="I30" i="10"/>
  <c r="I30" i="13"/>
  <c r="I30" i="11"/>
  <c r="I32" i="36"/>
  <c r="AE75" i="36" s="1"/>
  <c r="I32" i="13"/>
  <c r="I32" i="11"/>
  <c r="I32" i="12"/>
  <c r="I32" i="10"/>
  <c r="I33" i="36"/>
  <c r="I33" i="13"/>
  <c r="I33" i="11"/>
  <c r="I33" i="10"/>
  <c r="I33" i="12"/>
  <c r="I36" i="36"/>
  <c r="I36" i="13"/>
  <c r="I36" i="11"/>
  <c r="I36" i="10"/>
  <c r="I36" i="12"/>
  <c r="I38" i="36"/>
  <c r="I38" i="12"/>
  <c r="I38" i="10"/>
  <c r="I38" i="13"/>
  <c r="I38" i="11"/>
  <c r="I40" i="36"/>
  <c r="I40" i="13"/>
  <c r="I40" i="11"/>
  <c r="I40" i="12"/>
  <c r="I40" i="10"/>
  <c r="I41" i="36"/>
  <c r="I41" i="13"/>
  <c r="I41" i="11"/>
  <c r="I41" i="10"/>
  <c r="I41" i="12"/>
  <c r="I42" i="36"/>
  <c r="I42" i="13"/>
  <c r="I42" i="11"/>
  <c r="I42" i="10"/>
  <c r="I42" i="12"/>
  <c r="I11" i="35"/>
  <c r="BA63" i="35" s="1"/>
  <c r="I11" i="9"/>
  <c r="I11" i="14"/>
  <c r="I11" i="8"/>
  <c r="I11" i="7"/>
  <c r="I11" i="6"/>
  <c r="I24" i="36"/>
  <c r="AE67" i="36" s="1"/>
  <c r="I24" i="13"/>
  <c r="I24" i="11"/>
  <c r="I24" i="12"/>
  <c r="I24" i="10"/>
  <c r="I47" i="35"/>
  <c r="I47" i="14"/>
  <c r="I47" i="9"/>
  <c r="I47" i="7"/>
  <c r="I47" i="8"/>
  <c r="I47" i="6"/>
  <c r="I35" i="35"/>
  <c r="I35" i="9"/>
  <c r="I35" i="14"/>
  <c r="I35" i="8"/>
  <c r="I35" i="6"/>
  <c r="I35" i="7"/>
  <c r="I12" i="36"/>
  <c r="AA55" i="36" s="1"/>
  <c r="I12" i="13"/>
  <c r="I12" i="11"/>
  <c r="I12" i="10"/>
  <c r="I12" i="12"/>
  <c r="I15" i="35"/>
  <c r="BD67" i="35" s="1"/>
  <c r="I15" i="9"/>
  <c r="I15" i="14"/>
  <c r="I15" i="8"/>
  <c r="I15" i="6"/>
  <c r="I15" i="7"/>
  <c r="I23" i="35"/>
  <c r="I23" i="9"/>
  <c r="I23" i="7"/>
  <c r="I23" i="14"/>
  <c r="I23" i="6"/>
  <c r="I23" i="8"/>
  <c r="I31" i="35"/>
  <c r="I31" i="14"/>
  <c r="I31" i="9"/>
  <c r="I31" i="8"/>
  <c r="I31" i="7"/>
  <c r="I31" i="6"/>
  <c r="I39" i="35"/>
  <c r="I39" i="14"/>
  <c r="I39" i="9"/>
  <c r="I39" i="7"/>
  <c r="I39" i="6"/>
  <c r="I39" i="8"/>
  <c r="I19" i="35"/>
  <c r="I19" i="9"/>
  <c r="I19" i="14"/>
  <c r="I19" i="8"/>
  <c r="I19" i="7"/>
  <c r="I19" i="6"/>
  <c r="I22" i="36"/>
  <c r="I22" i="12"/>
  <c r="I22" i="13"/>
  <c r="I22" i="11"/>
  <c r="I22" i="10"/>
  <c r="I7" i="35"/>
  <c r="BA59" i="35" s="1"/>
  <c r="P13" i="5"/>
  <c r="I7" i="9"/>
  <c r="I7" i="14"/>
  <c r="I7" i="6"/>
  <c r="I7" i="8"/>
  <c r="I7" i="7"/>
  <c r="I46" i="35"/>
  <c r="I46" i="8"/>
  <c r="I46" i="7"/>
  <c r="I46" i="9"/>
  <c r="I46" i="6"/>
  <c r="I46" i="14"/>
  <c r="I10" i="35"/>
  <c r="BA62" i="35" s="1"/>
  <c r="I10" i="9"/>
  <c r="I10" i="14"/>
  <c r="I10" i="8"/>
  <c r="I10" i="7"/>
  <c r="I10" i="6"/>
  <c r="I21" i="35"/>
  <c r="I21" i="8"/>
  <c r="I21" i="14"/>
  <c r="I21" i="7"/>
  <c r="I21" i="6"/>
  <c r="I21" i="9"/>
  <c r="I28" i="35"/>
  <c r="I28" i="8"/>
  <c r="I28" i="7"/>
  <c r="I28" i="14"/>
  <c r="I28" i="9"/>
  <c r="I28" i="6"/>
  <c r="I37" i="35"/>
  <c r="I37" i="8"/>
  <c r="I37" i="14"/>
  <c r="I37" i="9"/>
  <c r="I37" i="6"/>
  <c r="I37" i="7"/>
  <c r="I44" i="35"/>
  <c r="I44" i="8"/>
  <c r="I44" i="7"/>
  <c r="I44" i="14"/>
  <c r="I44" i="9"/>
  <c r="I44" i="6"/>
  <c r="I50" i="35"/>
  <c r="I50" i="9"/>
  <c r="I50" i="8"/>
  <c r="I50" i="14"/>
  <c r="I50" i="6"/>
  <c r="I50" i="7"/>
  <c r="I5" i="36"/>
  <c r="AE48" i="36" s="1"/>
  <c r="P14" i="5"/>
  <c r="P17" i="5" s="1"/>
  <c r="I5" i="13"/>
  <c r="I5" i="11"/>
  <c r="I5" i="10"/>
  <c r="I5" i="12"/>
  <c r="I11" i="36"/>
  <c r="Z54" i="36" s="1"/>
  <c r="I11" i="13"/>
  <c r="I11" i="11"/>
  <c r="I11" i="10"/>
  <c r="I11" i="12"/>
  <c r="I13" i="36"/>
  <c r="I13" i="13"/>
  <c r="I13" i="11"/>
  <c r="I13" i="10"/>
  <c r="I13" i="12"/>
  <c r="I18" i="36"/>
  <c r="I18" i="13"/>
  <c r="I18" i="11"/>
  <c r="I18" i="10"/>
  <c r="I18" i="12"/>
  <c r="I19" i="36"/>
  <c r="AA62" i="36" s="1"/>
  <c r="I19" i="13"/>
  <c r="I19" i="11"/>
  <c r="I19" i="10"/>
  <c r="I19" i="12"/>
  <c r="I21" i="36"/>
  <c r="AA64" i="36" s="1"/>
  <c r="I21" i="13"/>
  <c r="I21" i="11"/>
  <c r="I21" i="10"/>
  <c r="I21" i="12"/>
  <c r="I26" i="36"/>
  <c r="I26" i="13"/>
  <c r="I26" i="11"/>
  <c r="I26" i="10"/>
  <c r="I26" i="12"/>
  <c r="I27" i="36"/>
  <c r="I27" i="13"/>
  <c r="I27" i="11"/>
  <c r="I27" i="10"/>
  <c r="I27" i="12"/>
  <c r="I29" i="36"/>
  <c r="AA72" i="36" s="1"/>
  <c r="I29" i="13"/>
  <c r="I29" i="11"/>
  <c r="I29" i="10"/>
  <c r="I29" i="12"/>
  <c r="I34" i="36"/>
  <c r="I34" i="13"/>
  <c r="I34" i="11"/>
  <c r="I34" i="10"/>
  <c r="I34" i="12"/>
  <c r="I35" i="36"/>
  <c r="I35" i="13"/>
  <c r="I35" i="11"/>
  <c r="I35" i="10"/>
  <c r="I35" i="12"/>
  <c r="I37" i="36"/>
  <c r="I37" i="13"/>
  <c r="I37" i="11"/>
  <c r="I37" i="10"/>
  <c r="I37" i="12"/>
  <c r="I39" i="36"/>
  <c r="I39" i="10"/>
  <c r="I39" i="12"/>
  <c r="I39" i="13"/>
  <c r="I39" i="11"/>
  <c r="I17" i="35"/>
  <c r="I17" i="9"/>
  <c r="I17" i="14"/>
  <c r="I17" i="7"/>
  <c r="I17" i="6"/>
  <c r="I17" i="8"/>
  <c r="I27" i="35"/>
  <c r="I27" i="9"/>
  <c r="I27" i="14"/>
  <c r="I27" i="8"/>
  <c r="I27" i="6"/>
  <c r="I27" i="7"/>
  <c r="I45" i="35"/>
  <c r="I45" i="8"/>
  <c r="I45" i="14"/>
  <c r="I45" i="7"/>
  <c r="I45" i="9"/>
  <c r="I45" i="6"/>
  <c r="I51" i="35"/>
  <c r="I51" i="9"/>
  <c r="I51" i="14"/>
  <c r="I51" i="8"/>
  <c r="I51" i="7"/>
  <c r="I51" i="6"/>
  <c r="I12" i="35"/>
  <c r="AZ64" i="35" s="1"/>
  <c r="I12" i="14"/>
  <c r="I12" i="8"/>
  <c r="I12" i="9"/>
  <c r="I12" i="6"/>
  <c r="I12" i="7"/>
  <c r="I20" i="35"/>
  <c r="I20" i="14"/>
  <c r="I20" i="8"/>
  <c r="I20" i="9"/>
  <c r="I20" i="7"/>
  <c r="I20" i="6"/>
  <c r="I26" i="35"/>
  <c r="I26" i="9"/>
  <c r="I26" i="8"/>
  <c r="I26" i="6"/>
  <c r="I26" i="14"/>
  <c r="I26" i="7"/>
  <c r="I29" i="35"/>
  <c r="I29" i="8"/>
  <c r="I29" i="14"/>
  <c r="I29" i="9"/>
  <c r="I29" i="6"/>
  <c r="I29" i="7"/>
  <c r="I36" i="35"/>
  <c r="I36" i="8"/>
  <c r="I36" i="14"/>
  <c r="I36" i="7"/>
  <c r="I36" i="9"/>
  <c r="I36" i="6"/>
  <c r="I42" i="35"/>
  <c r="I42" i="9"/>
  <c r="I42" i="8"/>
  <c r="I42" i="6"/>
  <c r="I42" i="14"/>
  <c r="I42" i="7"/>
  <c r="I6" i="35"/>
  <c r="BA58" i="35" s="1"/>
  <c r="I6" i="8"/>
  <c r="I6" i="6"/>
  <c r="I6" i="9"/>
  <c r="I6" i="7"/>
  <c r="I6" i="14"/>
  <c r="I14" i="35"/>
  <c r="AV66" i="35" s="1"/>
  <c r="I14" i="8"/>
  <c r="I14" i="9"/>
  <c r="I14" i="6"/>
  <c r="I14" i="14"/>
  <c r="I14" i="7"/>
  <c r="I16" i="35"/>
  <c r="I16" i="9"/>
  <c r="I16" i="14"/>
  <c r="I16" i="6"/>
  <c r="I16" i="7"/>
  <c r="I16" i="8"/>
  <c r="I24" i="35"/>
  <c r="I24" i="14"/>
  <c r="I24" i="9"/>
  <c r="I24" i="7"/>
  <c r="I24" i="6"/>
  <c r="I24" i="8"/>
  <c r="I30" i="35"/>
  <c r="I30" i="8"/>
  <c r="I30" i="9"/>
  <c r="I30" i="7"/>
  <c r="I30" i="6"/>
  <c r="I30" i="14"/>
  <c r="I32" i="35"/>
  <c r="I32" i="9"/>
  <c r="I32" i="8"/>
  <c r="I32" i="7"/>
  <c r="I32" i="6"/>
  <c r="I32" i="14"/>
  <c r="I38" i="35"/>
  <c r="I38" i="8"/>
  <c r="I38" i="9"/>
  <c r="I38" i="14"/>
  <c r="I38" i="7"/>
  <c r="I38" i="6"/>
  <c r="I40" i="35"/>
  <c r="I40" i="7"/>
  <c r="I40" i="9"/>
  <c r="I40" i="14"/>
  <c r="I40" i="6"/>
  <c r="I40" i="8"/>
  <c r="I48" i="35"/>
  <c r="I48" i="7"/>
  <c r="I48" i="9"/>
  <c r="I48" i="8"/>
  <c r="I48" i="6"/>
  <c r="I48" i="14"/>
  <c r="I9" i="36"/>
  <c r="I9" i="13"/>
  <c r="I9" i="11"/>
  <c r="I9" i="10"/>
  <c r="I9" i="12"/>
  <c r="I17" i="36"/>
  <c r="W60" i="36" s="1"/>
  <c r="I17" i="13"/>
  <c r="I17" i="11"/>
  <c r="I17" i="10"/>
  <c r="I17" i="12"/>
  <c r="I9" i="35"/>
  <c r="I9" i="9"/>
  <c r="I9" i="14"/>
  <c r="I9" i="6"/>
  <c r="I9" i="8"/>
  <c r="I9" i="7"/>
  <c r="I33" i="35"/>
  <c r="I33" i="14"/>
  <c r="I33" i="9"/>
  <c r="I33" i="8"/>
  <c r="I33" i="6"/>
  <c r="I33" i="7"/>
  <c r="I49" i="35"/>
  <c r="I49" i="14"/>
  <c r="I49" i="9"/>
  <c r="I49" i="8"/>
  <c r="I49" i="6"/>
  <c r="I49" i="7"/>
  <c r="I5" i="35"/>
  <c r="BC57" i="35" s="1"/>
  <c r="P12" i="5"/>
  <c r="I5" i="8"/>
  <c r="I5" i="6"/>
  <c r="AI55" i="6" s="1"/>
  <c r="AI60" i="6" s="1"/>
  <c r="I5" i="9"/>
  <c r="I5" i="7"/>
  <c r="I5" i="14"/>
  <c r="I13" i="35"/>
  <c r="I13" i="8"/>
  <c r="I13" i="9"/>
  <c r="I13" i="6"/>
  <c r="I13" i="14"/>
  <c r="I13" i="7"/>
  <c r="I18" i="35"/>
  <c r="I18" i="9"/>
  <c r="I18" i="14"/>
  <c r="I18" i="8"/>
  <c r="I18" i="7"/>
  <c r="I18" i="6"/>
  <c r="I34" i="35"/>
  <c r="I34" i="9"/>
  <c r="I34" i="8"/>
  <c r="I34" i="14"/>
  <c r="I34" i="6"/>
  <c r="I34" i="7"/>
  <c r="I10" i="36"/>
  <c r="I10" i="13"/>
  <c r="I10" i="11"/>
  <c r="I10" i="10"/>
  <c r="I10" i="12"/>
  <c r="I8" i="35"/>
  <c r="BA60" i="35" s="1"/>
  <c r="I8" i="9"/>
  <c r="I8" i="14"/>
  <c r="I8" i="6"/>
  <c r="I8" i="8"/>
  <c r="I8" i="7"/>
  <c r="I22" i="35"/>
  <c r="I22" i="8"/>
  <c r="I22" i="14"/>
  <c r="I22" i="7"/>
  <c r="I22" i="6"/>
  <c r="I22" i="9"/>
  <c r="I41" i="35"/>
  <c r="I41" i="14"/>
  <c r="I41" i="9"/>
  <c r="I41" i="7"/>
  <c r="I41" i="6"/>
  <c r="I41" i="8"/>
  <c r="I6" i="36"/>
  <c r="I6" i="12"/>
  <c r="I6" i="13"/>
  <c r="I6" i="11"/>
  <c r="I6" i="10"/>
  <c r="I7" i="36"/>
  <c r="I7" i="12"/>
  <c r="I7" i="13"/>
  <c r="I7" i="11"/>
  <c r="I7" i="10"/>
  <c r="I15" i="36"/>
  <c r="AE58" i="36" s="1"/>
  <c r="I15" i="13"/>
  <c r="I15" i="11"/>
  <c r="I15" i="10"/>
  <c r="I15" i="12"/>
  <c r="I23" i="36"/>
  <c r="I23" i="12"/>
  <c r="I23" i="10"/>
  <c r="I23" i="13"/>
  <c r="I23" i="11"/>
  <c r="I31" i="36"/>
  <c r="I31" i="12"/>
  <c r="I31" i="10"/>
  <c r="I31" i="13"/>
  <c r="I31" i="11"/>
  <c r="AT2" i="16"/>
  <c r="AT7" i="16" s="1"/>
  <c r="AO3" i="16"/>
  <c r="AO4" i="16"/>
  <c r="AT5" i="16"/>
  <c r="AO5" i="16"/>
  <c r="AT6" i="16"/>
  <c r="AJ6" i="16"/>
  <c r="AJ3" i="16"/>
  <c r="AT3" i="16"/>
  <c r="AT4" i="16"/>
  <c r="AJ4" i="16"/>
  <c r="AO6" i="16"/>
  <c r="AA11" i="33"/>
  <c r="AC4" i="17"/>
  <c r="AC12" i="17"/>
  <c r="AO2" i="16"/>
  <c r="AO7" i="16" s="1"/>
  <c r="AA9" i="33"/>
  <c r="AA10" i="33"/>
  <c r="AC29" i="17"/>
  <c r="AC33" i="17"/>
  <c r="AC37" i="17"/>
  <c r="AC65" i="17"/>
  <c r="AC69" i="17"/>
  <c r="AC73" i="17"/>
  <c r="P15" i="5"/>
  <c r="P16" i="5"/>
  <c r="AJ4" i="33"/>
  <c r="AG5" i="33"/>
  <c r="R10" i="33"/>
  <c r="X4" i="33"/>
  <c r="AF4" i="33" s="1"/>
  <c r="AD9" i="33"/>
  <c r="AC14" i="17"/>
  <c r="AC16" i="17"/>
  <c r="AC18" i="17"/>
  <c r="AC20" i="17"/>
  <c r="AD11" i="33"/>
  <c r="R9" i="5"/>
  <c r="Y4" i="33"/>
  <c r="AG4" i="33" s="1"/>
  <c r="AD10" i="33"/>
  <c r="R10" i="5"/>
  <c r="AC39" i="17"/>
  <c r="AC41" i="17"/>
  <c r="AC43" i="17"/>
  <c r="AC45" i="17"/>
  <c r="AC47" i="17"/>
  <c r="AC49" i="17"/>
  <c r="AC51" i="17"/>
  <c r="AC53" i="17"/>
  <c r="AC55" i="17"/>
  <c r="AC57" i="17"/>
  <c r="AC59" i="17"/>
  <c r="AC61" i="17"/>
  <c r="X6" i="33"/>
  <c r="AF6" i="33" s="1"/>
  <c r="AJ6" i="33"/>
  <c r="BC61" i="35"/>
  <c r="AY61" i="35"/>
  <c r="AU61" i="35"/>
  <c r="AQ61" i="35"/>
  <c r="AM61" i="35"/>
  <c r="AI61" i="35"/>
  <c r="BB65" i="35"/>
  <c r="AX65" i="35"/>
  <c r="AT65" i="35"/>
  <c r="AP65" i="35"/>
  <c r="AL65" i="35"/>
  <c r="BA65" i="35"/>
  <c r="AW65" i="35"/>
  <c r="AS65" i="35"/>
  <c r="AO65" i="35"/>
  <c r="AK65" i="35"/>
  <c r="BC65" i="35"/>
  <c r="AY65" i="35"/>
  <c r="AU65" i="35"/>
  <c r="AQ65" i="35"/>
  <c r="AM65" i="35"/>
  <c r="AI65" i="35"/>
  <c r="BB69" i="35"/>
  <c r="AX69" i="35"/>
  <c r="AT69" i="35"/>
  <c r="AP69" i="35"/>
  <c r="AL69" i="35"/>
  <c r="BA69" i="35"/>
  <c r="AW69" i="35"/>
  <c r="AS69" i="35"/>
  <c r="AO69" i="35"/>
  <c r="AK69" i="35"/>
  <c r="BD69" i="35"/>
  <c r="AZ69" i="35"/>
  <c r="AV69" i="35"/>
  <c r="AR69" i="35"/>
  <c r="AN69" i="35"/>
  <c r="AJ69" i="35"/>
  <c r="BC69" i="35"/>
  <c r="AY69" i="35"/>
  <c r="AU69" i="35"/>
  <c r="AQ69" i="35"/>
  <c r="AM69" i="35"/>
  <c r="AI69" i="35"/>
  <c r="BB73" i="35"/>
  <c r="AX73" i="35"/>
  <c r="AT73" i="35"/>
  <c r="AP73" i="35"/>
  <c r="AL73" i="35"/>
  <c r="BA73" i="35"/>
  <c r="AW73" i="35"/>
  <c r="AS73" i="35"/>
  <c r="AO73" i="35"/>
  <c r="AK73" i="35"/>
  <c r="P73" i="35"/>
  <c r="BD73" i="35"/>
  <c r="AZ73" i="35"/>
  <c r="AV73" i="35"/>
  <c r="AR73" i="35"/>
  <c r="AN73" i="35"/>
  <c r="AJ73" i="35"/>
  <c r="BC73" i="35"/>
  <c r="AY73" i="35"/>
  <c r="AU73" i="35"/>
  <c r="AQ73" i="35"/>
  <c r="AM73" i="35"/>
  <c r="AI73" i="35"/>
  <c r="R73" i="35"/>
  <c r="BD77" i="35"/>
  <c r="AZ77" i="35"/>
  <c r="AV77" i="35"/>
  <c r="AR77" i="35"/>
  <c r="AN77" i="35"/>
  <c r="AJ77" i="35"/>
  <c r="BA77" i="35"/>
  <c r="AU77" i="35"/>
  <c r="AP77" i="35"/>
  <c r="AK77" i="35"/>
  <c r="AY77" i="35"/>
  <c r="AT77" i="35"/>
  <c r="AO77" i="35"/>
  <c r="AI77" i="35"/>
  <c r="BC77" i="35"/>
  <c r="AX77" i="35"/>
  <c r="AS77" i="35"/>
  <c r="AM77" i="35"/>
  <c r="BB77" i="35"/>
  <c r="AW77" i="35"/>
  <c r="AQ77" i="35"/>
  <c r="AL77" i="35"/>
  <c r="BB81" i="35"/>
  <c r="AX81" i="35"/>
  <c r="AT81" i="35"/>
  <c r="AP81" i="35"/>
  <c r="AL81" i="35"/>
  <c r="BA81" i="35"/>
  <c r="AW81" i="35"/>
  <c r="AS81" i="35"/>
  <c r="AO81" i="35"/>
  <c r="AK81" i="35"/>
  <c r="P81" i="35"/>
  <c r="BD81" i="35"/>
  <c r="AZ81" i="35"/>
  <c r="AV81" i="35"/>
  <c r="AR81" i="35"/>
  <c r="AN81" i="35"/>
  <c r="AJ81" i="35"/>
  <c r="AQ81" i="35"/>
  <c r="BC81" i="35"/>
  <c r="AM81" i="35"/>
  <c r="AY81" i="35"/>
  <c r="AI81" i="35"/>
  <c r="R81" i="35"/>
  <c r="AU81" i="35"/>
  <c r="BC85" i="35"/>
  <c r="AY85" i="35"/>
  <c r="AU85" i="35"/>
  <c r="AQ85" i="35"/>
  <c r="AM85" i="35"/>
  <c r="AI85" i="35"/>
  <c r="BB85" i="35"/>
  <c r="AX85" i="35"/>
  <c r="AT85" i="35"/>
  <c r="AP85" i="35"/>
  <c r="AL85" i="35"/>
  <c r="BA85" i="35"/>
  <c r="AW85" i="35"/>
  <c r="AS85" i="35"/>
  <c r="AO85" i="35"/>
  <c r="AK85" i="35"/>
  <c r="BD85" i="35"/>
  <c r="AZ85" i="35"/>
  <c r="AV85" i="35"/>
  <c r="AR85" i="35"/>
  <c r="AN85" i="35"/>
  <c r="AJ85" i="35"/>
  <c r="BC89" i="35"/>
  <c r="AY89" i="35"/>
  <c r="AU89" i="35"/>
  <c r="AQ89" i="35"/>
  <c r="AM89" i="35"/>
  <c r="AI89" i="35"/>
  <c r="BB89" i="35"/>
  <c r="AX89" i="35"/>
  <c r="AT89" i="35"/>
  <c r="AP89" i="35"/>
  <c r="AL89" i="35"/>
  <c r="BA89" i="35"/>
  <c r="AW89" i="35"/>
  <c r="AS89" i="35"/>
  <c r="AO89" i="35"/>
  <c r="AK89" i="35"/>
  <c r="BD89" i="35"/>
  <c r="AZ89" i="35"/>
  <c r="AV89" i="35"/>
  <c r="AR89" i="35"/>
  <c r="AN89" i="35"/>
  <c r="AJ89" i="35"/>
  <c r="BA93" i="35"/>
  <c r="AW93" i="35"/>
  <c r="AS93" i="35"/>
  <c r="AO93" i="35"/>
  <c r="AK93" i="35"/>
  <c r="BD93" i="35"/>
  <c r="AZ93" i="35"/>
  <c r="AV93" i="35"/>
  <c r="AR93" i="35"/>
  <c r="AN93" i="35"/>
  <c r="AJ93" i="35"/>
  <c r="BC93" i="35"/>
  <c r="AY93" i="35"/>
  <c r="AU93" i="35"/>
  <c r="AQ93" i="35"/>
  <c r="AM93" i="35"/>
  <c r="AI93" i="35"/>
  <c r="BB93" i="35"/>
  <c r="AX93" i="35"/>
  <c r="AT93" i="35"/>
  <c r="AP93" i="35"/>
  <c r="AL93" i="35"/>
  <c r="BA97" i="35"/>
  <c r="AW97" i="35"/>
  <c r="AS97" i="35"/>
  <c r="AO97" i="35"/>
  <c r="AK97" i="35"/>
  <c r="BD97" i="35"/>
  <c r="AZ97" i="35"/>
  <c r="AV97" i="35"/>
  <c r="AR97" i="35"/>
  <c r="AN97" i="35"/>
  <c r="AJ97" i="35"/>
  <c r="BC97" i="35"/>
  <c r="AY97" i="35"/>
  <c r="AU97" i="35"/>
  <c r="AQ97" i="35"/>
  <c r="AM97" i="35"/>
  <c r="AI97" i="35"/>
  <c r="BB97" i="35"/>
  <c r="AX97" i="35"/>
  <c r="AT97" i="35"/>
  <c r="AP97" i="35"/>
  <c r="AL97" i="35"/>
  <c r="BA101" i="35"/>
  <c r="AW101" i="35"/>
  <c r="AS101" i="35"/>
  <c r="AO101" i="35"/>
  <c r="AK101" i="35"/>
  <c r="BD101" i="35"/>
  <c r="AZ101" i="35"/>
  <c r="AV101" i="35"/>
  <c r="AR101" i="35"/>
  <c r="AN101" i="35"/>
  <c r="AJ101" i="35"/>
  <c r="BC101" i="35"/>
  <c r="AY101" i="35"/>
  <c r="AU101" i="35"/>
  <c r="AQ101" i="35"/>
  <c r="AM101" i="35"/>
  <c r="AI101" i="35"/>
  <c r="BB101" i="35"/>
  <c r="AX101" i="35"/>
  <c r="AT101" i="35"/>
  <c r="AP101" i="35"/>
  <c r="AL101" i="35"/>
  <c r="AJ57" i="35"/>
  <c r="AN57" i="35"/>
  <c r="AR57" i="35"/>
  <c r="AV57" i="35"/>
  <c r="AZ57" i="35"/>
  <c r="BD57" i="35"/>
  <c r="AK58" i="35"/>
  <c r="AP58" i="35"/>
  <c r="AV58" i="35"/>
  <c r="AJ59" i="35"/>
  <c r="AO59" i="35"/>
  <c r="AT59" i="35"/>
  <c r="AZ59" i="35"/>
  <c r="AN60" i="35"/>
  <c r="AS60" i="35"/>
  <c r="AX60" i="35"/>
  <c r="BD60" i="35"/>
  <c r="AL61" i="35"/>
  <c r="AR61" i="35"/>
  <c r="AW61" i="35"/>
  <c r="BB61" i="35"/>
  <c r="AK62" i="35"/>
  <c r="AP62" i="35"/>
  <c r="AV62" i="35"/>
  <c r="AJ63" i="35"/>
  <c r="AO63" i="35"/>
  <c r="AT63" i="35"/>
  <c r="AZ63" i="35"/>
  <c r="AN64" i="35"/>
  <c r="AV64" i="35"/>
  <c r="BD64" i="35"/>
  <c r="AR65" i="35"/>
  <c r="AJ67" i="35"/>
  <c r="AZ67" i="35"/>
  <c r="BC58" i="35"/>
  <c r="AY58" i="35"/>
  <c r="AU58" i="35"/>
  <c r="AQ58" i="35"/>
  <c r="AM58" i="35"/>
  <c r="AI58" i="35"/>
  <c r="BC62" i="35"/>
  <c r="AY62" i="35"/>
  <c r="AU62" i="35"/>
  <c r="AQ62" i="35"/>
  <c r="AM62" i="35"/>
  <c r="AI62" i="35"/>
  <c r="BB66" i="35"/>
  <c r="AX66" i="35"/>
  <c r="AT66" i="35"/>
  <c r="AP66" i="35"/>
  <c r="AL66" i="35"/>
  <c r="BA66" i="35"/>
  <c r="AW66" i="35"/>
  <c r="AS66" i="35"/>
  <c r="AO66" i="35"/>
  <c r="AK66" i="35"/>
  <c r="BC66" i="35"/>
  <c r="AY66" i="35"/>
  <c r="AU66" i="35"/>
  <c r="AQ66" i="35"/>
  <c r="AM66" i="35"/>
  <c r="F8" i="37" s="1"/>
  <c r="AI66" i="35"/>
  <c r="BB70" i="35"/>
  <c r="AX70" i="35"/>
  <c r="AT70" i="35"/>
  <c r="AP70" i="35"/>
  <c r="AL70" i="35"/>
  <c r="BA70" i="35"/>
  <c r="AW70" i="35"/>
  <c r="AS70" i="35"/>
  <c r="AO70" i="35"/>
  <c r="AK70" i="35"/>
  <c r="BD70" i="35"/>
  <c r="AZ70" i="35"/>
  <c r="AV70" i="35"/>
  <c r="AR70" i="35"/>
  <c r="AN70" i="35"/>
  <c r="AJ70" i="35"/>
  <c r="BC70" i="35"/>
  <c r="AY70" i="35"/>
  <c r="AU70" i="35"/>
  <c r="AQ70" i="35"/>
  <c r="AM70" i="35"/>
  <c r="AI70" i="35"/>
  <c r="BB74" i="35"/>
  <c r="AX74" i="35"/>
  <c r="AT74" i="35"/>
  <c r="AP74" i="35"/>
  <c r="AL74" i="35"/>
  <c r="BA74" i="35"/>
  <c r="AW74" i="35"/>
  <c r="AS74" i="35"/>
  <c r="AO74" i="35"/>
  <c r="AK74" i="35"/>
  <c r="P74" i="35"/>
  <c r="BD74" i="35"/>
  <c r="AZ74" i="35"/>
  <c r="AV74" i="35"/>
  <c r="AR74" i="35"/>
  <c r="AN74" i="35"/>
  <c r="AJ74" i="35"/>
  <c r="BC74" i="35"/>
  <c r="AY74" i="35"/>
  <c r="AU74" i="35"/>
  <c r="AQ74" i="35"/>
  <c r="AM74" i="35"/>
  <c r="AI74" i="35"/>
  <c r="R74" i="35"/>
  <c r="BD78" i="35"/>
  <c r="AZ78" i="35"/>
  <c r="AV78" i="35"/>
  <c r="AR78" i="35"/>
  <c r="AN78" i="35"/>
  <c r="AJ78" i="35"/>
  <c r="AY78" i="35"/>
  <c r="AT78" i="35"/>
  <c r="AO78" i="35"/>
  <c r="AI78" i="35"/>
  <c r="R78" i="35"/>
  <c r="BC78" i="35"/>
  <c r="AX78" i="35"/>
  <c r="AS78" i="35"/>
  <c r="AM78" i="35"/>
  <c r="BB78" i="35"/>
  <c r="AW78" i="35"/>
  <c r="AQ78" i="35"/>
  <c r="AL78" i="35"/>
  <c r="P78" i="35"/>
  <c r="BA78" i="35"/>
  <c r="AU78" i="35"/>
  <c r="AP78" i="35"/>
  <c r="AK78" i="35"/>
  <c r="BC82" i="35"/>
  <c r="AY82" i="35"/>
  <c r="BB82" i="35"/>
  <c r="AX82" i="35"/>
  <c r="AT82" i="35"/>
  <c r="AP82" i="35"/>
  <c r="AL82" i="35"/>
  <c r="BA82" i="35"/>
  <c r="AW82" i="35"/>
  <c r="AS82" i="35"/>
  <c r="AO82" i="35"/>
  <c r="AK82" i="35"/>
  <c r="BD82" i="35"/>
  <c r="AZ82" i="35"/>
  <c r="AV82" i="35"/>
  <c r="AR82" i="35"/>
  <c r="AN82" i="35"/>
  <c r="AJ82" i="35"/>
  <c r="AU82" i="35"/>
  <c r="AQ82" i="35"/>
  <c r="AM82" i="35"/>
  <c r="AI82" i="35"/>
  <c r="BC86" i="35"/>
  <c r="AY86" i="35"/>
  <c r="AU86" i="35"/>
  <c r="AQ86" i="35"/>
  <c r="AM86" i="35"/>
  <c r="AI86" i="35"/>
  <c r="BB86" i="35"/>
  <c r="AX86" i="35"/>
  <c r="AT86" i="35"/>
  <c r="AP86" i="35"/>
  <c r="AL86" i="35"/>
  <c r="BA86" i="35"/>
  <c r="AW86" i="35"/>
  <c r="AS86" i="35"/>
  <c r="AO86" i="35"/>
  <c r="AK86" i="35"/>
  <c r="BD86" i="35"/>
  <c r="AZ86" i="35"/>
  <c r="AV86" i="35"/>
  <c r="AR86" i="35"/>
  <c r="AN86" i="35"/>
  <c r="AJ86" i="35"/>
  <c r="BD90" i="35"/>
  <c r="BB90" i="35"/>
  <c r="AY90" i="35"/>
  <c r="AU90" i="35"/>
  <c r="AQ90" i="35"/>
  <c r="AM90" i="35"/>
  <c r="AI90" i="35"/>
  <c r="BC90" i="35"/>
  <c r="AX90" i="35"/>
  <c r="AT90" i="35"/>
  <c r="AP90" i="35"/>
  <c r="AL90" i="35"/>
  <c r="BA90" i="35"/>
  <c r="AW90" i="35"/>
  <c r="AS90" i="35"/>
  <c r="AO90" i="35"/>
  <c r="AK90" i="35"/>
  <c r="AZ90" i="35"/>
  <c r="AV90" i="35"/>
  <c r="AR90" i="35"/>
  <c r="AN90" i="35"/>
  <c r="AJ90" i="35"/>
  <c r="BA94" i="35"/>
  <c r="AW94" i="35"/>
  <c r="AS94" i="35"/>
  <c r="AO94" i="35"/>
  <c r="AK94" i="35"/>
  <c r="BD94" i="35"/>
  <c r="AZ94" i="35"/>
  <c r="AV94" i="35"/>
  <c r="AR94" i="35"/>
  <c r="AN94" i="35"/>
  <c r="AJ94" i="35"/>
  <c r="BC94" i="35"/>
  <c r="AY94" i="35"/>
  <c r="AU94" i="35"/>
  <c r="AQ94" i="35"/>
  <c r="AM94" i="35"/>
  <c r="AI94" i="35"/>
  <c r="BB94" i="35"/>
  <c r="AX94" i="35"/>
  <c r="AT94" i="35"/>
  <c r="AP94" i="35"/>
  <c r="AL94" i="35"/>
  <c r="BA98" i="35"/>
  <c r="AW98" i="35"/>
  <c r="AS98" i="35"/>
  <c r="AO98" i="35"/>
  <c r="AK98" i="35"/>
  <c r="BD98" i="35"/>
  <c r="AZ98" i="35"/>
  <c r="AV98" i="35"/>
  <c r="AR98" i="35"/>
  <c r="AN98" i="35"/>
  <c r="AJ98" i="35"/>
  <c r="BC98" i="35"/>
  <c r="AY98" i="35"/>
  <c r="AU98" i="35"/>
  <c r="AQ98" i="35"/>
  <c r="AM98" i="35"/>
  <c r="AI98" i="35"/>
  <c r="BB98" i="35"/>
  <c r="AX98" i="35"/>
  <c r="AT98" i="35"/>
  <c r="AP98" i="35"/>
  <c r="AL98" i="35"/>
  <c r="BA102" i="35"/>
  <c r="AW102" i="35"/>
  <c r="AS102" i="35"/>
  <c r="AO102" i="35"/>
  <c r="AK102" i="35"/>
  <c r="BD102" i="35"/>
  <c r="AZ102" i="35"/>
  <c r="AV102" i="35"/>
  <c r="AR102" i="35"/>
  <c r="AN102" i="35"/>
  <c r="AJ102" i="35"/>
  <c r="BC102" i="35"/>
  <c r="AY102" i="35"/>
  <c r="AU102" i="35"/>
  <c r="AQ102" i="35"/>
  <c r="AM102" i="35"/>
  <c r="AI102" i="35"/>
  <c r="BB102" i="35"/>
  <c r="AX102" i="35"/>
  <c r="AT102" i="35"/>
  <c r="AP102" i="35"/>
  <c r="AL102" i="35"/>
  <c r="AK57" i="35"/>
  <c r="AO57" i="35"/>
  <c r="AS57" i="35"/>
  <c r="AW57" i="35"/>
  <c r="BA57" i="35"/>
  <c r="AL58" i="35"/>
  <c r="AR58" i="35"/>
  <c r="AW58" i="35"/>
  <c r="BB58" i="35"/>
  <c r="AK59" i="35"/>
  <c r="AP59" i="35"/>
  <c r="AV59" i="35"/>
  <c r="AJ60" i="35"/>
  <c r="AO60" i="35"/>
  <c r="AT60" i="35"/>
  <c r="AZ60" i="35"/>
  <c r="AN61" i="35"/>
  <c r="AS61" i="35"/>
  <c r="AX61" i="35"/>
  <c r="BD61" i="35"/>
  <c r="AL62" i="35"/>
  <c r="AR62" i="35"/>
  <c r="AW62" i="35"/>
  <c r="BB62" i="35"/>
  <c r="AK63" i="35"/>
  <c r="AP63" i="35"/>
  <c r="AV63" i="35"/>
  <c r="AP64" i="35"/>
  <c r="AX64" i="35"/>
  <c r="AV65" i="35"/>
  <c r="AJ66" i="35"/>
  <c r="AZ66" i="35"/>
  <c r="AN67" i="35"/>
  <c r="BC59" i="35"/>
  <c r="AY59" i="35"/>
  <c r="AU59" i="35"/>
  <c r="AQ59" i="35"/>
  <c r="AM59" i="35"/>
  <c r="AI59" i="35"/>
  <c r="BC63" i="35"/>
  <c r="V8" i="37" s="1"/>
  <c r="AY63" i="35"/>
  <c r="AU63" i="35"/>
  <c r="AQ63" i="35"/>
  <c r="AM63" i="35"/>
  <c r="AI63" i="35"/>
  <c r="BB67" i="35"/>
  <c r="AX67" i="35"/>
  <c r="AT67" i="35"/>
  <c r="AP67" i="35"/>
  <c r="AL67" i="35"/>
  <c r="BA67" i="35"/>
  <c r="AW67" i="35"/>
  <c r="AS67" i="35"/>
  <c r="AO67" i="35"/>
  <c r="AK67" i="35"/>
  <c r="BC67" i="35"/>
  <c r="AY67" i="35"/>
  <c r="AU67" i="35"/>
  <c r="AQ67" i="35"/>
  <c r="AM67" i="35"/>
  <c r="AI67" i="35"/>
  <c r="BB71" i="35"/>
  <c r="AX71" i="35"/>
  <c r="AT71" i="35"/>
  <c r="AP71" i="35"/>
  <c r="AL71" i="35"/>
  <c r="BA71" i="35"/>
  <c r="AW71" i="35"/>
  <c r="AS71" i="35"/>
  <c r="AO71" i="35"/>
  <c r="AK71" i="35"/>
  <c r="BD71" i="35"/>
  <c r="AZ71" i="35"/>
  <c r="AV71" i="35"/>
  <c r="AR71" i="35"/>
  <c r="AN71" i="35"/>
  <c r="AJ71" i="35"/>
  <c r="BC71" i="35"/>
  <c r="AY71" i="35"/>
  <c r="AU71" i="35"/>
  <c r="AQ71" i="35"/>
  <c r="AM71" i="35"/>
  <c r="AI71" i="35"/>
  <c r="BD75" i="35"/>
  <c r="AZ75" i="35"/>
  <c r="AV75" i="35"/>
  <c r="AR75" i="35"/>
  <c r="AN75" i="35"/>
  <c r="AJ75" i="35"/>
  <c r="BC75" i="35"/>
  <c r="AX75" i="35"/>
  <c r="AS75" i="35"/>
  <c r="AM75" i="35"/>
  <c r="BB75" i="35"/>
  <c r="AW75" i="35"/>
  <c r="AQ75" i="35"/>
  <c r="AL75" i="35"/>
  <c r="P75" i="35"/>
  <c r="BA75" i="35"/>
  <c r="AU75" i="35"/>
  <c r="AP75" i="35"/>
  <c r="AK75" i="35"/>
  <c r="AY75" i="35"/>
  <c r="AT75" i="35"/>
  <c r="AO75" i="35"/>
  <c r="AI75" i="35"/>
  <c r="R75" i="35"/>
  <c r="BA79" i="35"/>
  <c r="AW79" i="35"/>
  <c r="AS79" i="35"/>
  <c r="AO79" i="35"/>
  <c r="AK79" i="35"/>
  <c r="BD79" i="35"/>
  <c r="AZ79" i="35"/>
  <c r="AV79" i="35"/>
  <c r="AR79" i="35"/>
  <c r="AN79" i="35"/>
  <c r="AJ79" i="35"/>
  <c r="BC79" i="35"/>
  <c r="AU79" i="35"/>
  <c r="AM79" i="35"/>
  <c r="BB79" i="35"/>
  <c r="AT79" i="35"/>
  <c r="AL79" i="35"/>
  <c r="P79" i="35"/>
  <c r="AY79" i="35"/>
  <c r="AQ79" i="35"/>
  <c r="AI79" i="35"/>
  <c r="AX79" i="35"/>
  <c r="AP79" i="35"/>
  <c r="R79" i="35"/>
  <c r="BC83" i="35"/>
  <c r="AY83" i="35"/>
  <c r="AU83" i="35"/>
  <c r="AQ83" i="35"/>
  <c r="AM83" i="35"/>
  <c r="AI83" i="35"/>
  <c r="BB83" i="35"/>
  <c r="AX83" i="35"/>
  <c r="AT83" i="35"/>
  <c r="AP83" i="35"/>
  <c r="AL83" i="35"/>
  <c r="BA83" i="35"/>
  <c r="AW83" i="35"/>
  <c r="AS83" i="35"/>
  <c r="AO83" i="35"/>
  <c r="AK83" i="35"/>
  <c r="BD83" i="35"/>
  <c r="AZ83" i="35"/>
  <c r="AV83" i="35"/>
  <c r="AR83" i="35"/>
  <c r="AN83" i="35"/>
  <c r="AJ83" i="35"/>
  <c r="BC87" i="35"/>
  <c r="AY87" i="35"/>
  <c r="AU87" i="35"/>
  <c r="AQ87" i="35"/>
  <c r="AM87" i="35"/>
  <c r="AI87" i="35"/>
  <c r="BB87" i="35"/>
  <c r="AX87" i="35"/>
  <c r="AT87" i="35"/>
  <c r="AP87" i="35"/>
  <c r="AL87" i="35"/>
  <c r="BA87" i="35"/>
  <c r="AW87" i="35"/>
  <c r="AS87" i="35"/>
  <c r="AO87" i="35"/>
  <c r="AK87" i="35"/>
  <c r="BD87" i="35"/>
  <c r="AZ87" i="35"/>
  <c r="AV87" i="35"/>
  <c r="AR87" i="35"/>
  <c r="AN87" i="35"/>
  <c r="AJ87" i="35"/>
  <c r="BA91" i="35"/>
  <c r="AW91" i="35"/>
  <c r="AS91" i="35"/>
  <c r="AO91" i="35"/>
  <c r="AK91" i="35"/>
  <c r="BD91" i="35"/>
  <c r="AZ91" i="35"/>
  <c r="AV91" i="35"/>
  <c r="AR91" i="35"/>
  <c r="AN91" i="35"/>
  <c r="AJ91" i="35"/>
  <c r="BC91" i="35"/>
  <c r="AY91" i="35"/>
  <c r="AU91" i="35"/>
  <c r="AQ91" i="35"/>
  <c r="AM91" i="35"/>
  <c r="AI91" i="35"/>
  <c r="BB91" i="35"/>
  <c r="AX91" i="35"/>
  <c r="AT91" i="35"/>
  <c r="AP91" i="35"/>
  <c r="AL91" i="35"/>
  <c r="BA95" i="35"/>
  <c r="AW95" i="35"/>
  <c r="AS95" i="35"/>
  <c r="AO95" i="35"/>
  <c r="AK95" i="35"/>
  <c r="BD95" i="35"/>
  <c r="AZ95" i="35"/>
  <c r="AV95" i="35"/>
  <c r="AR95" i="35"/>
  <c r="AN95" i="35"/>
  <c r="AJ95" i="35"/>
  <c r="BC95" i="35"/>
  <c r="AY95" i="35"/>
  <c r="AU95" i="35"/>
  <c r="AQ95" i="35"/>
  <c r="AM95" i="35"/>
  <c r="AI95" i="35"/>
  <c r="BB95" i="35"/>
  <c r="AX95" i="35"/>
  <c r="AT95" i="35"/>
  <c r="AP95" i="35"/>
  <c r="AL95" i="35"/>
  <c r="BA99" i="35"/>
  <c r="AW99" i="35"/>
  <c r="AS99" i="35"/>
  <c r="AO99" i="35"/>
  <c r="AK99" i="35"/>
  <c r="BD99" i="35"/>
  <c r="AZ99" i="35"/>
  <c r="AV99" i="35"/>
  <c r="AR99" i="35"/>
  <c r="AN99" i="35"/>
  <c r="AJ99" i="35"/>
  <c r="BC99" i="35"/>
  <c r="AY99" i="35"/>
  <c r="AU99" i="35"/>
  <c r="AQ99" i="35"/>
  <c r="AM99" i="35"/>
  <c r="AI99" i="35"/>
  <c r="BB99" i="35"/>
  <c r="AX99" i="35"/>
  <c r="AT99" i="35"/>
  <c r="AP99" i="35"/>
  <c r="AL99" i="35"/>
  <c r="BA103" i="35"/>
  <c r="AW103" i="35"/>
  <c r="AS103" i="35"/>
  <c r="AO103" i="35"/>
  <c r="AK103" i="35"/>
  <c r="BD103" i="35"/>
  <c r="AZ103" i="35"/>
  <c r="AV103" i="35"/>
  <c r="AR103" i="35"/>
  <c r="AN103" i="35"/>
  <c r="AJ103" i="35"/>
  <c r="BC103" i="35"/>
  <c r="AY103" i="35"/>
  <c r="AU103" i="35"/>
  <c r="AQ103" i="35"/>
  <c r="AM103" i="35"/>
  <c r="AI103" i="35"/>
  <c r="BB103" i="35"/>
  <c r="AX103" i="35"/>
  <c r="AT103" i="35"/>
  <c r="AP103" i="35"/>
  <c r="AL103" i="35"/>
  <c r="AL57" i="35"/>
  <c r="AP57" i="35"/>
  <c r="AT57" i="35"/>
  <c r="AX57" i="35"/>
  <c r="BB57" i="35"/>
  <c r="AN58" i="35"/>
  <c r="AS58" i="35"/>
  <c r="AX58" i="35"/>
  <c r="BD58" i="35"/>
  <c r="AL59" i="35"/>
  <c r="AR59" i="35"/>
  <c r="AW59" i="35"/>
  <c r="BB59" i="35"/>
  <c r="AK60" i="35"/>
  <c r="AP60" i="35"/>
  <c r="AV60" i="35"/>
  <c r="AJ61" i="35"/>
  <c r="AO61" i="35"/>
  <c r="AT61" i="35"/>
  <c r="AZ61" i="35"/>
  <c r="AN62" i="35"/>
  <c r="AS62" i="35"/>
  <c r="AX62" i="35"/>
  <c r="BD62" i="35"/>
  <c r="AL63" i="35"/>
  <c r="E8" i="37" s="1"/>
  <c r="AR63" i="35"/>
  <c r="AW63" i="35"/>
  <c r="BB63" i="35"/>
  <c r="AJ64" i="35"/>
  <c r="AR64" i="35"/>
  <c r="AJ65" i="35"/>
  <c r="AZ65" i="35"/>
  <c r="AN66" i="35"/>
  <c r="BD66" i="35"/>
  <c r="AR67" i="35"/>
  <c r="BC60" i="35"/>
  <c r="AY60" i="35"/>
  <c r="AU60" i="35"/>
  <c r="AQ60" i="35"/>
  <c r="J8" i="37" s="1"/>
  <c r="AM60" i="35"/>
  <c r="AI60" i="35"/>
  <c r="BA64" i="35"/>
  <c r="AW64" i="35"/>
  <c r="AS64" i="35"/>
  <c r="AO64" i="35"/>
  <c r="AK64" i="35"/>
  <c r="BC64" i="35"/>
  <c r="AY64" i="35"/>
  <c r="AU64" i="35"/>
  <c r="AQ64" i="35"/>
  <c r="AM64" i="35"/>
  <c r="AI64" i="35"/>
  <c r="BB68" i="35"/>
  <c r="AX68" i="35"/>
  <c r="AT68" i="35"/>
  <c r="AP68" i="35"/>
  <c r="AL68" i="35"/>
  <c r="BA68" i="35"/>
  <c r="AW68" i="35"/>
  <c r="AS68" i="35"/>
  <c r="AO68" i="35"/>
  <c r="AK68" i="35"/>
  <c r="BD68" i="35"/>
  <c r="AZ68" i="35"/>
  <c r="AV68" i="35"/>
  <c r="AR68" i="35"/>
  <c r="AN68" i="35"/>
  <c r="BC68" i="35"/>
  <c r="AY68" i="35"/>
  <c r="AU68" i="35"/>
  <c r="AQ68" i="35"/>
  <c r="AM68" i="35"/>
  <c r="AI68" i="35"/>
  <c r="BB72" i="35"/>
  <c r="AX72" i="35"/>
  <c r="AT72" i="35"/>
  <c r="AP72" i="35"/>
  <c r="AL72" i="35"/>
  <c r="BA72" i="35"/>
  <c r="AW72" i="35"/>
  <c r="AS72" i="35"/>
  <c r="AO72" i="35"/>
  <c r="AK72" i="35"/>
  <c r="BD72" i="35"/>
  <c r="AZ72" i="35"/>
  <c r="AV72" i="35"/>
  <c r="AR72" i="35"/>
  <c r="AN72" i="35"/>
  <c r="AJ72" i="35"/>
  <c r="BC72" i="35"/>
  <c r="AY72" i="35"/>
  <c r="AU72" i="35"/>
  <c r="AQ72" i="35"/>
  <c r="AM72" i="35"/>
  <c r="AI72" i="35"/>
  <c r="BD76" i="35"/>
  <c r="AZ76" i="35"/>
  <c r="AV76" i="35"/>
  <c r="AR76" i="35"/>
  <c r="AN76" i="35"/>
  <c r="AJ76" i="35"/>
  <c r="BB76" i="35"/>
  <c r="AW76" i="35"/>
  <c r="AQ76" i="35"/>
  <c r="AL76" i="35"/>
  <c r="P76" i="35"/>
  <c r="BA76" i="35"/>
  <c r="AU76" i="35"/>
  <c r="AP76" i="35"/>
  <c r="AK76" i="35"/>
  <c r="AY76" i="35"/>
  <c r="AT76" i="35"/>
  <c r="AO76" i="35"/>
  <c r="AI76" i="35"/>
  <c r="R76" i="35"/>
  <c r="BC76" i="35"/>
  <c r="AX76" i="35"/>
  <c r="AS76" i="35"/>
  <c r="AM76" i="35"/>
  <c r="BA80" i="35"/>
  <c r="AW80" i="35"/>
  <c r="AS80" i="35"/>
  <c r="AO80" i="35"/>
  <c r="AK80" i="35"/>
  <c r="P80" i="35"/>
  <c r="BD80" i="35"/>
  <c r="AZ80" i="35"/>
  <c r="AV80" i="35"/>
  <c r="AR80" i="35"/>
  <c r="AN80" i="35"/>
  <c r="AJ80" i="35"/>
  <c r="AY80" i="35"/>
  <c r="AQ80" i="35"/>
  <c r="AI80" i="35"/>
  <c r="R80" i="35"/>
  <c r="AX80" i="35"/>
  <c r="AP80" i="35"/>
  <c r="BC80" i="35"/>
  <c r="AU80" i="35"/>
  <c r="AM80" i="35"/>
  <c r="BB80" i="35"/>
  <c r="AT80" i="35"/>
  <c r="AL80" i="35"/>
  <c r="BC84" i="35"/>
  <c r="AY84" i="35"/>
  <c r="AU84" i="35"/>
  <c r="AQ84" i="35"/>
  <c r="AM84" i="35"/>
  <c r="AI84" i="35"/>
  <c r="BB84" i="35"/>
  <c r="AX84" i="35"/>
  <c r="AT84" i="35"/>
  <c r="AP84" i="35"/>
  <c r="AL84" i="35"/>
  <c r="BA84" i="35"/>
  <c r="AW84" i="35"/>
  <c r="AS84" i="35"/>
  <c r="AO84" i="35"/>
  <c r="AK84" i="35"/>
  <c r="BD84" i="35"/>
  <c r="AZ84" i="35"/>
  <c r="AV84" i="35"/>
  <c r="AR84" i="35"/>
  <c r="AN84" i="35"/>
  <c r="AJ84" i="35"/>
  <c r="BC88" i="35"/>
  <c r="AY88" i="35"/>
  <c r="AU88" i="35"/>
  <c r="AQ88" i="35"/>
  <c r="AM88" i="35"/>
  <c r="AI88" i="35"/>
  <c r="BB88" i="35"/>
  <c r="AX88" i="35"/>
  <c r="AT88" i="35"/>
  <c r="AP88" i="35"/>
  <c r="AL88" i="35"/>
  <c r="BA88" i="35"/>
  <c r="AW88" i="35"/>
  <c r="AS88" i="35"/>
  <c r="AO88" i="35"/>
  <c r="AK88" i="35"/>
  <c r="BD88" i="35"/>
  <c r="AZ88" i="35"/>
  <c r="AV88" i="35"/>
  <c r="AR88" i="35"/>
  <c r="AN88" i="35"/>
  <c r="AJ88" i="35"/>
  <c r="BA92" i="35"/>
  <c r="AW92" i="35"/>
  <c r="AS92" i="35"/>
  <c r="AO92" i="35"/>
  <c r="AK92" i="35"/>
  <c r="BD92" i="35"/>
  <c r="AZ92" i="35"/>
  <c r="AV92" i="35"/>
  <c r="AR92" i="35"/>
  <c r="AN92" i="35"/>
  <c r="AJ92" i="35"/>
  <c r="BC92" i="35"/>
  <c r="AY92" i="35"/>
  <c r="AU92" i="35"/>
  <c r="AQ92" i="35"/>
  <c r="AM92" i="35"/>
  <c r="AI92" i="35"/>
  <c r="BB92" i="35"/>
  <c r="AX92" i="35"/>
  <c r="AT92" i="35"/>
  <c r="AP92" i="35"/>
  <c r="AL92" i="35"/>
  <c r="BA96" i="35"/>
  <c r="AW96" i="35"/>
  <c r="AS96" i="35"/>
  <c r="AO96" i="35"/>
  <c r="AK96" i="35"/>
  <c r="BD96" i="35"/>
  <c r="AZ96" i="35"/>
  <c r="AV96" i="35"/>
  <c r="AR96" i="35"/>
  <c r="AN96" i="35"/>
  <c r="AJ96" i="35"/>
  <c r="BC96" i="35"/>
  <c r="AY96" i="35"/>
  <c r="AU96" i="35"/>
  <c r="AQ96" i="35"/>
  <c r="AM96" i="35"/>
  <c r="AI96" i="35"/>
  <c r="BB96" i="35"/>
  <c r="AX96" i="35"/>
  <c r="AT96" i="35"/>
  <c r="AP96" i="35"/>
  <c r="AL96" i="35"/>
  <c r="BA100" i="35"/>
  <c r="AW100" i="35"/>
  <c r="AS100" i="35"/>
  <c r="AO100" i="35"/>
  <c r="AK100" i="35"/>
  <c r="BD100" i="35"/>
  <c r="AZ100" i="35"/>
  <c r="AV100" i="35"/>
  <c r="AR100" i="35"/>
  <c r="AN100" i="35"/>
  <c r="AJ100" i="35"/>
  <c r="BC100" i="35"/>
  <c r="AY100" i="35"/>
  <c r="AU100" i="35"/>
  <c r="AQ100" i="35"/>
  <c r="AM100" i="35"/>
  <c r="AI100" i="35"/>
  <c r="BB100" i="35"/>
  <c r="AX100" i="35"/>
  <c r="AT100" i="35"/>
  <c r="AP100" i="35"/>
  <c r="AL100" i="35"/>
  <c r="AI57" i="35"/>
  <c r="AM57" i="35"/>
  <c r="AQ57" i="35"/>
  <c r="AU57" i="35"/>
  <c r="AY57" i="35"/>
  <c r="AJ58" i="35"/>
  <c r="AO58" i="35"/>
  <c r="AT58" i="35"/>
  <c r="AZ58" i="35"/>
  <c r="AN59" i="35"/>
  <c r="AS59" i="35"/>
  <c r="AX59" i="35"/>
  <c r="BD59" i="35"/>
  <c r="AL60" i="35"/>
  <c r="AR60" i="35"/>
  <c r="AW60" i="35"/>
  <c r="P8" i="37" s="1"/>
  <c r="BB60" i="35"/>
  <c r="AK61" i="35"/>
  <c r="AP61" i="35"/>
  <c r="AV61" i="35"/>
  <c r="BA61" i="35"/>
  <c r="AJ62" i="35"/>
  <c r="AO62" i="35"/>
  <c r="AT62" i="35"/>
  <c r="AZ62" i="35"/>
  <c r="AN63" i="35"/>
  <c r="AS63" i="35"/>
  <c r="AX63" i="35"/>
  <c r="BD63" i="35"/>
  <c r="AL64" i="35"/>
  <c r="AT64" i="35"/>
  <c r="BB64" i="35"/>
  <c r="AN65" i="35"/>
  <c r="BD65" i="35"/>
  <c r="AR66" i="35"/>
  <c r="AV67" i="35"/>
  <c r="AJ68" i="35"/>
  <c r="AE49" i="36"/>
  <c r="AA49" i="36"/>
  <c r="W49" i="36"/>
  <c r="AD49" i="36"/>
  <c r="Z49" i="36"/>
  <c r="AC49" i="36"/>
  <c r="Y49" i="36"/>
  <c r="AF53" i="36"/>
  <c r="AB53" i="36"/>
  <c r="X53" i="36"/>
  <c r="AC53" i="36"/>
  <c r="W53" i="36"/>
  <c r="AA53" i="36"/>
  <c r="AE53" i="36"/>
  <c r="Z53" i="36"/>
  <c r="AF57" i="36"/>
  <c r="AB57" i="36"/>
  <c r="X57" i="36"/>
  <c r="AC57" i="36"/>
  <c r="W57" i="36"/>
  <c r="AA57" i="36"/>
  <c r="AE57" i="36"/>
  <c r="Z57" i="36"/>
  <c r="AD61" i="36"/>
  <c r="Z61" i="36"/>
  <c r="AF61" i="36"/>
  <c r="AB61" i="36"/>
  <c r="X61" i="36"/>
  <c r="AC61" i="36"/>
  <c r="AA61" i="36"/>
  <c r="Y61" i="36"/>
  <c r="AD65" i="36"/>
  <c r="Z65" i="36"/>
  <c r="AF65" i="36"/>
  <c r="AB65" i="36"/>
  <c r="X65" i="36"/>
  <c r="AC65" i="36"/>
  <c r="AA65" i="36"/>
  <c r="Y65" i="36"/>
  <c r="AC69" i="36"/>
  <c r="Y69" i="36"/>
  <c r="AD69" i="36"/>
  <c r="Z69" i="36"/>
  <c r="AB69" i="36"/>
  <c r="AF69" i="36"/>
  <c r="X69" i="36"/>
  <c r="AE69" i="36"/>
  <c r="AA69" i="36"/>
  <c r="AC73" i="36"/>
  <c r="Y73" i="36"/>
  <c r="AD73" i="36"/>
  <c r="Z73" i="36"/>
  <c r="AB73" i="36"/>
  <c r="AF73" i="36"/>
  <c r="X73" i="36"/>
  <c r="AE73" i="36"/>
  <c r="AA73" i="36"/>
  <c r="AC77" i="36"/>
  <c r="Y77" i="36"/>
  <c r="AD77" i="36"/>
  <c r="Z77" i="36"/>
  <c r="AB77" i="36"/>
  <c r="AF77" i="36"/>
  <c r="X77" i="36"/>
  <c r="W77" i="36"/>
  <c r="AE77" i="36"/>
  <c r="AA77" i="36"/>
  <c r="AC81" i="36"/>
  <c r="Y81" i="36"/>
  <c r="AD81" i="36"/>
  <c r="Z81" i="36"/>
  <c r="AB81" i="36"/>
  <c r="AF81" i="36"/>
  <c r="X81" i="36"/>
  <c r="W81" i="36"/>
  <c r="AE81" i="36"/>
  <c r="AA81" i="36"/>
  <c r="AC85" i="36"/>
  <c r="AD85" i="36"/>
  <c r="Y85" i="36"/>
  <c r="AE85" i="36"/>
  <c r="Z85" i="36"/>
  <c r="AF85" i="36"/>
  <c r="AB85" i="36"/>
  <c r="AA85" i="36"/>
  <c r="X85" i="36"/>
  <c r="W85" i="36"/>
  <c r="W48" i="36"/>
  <c r="B8" i="38" s="1"/>
  <c r="AB48" i="36"/>
  <c r="X49" i="36"/>
  <c r="W52" i="36"/>
  <c r="Y53" i="36"/>
  <c r="AC56" i="36"/>
  <c r="AD57" i="36"/>
  <c r="AE65" i="36"/>
  <c r="W67" i="36"/>
  <c r="AF50" i="36"/>
  <c r="AB50" i="36"/>
  <c r="X50" i="36"/>
  <c r="AD50" i="36"/>
  <c r="Y50" i="36"/>
  <c r="AC50" i="36"/>
  <c r="W50" i="36"/>
  <c r="AA50" i="36"/>
  <c r="AF54" i="36"/>
  <c r="AB54" i="36"/>
  <c r="X54" i="36"/>
  <c r="AD54" i="36"/>
  <c r="Y54" i="36"/>
  <c r="AC54" i="36"/>
  <c r="W54" i="36"/>
  <c r="AA54" i="36"/>
  <c r="AF58" i="36"/>
  <c r="AB58" i="36"/>
  <c r="X58" i="36"/>
  <c r="AD58" i="36"/>
  <c r="Y58" i="36"/>
  <c r="AC58" i="36"/>
  <c r="W58" i="36"/>
  <c r="AA58" i="36"/>
  <c r="AD62" i="36"/>
  <c r="Z62" i="36"/>
  <c r="AF62" i="36"/>
  <c r="AB62" i="36"/>
  <c r="X62" i="36"/>
  <c r="Y62" i="36"/>
  <c r="AE62" i="36"/>
  <c r="W62" i="36"/>
  <c r="AC62" i="36"/>
  <c r="AD66" i="36"/>
  <c r="Z66" i="36"/>
  <c r="AF66" i="36"/>
  <c r="AB66" i="36"/>
  <c r="X66" i="36"/>
  <c r="Y66" i="36"/>
  <c r="AE66" i="36"/>
  <c r="W66" i="36"/>
  <c r="AC66" i="36"/>
  <c r="AC70" i="36"/>
  <c r="Y70" i="36"/>
  <c r="AD70" i="36"/>
  <c r="Z70" i="36"/>
  <c r="AF70" i="36"/>
  <c r="X70" i="36"/>
  <c r="AB70" i="36"/>
  <c r="AE70" i="36"/>
  <c r="AA70" i="36"/>
  <c r="W70" i="36"/>
  <c r="AC74" i="36"/>
  <c r="Y74" i="36"/>
  <c r="AD74" i="36"/>
  <c r="Z74" i="36"/>
  <c r="AF74" i="36"/>
  <c r="X74" i="36"/>
  <c r="AB74" i="36"/>
  <c r="AE74" i="36"/>
  <c r="AA74" i="36"/>
  <c r="W74" i="36"/>
  <c r="AC78" i="36"/>
  <c r="Y78" i="36"/>
  <c r="AD78" i="36"/>
  <c r="Z78" i="36"/>
  <c r="AF78" i="36"/>
  <c r="X78" i="36"/>
  <c r="AB78" i="36"/>
  <c r="AE78" i="36"/>
  <c r="AA78" i="36"/>
  <c r="W78" i="36"/>
  <c r="AC82" i="36"/>
  <c r="Y82" i="36"/>
  <c r="AD82" i="36"/>
  <c r="Z82" i="36"/>
  <c r="AF82" i="36"/>
  <c r="X82" i="36"/>
  <c r="AB82" i="36"/>
  <c r="AE82" i="36"/>
  <c r="AA82" i="36"/>
  <c r="W82" i="36"/>
  <c r="X48" i="36"/>
  <c r="AD48" i="36"/>
  <c r="AB49" i="36"/>
  <c r="Z50" i="36"/>
  <c r="AC52" i="36"/>
  <c r="AD53" i="36"/>
  <c r="AE54" i="36"/>
  <c r="W61" i="36"/>
  <c r="W69" i="36"/>
  <c r="AF51" i="36"/>
  <c r="AB51" i="36"/>
  <c r="X51" i="36"/>
  <c r="AE51" i="36"/>
  <c r="Z51" i="36"/>
  <c r="AD51" i="36"/>
  <c r="Y51" i="36"/>
  <c r="AC51" i="36"/>
  <c r="W51" i="36"/>
  <c r="AF55" i="36"/>
  <c r="AB55" i="36"/>
  <c r="X55" i="36"/>
  <c r="AE55" i="36"/>
  <c r="Z55" i="36"/>
  <c r="AD55" i="36"/>
  <c r="Y55" i="36"/>
  <c r="AC55" i="36"/>
  <c r="W55" i="36"/>
  <c r="AF59" i="36"/>
  <c r="AB59" i="36"/>
  <c r="X59" i="36"/>
  <c r="AE59" i="36"/>
  <c r="Z59" i="36"/>
  <c r="AD59" i="36"/>
  <c r="Y59" i="36"/>
  <c r="AC59" i="36"/>
  <c r="W59" i="36"/>
  <c r="AD63" i="36"/>
  <c r="Z63" i="36"/>
  <c r="AF63" i="36"/>
  <c r="AB63" i="36"/>
  <c r="X63" i="36"/>
  <c r="AC63" i="36"/>
  <c r="AA63" i="36"/>
  <c r="Y63" i="36"/>
  <c r="AD67" i="36"/>
  <c r="Z67" i="36"/>
  <c r="AF67" i="36"/>
  <c r="AB67" i="36"/>
  <c r="X67" i="36"/>
  <c r="AC67" i="36"/>
  <c r="AA67" i="36"/>
  <c r="Y67" i="36"/>
  <c r="AC71" i="36"/>
  <c r="Y71" i="36"/>
  <c r="AD71" i="36"/>
  <c r="Z71" i="36"/>
  <c r="AB71" i="36"/>
  <c r="AF71" i="36"/>
  <c r="X71" i="36"/>
  <c r="AA71" i="36"/>
  <c r="W71" i="36"/>
  <c r="AC75" i="36"/>
  <c r="Y75" i="36"/>
  <c r="AD75" i="36"/>
  <c r="Z75" i="36"/>
  <c r="AB75" i="36"/>
  <c r="AF75" i="36"/>
  <c r="X75" i="36"/>
  <c r="AA75" i="36"/>
  <c r="W75" i="36"/>
  <c r="AC79" i="36"/>
  <c r="Y79" i="36"/>
  <c r="AD79" i="36"/>
  <c r="Z79" i="36"/>
  <c r="AB79" i="36"/>
  <c r="AF79" i="36"/>
  <c r="X79" i="36"/>
  <c r="AE79" i="36"/>
  <c r="AA79" i="36"/>
  <c r="W79" i="36"/>
  <c r="AC83" i="36"/>
  <c r="Y83" i="36"/>
  <c r="AD83" i="36"/>
  <c r="Z83" i="36"/>
  <c r="AB83" i="36"/>
  <c r="AA83" i="36"/>
  <c r="AF83" i="36"/>
  <c r="X83" i="36"/>
  <c r="AE83" i="36"/>
  <c r="W83" i="36"/>
  <c r="Z48" i="36"/>
  <c r="E8" i="38" s="1"/>
  <c r="AF49" i="36"/>
  <c r="AE50" i="36"/>
  <c r="J10" i="38" s="1"/>
  <c r="AE61" i="36"/>
  <c r="W63" i="36"/>
  <c r="AA66" i="36"/>
  <c r="W73" i="36"/>
  <c r="AC48" i="36"/>
  <c r="Y48" i="36"/>
  <c r="AF52" i="36"/>
  <c r="AB52" i="36"/>
  <c r="X52" i="36"/>
  <c r="AA52" i="36"/>
  <c r="AE52" i="36"/>
  <c r="Z52" i="36"/>
  <c r="AD52" i="36"/>
  <c r="Y52" i="36"/>
  <c r="AF56" i="36"/>
  <c r="AB56" i="36"/>
  <c r="X56" i="36"/>
  <c r="AA56" i="36"/>
  <c r="AE56" i="36"/>
  <c r="Z56" i="36"/>
  <c r="AD56" i="36"/>
  <c r="Y56" i="36"/>
  <c r="AF60" i="36"/>
  <c r="AB60" i="36"/>
  <c r="X60" i="36"/>
  <c r="AA60" i="36"/>
  <c r="AE60" i="36"/>
  <c r="Z60" i="36"/>
  <c r="AD60" i="36"/>
  <c r="Y60" i="36"/>
  <c r="AD64" i="36"/>
  <c r="Z64" i="36"/>
  <c r="AF64" i="36"/>
  <c r="AB64" i="36"/>
  <c r="X64" i="36"/>
  <c r="Y64" i="36"/>
  <c r="AE64" i="36"/>
  <c r="W64" i="36"/>
  <c r="AC64" i="36"/>
  <c r="AD68" i="36"/>
  <c r="Z68" i="36"/>
  <c r="AF68" i="36"/>
  <c r="AB68" i="36"/>
  <c r="X68" i="36"/>
  <c r="Y68" i="36"/>
  <c r="AE68" i="36"/>
  <c r="W68" i="36"/>
  <c r="AC68" i="36"/>
  <c r="AC72" i="36"/>
  <c r="Y72" i="36"/>
  <c r="AD72" i="36"/>
  <c r="Z72" i="36"/>
  <c r="AF72" i="36"/>
  <c r="X72" i="36"/>
  <c r="AB72" i="36"/>
  <c r="W72" i="36"/>
  <c r="AE72" i="36"/>
  <c r="AC76" i="36"/>
  <c r="Y76" i="36"/>
  <c r="AD76" i="36"/>
  <c r="Z76" i="36"/>
  <c r="AF76" i="36"/>
  <c r="X76" i="36"/>
  <c r="AB76" i="36"/>
  <c r="AA76" i="36"/>
  <c r="W76" i="36"/>
  <c r="AE76" i="36"/>
  <c r="AC80" i="36"/>
  <c r="Y80" i="36"/>
  <c r="AD80" i="36"/>
  <c r="Z80" i="36"/>
  <c r="AF80" i="36"/>
  <c r="X80" i="36"/>
  <c r="AB80" i="36"/>
  <c r="AA80" i="36"/>
  <c r="W80" i="36"/>
  <c r="AE80" i="36"/>
  <c r="AC84" i="36"/>
  <c r="Y84" i="36"/>
  <c r="AD84" i="36"/>
  <c r="Z84" i="36"/>
  <c r="AF84" i="36"/>
  <c r="X84" i="36"/>
  <c r="AE84" i="36"/>
  <c r="W84" i="36"/>
  <c r="AB84" i="36"/>
  <c r="AA84" i="36"/>
  <c r="AA48" i="36"/>
  <c r="AF48" i="36"/>
  <c r="K8" i="38" s="1"/>
  <c r="W56" i="36"/>
  <c r="Y57" i="36"/>
  <c r="Z58" i="36"/>
  <c r="AA59" i="36"/>
  <c r="AC60" i="36"/>
  <c r="AE63" i="36"/>
  <c r="W65" i="36"/>
  <c r="AA68" i="36"/>
  <c r="B8" i="37"/>
  <c r="D8" i="37"/>
  <c r="H8" i="37"/>
  <c r="L8" i="37"/>
  <c r="N8" i="37"/>
  <c r="R8" i="37"/>
  <c r="T8" i="37"/>
  <c r="C8" i="38"/>
  <c r="G8" i="38"/>
  <c r="I8" i="38"/>
  <c r="G8" i="37"/>
  <c r="I8" i="37"/>
  <c r="K8" i="37"/>
  <c r="M8" i="37"/>
  <c r="O8" i="37"/>
  <c r="Q8" i="37"/>
  <c r="S8" i="37"/>
  <c r="U8" i="37"/>
  <c r="W8" i="37"/>
  <c r="D8" i="38"/>
  <c r="F8" i="38"/>
  <c r="H8" i="38"/>
  <c r="J8" i="38"/>
  <c r="Z6" i="33"/>
  <c r="AH6" i="33" s="1"/>
  <c r="Z4" i="33"/>
  <c r="AH4" i="33" s="1"/>
  <c r="Z5" i="33"/>
  <c r="AH5" i="33" s="1"/>
  <c r="Z13" i="33"/>
  <c r="AH13" i="33" s="1"/>
  <c r="Z8" i="33"/>
  <c r="AH8" i="33" s="1"/>
  <c r="Z3" i="33"/>
  <c r="AH3" i="33" s="1"/>
  <c r="AJ5" i="33"/>
  <c r="AJ13" i="33"/>
  <c r="U9" i="33"/>
  <c r="AI9" i="33" s="1"/>
  <c r="U10" i="33"/>
  <c r="AI10" i="33" s="1"/>
  <c r="R9" i="33"/>
  <c r="U11" i="33"/>
  <c r="AI11" i="33" s="1"/>
  <c r="R11" i="33"/>
  <c r="X11" i="33" s="1"/>
  <c r="AF11" i="33" s="1"/>
  <c r="X5" i="33"/>
  <c r="AF5" i="33" s="1"/>
  <c r="AI6" i="33"/>
  <c r="AG8" i="33"/>
  <c r="U12" i="33"/>
  <c r="AI12" i="33" s="1"/>
  <c r="R12" i="33"/>
  <c r="X12" i="33" s="1"/>
  <c r="AF12" i="33" s="1"/>
  <c r="AF3" i="33"/>
  <c r="AJ3" i="33"/>
  <c r="Y6" i="33"/>
  <c r="AG6" i="33" s="1"/>
  <c r="X13" i="33"/>
  <c r="AF13" i="33" s="1"/>
  <c r="E35" i="5"/>
  <c r="F35" i="5"/>
  <c r="AJ2" i="16"/>
  <c r="AJ7" i="16" s="1"/>
  <c r="AC76" i="17"/>
  <c r="AC80" i="17"/>
  <c r="AC84" i="17"/>
  <c r="AJ5" i="16"/>
  <c r="AJ8" i="16" s="1"/>
  <c r="AC77" i="17"/>
  <c r="AC81" i="17"/>
  <c r="AI5" i="17" s="1"/>
  <c r="AC143" i="17"/>
  <c r="AI6" i="17" s="1"/>
  <c r="AC147" i="17"/>
  <c r="AC88" i="17"/>
  <c r="AC92" i="17"/>
  <c r="AC96" i="17"/>
  <c r="AC100" i="17"/>
  <c r="AC104" i="17"/>
  <c r="AC108" i="17"/>
  <c r="AC112" i="17"/>
  <c r="AC116" i="17"/>
  <c r="AC120" i="17"/>
  <c r="AC124" i="17"/>
  <c r="AC128" i="17"/>
  <c r="AC132" i="17"/>
  <c r="AC136" i="17"/>
  <c r="AC140" i="17"/>
  <c r="AC144" i="17"/>
  <c r="AC148" i="17"/>
  <c r="AC152" i="17"/>
  <c r="AC156" i="17"/>
  <c r="AC160" i="17"/>
  <c r="AC164" i="17"/>
  <c r="AC168" i="17"/>
  <c r="AC172" i="17"/>
  <c r="AC177" i="17"/>
  <c r="AC183" i="17"/>
  <c r="AC191" i="17"/>
  <c r="AC199" i="17"/>
  <c r="AO8" i="16"/>
  <c r="AT8" i="16"/>
  <c r="AC127" i="17"/>
  <c r="AC135" i="17"/>
  <c r="AC155" i="17"/>
  <c r="AC159" i="17"/>
  <c r="AC163" i="17"/>
  <c r="AC167" i="17"/>
  <c r="AC171" i="17"/>
  <c r="AC5" i="17"/>
  <c r="AC9" i="17"/>
  <c r="AC13" i="17"/>
  <c r="AC89" i="17"/>
  <c r="AC93" i="17"/>
  <c r="AC97" i="17"/>
  <c r="AC101" i="17"/>
  <c r="AC105" i="17"/>
  <c r="AC109" i="17"/>
  <c r="AC113" i="17"/>
  <c r="AC117" i="17"/>
  <c r="AC121" i="17"/>
  <c r="AC125" i="17"/>
  <c r="AC129" i="17"/>
  <c r="AC133" i="17"/>
  <c r="AC137" i="17"/>
  <c r="AC141" i="17"/>
  <c r="AC145" i="17"/>
  <c r="AC149" i="17"/>
  <c r="AC153" i="17"/>
  <c r="AC157" i="17"/>
  <c r="AC161" i="17"/>
  <c r="AC165" i="17"/>
  <c r="AC169" i="17"/>
  <c r="AC173" i="17"/>
  <c r="AC178" i="17"/>
  <c r="AC179" i="17"/>
  <c r="AC185" i="17"/>
  <c r="AC193" i="17"/>
  <c r="AC131" i="17"/>
  <c r="AC139" i="17"/>
  <c r="AC151" i="17"/>
  <c r="AC181" i="17"/>
  <c r="AC189" i="17"/>
  <c r="AC2" i="17"/>
  <c r="AC6" i="17"/>
  <c r="AC10" i="17"/>
  <c r="AC86" i="17"/>
  <c r="AC94" i="17"/>
  <c r="AC98" i="17"/>
  <c r="AC102" i="17"/>
  <c r="AC110" i="17"/>
  <c r="AC114" i="17"/>
  <c r="AC118" i="17"/>
  <c r="AC122" i="17"/>
  <c r="AC126" i="17"/>
  <c r="AC130" i="17"/>
  <c r="AC134" i="17"/>
  <c r="AC138" i="17"/>
  <c r="AC142" i="17"/>
  <c r="AC146" i="17"/>
  <c r="AC150" i="17"/>
  <c r="AC154" i="17"/>
  <c r="AC158" i="17"/>
  <c r="AC162" i="17"/>
  <c r="AC166" i="17"/>
  <c r="AC170" i="17"/>
  <c r="AC174" i="17"/>
  <c r="AC175" i="17"/>
  <c r="AC187" i="17"/>
  <c r="AC195" i="17"/>
  <c r="AC176" i="17"/>
  <c r="AC180" i="17"/>
  <c r="AC184" i="17"/>
  <c r="AC188" i="17"/>
  <c r="AC192" i="17"/>
  <c r="AC196" i="17"/>
  <c r="AC197" i="17"/>
  <c r="AC182" i="17"/>
  <c r="AC186" i="17"/>
  <c r="AC190" i="17"/>
  <c r="AC194" i="17"/>
  <c r="AC198" i="17"/>
  <c r="M50" i="6"/>
  <c r="M14" i="6"/>
  <c r="W54" i="8"/>
  <c r="W58" i="8" s="1"/>
  <c r="W54" i="9"/>
  <c r="W54" i="7"/>
  <c r="AG54" i="8"/>
  <c r="AG54" i="9"/>
  <c r="AG54" i="7"/>
  <c r="AD54" i="8"/>
  <c r="AD54" i="9"/>
  <c r="AD54" i="7"/>
  <c r="AJ54" i="9"/>
  <c r="AJ54" i="8"/>
  <c r="AJ54" i="7"/>
  <c r="AI54" i="8"/>
  <c r="AI58" i="8" s="1"/>
  <c r="AI54" i="9"/>
  <c r="AI54" i="7"/>
  <c r="AH54" i="8"/>
  <c r="AH54" i="9"/>
  <c r="AH54" i="7"/>
  <c r="AB56" i="9"/>
  <c r="AB56" i="8"/>
  <c r="AB56" i="7"/>
  <c r="Z47" i="13"/>
  <c r="Z47" i="12"/>
  <c r="Z47" i="10"/>
  <c r="Z47" i="11"/>
  <c r="Y47" i="13"/>
  <c r="Y47" i="11"/>
  <c r="Y47" i="12"/>
  <c r="Y47" i="10"/>
  <c r="AG56" i="9"/>
  <c r="AG56" i="8"/>
  <c r="AG56" i="7"/>
  <c r="V45" i="13"/>
  <c r="V45" i="12"/>
  <c r="V45" i="10"/>
  <c r="V45" i="11"/>
  <c r="X47" i="11"/>
  <c r="X47" i="12"/>
  <c r="X47" i="13"/>
  <c r="X47" i="10"/>
  <c r="Q45" i="13"/>
  <c r="Q45" i="11"/>
  <c r="Q45" i="12"/>
  <c r="Q45" i="10"/>
  <c r="Z56" i="9"/>
  <c r="Z56" i="8"/>
  <c r="Z56" i="7"/>
  <c r="AI55" i="9"/>
  <c r="AI55" i="8"/>
  <c r="AI55" i="7"/>
  <c r="AJ56" i="9"/>
  <c r="AJ56" i="8"/>
  <c r="AJ56" i="7"/>
  <c r="M54" i="8"/>
  <c r="M58" i="8" s="1"/>
  <c r="M54" i="9"/>
  <c r="M54" i="7"/>
  <c r="R54" i="8"/>
  <c r="R58" i="8" s="1"/>
  <c r="R54" i="9"/>
  <c r="R54" i="7"/>
  <c r="Z58" i="6"/>
  <c r="AE54" i="8"/>
  <c r="AE54" i="9"/>
  <c r="AE54" i="7"/>
  <c r="AK54" i="8"/>
  <c r="AK58" i="8" s="1"/>
  <c r="AK54" i="9"/>
  <c r="AK54" i="7"/>
  <c r="AL56" i="9"/>
  <c r="AL56" i="8"/>
  <c r="AL56" i="7"/>
  <c r="V56" i="9"/>
  <c r="V56" i="8"/>
  <c r="V56" i="7"/>
  <c r="AJ55" i="9"/>
  <c r="AJ55" i="8"/>
  <c r="AJ55" i="7"/>
  <c r="D18" i="5"/>
  <c r="AB56" i="6" s="1"/>
  <c r="AD55" i="9"/>
  <c r="AD55" i="8"/>
  <c r="AD55" i="7"/>
  <c r="D28" i="5"/>
  <c r="AL56" i="6" s="1"/>
  <c r="V46" i="13"/>
  <c r="V46" i="11"/>
  <c r="V46" i="12"/>
  <c r="V46" i="10"/>
  <c r="Z45" i="13"/>
  <c r="Z45" i="12"/>
  <c r="Z45" i="11"/>
  <c r="Z45" i="10"/>
  <c r="AA56" i="9"/>
  <c r="AA56" i="8"/>
  <c r="AA56" i="7"/>
  <c r="AH55" i="9"/>
  <c r="AH55" i="8"/>
  <c r="AH55" i="7"/>
  <c r="AI56" i="9"/>
  <c r="AI56" i="8"/>
  <c r="AI56" i="7"/>
  <c r="Y45" i="13"/>
  <c r="Y45" i="11"/>
  <c r="Y49" i="11" s="1"/>
  <c r="Y45" i="10"/>
  <c r="Y45" i="12"/>
  <c r="Y49" i="12" s="1"/>
  <c r="AI46" i="7"/>
  <c r="AI44" i="7"/>
  <c r="AI50" i="7"/>
  <c r="AI45" i="7"/>
  <c r="AI45" i="9" s="1"/>
  <c r="AI51" i="7"/>
  <c r="AI49" i="7"/>
  <c r="AI30" i="7"/>
  <c r="AI27" i="7"/>
  <c r="AI22" i="7"/>
  <c r="AI20" i="7"/>
  <c r="AI18" i="7"/>
  <c r="AI16" i="7"/>
  <c r="AI14" i="7"/>
  <c r="AI12" i="7"/>
  <c r="AI10" i="7"/>
  <c r="AI8" i="7"/>
  <c r="AI6" i="7"/>
  <c r="AI43" i="7"/>
  <c r="AI41" i="7"/>
  <c r="AI39" i="7"/>
  <c r="AI37" i="7"/>
  <c r="AI35" i="7"/>
  <c r="AI33" i="7"/>
  <c r="AI28" i="7"/>
  <c r="AI25" i="7"/>
  <c r="AI48" i="7"/>
  <c r="AI47" i="7"/>
  <c r="AI31" i="7"/>
  <c r="AI26" i="7"/>
  <c r="AI23" i="7"/>
  <c r="AI21" i="7"/>
  <c r="AI19" i="7"/>
  <c r="AI17" i="7"/>
  <c r="AI15" i="7"/>
  <c r="AI13" i="7"/>
  <c r="AI11" i="7"/>
  <c r="AI9" i="7"/>
  <c r="AI7" i="7"/>
  <c r="AI5" i="7"/>
  <c r="AI42" i="7"/>
  <c r="AI40" i="7"/>
  <c r="AI38" i="7"/>
  <c r="AI36" i="7"/>
  <c r="AI34" i="7"/>
  <c r="AI32" i="7"/>
  <c r="AI29" i="7"/>
  <c r="AI24" i="7"/>
  <c r="L54" i="9"/>
  <c r="L54" i="7"/>
  <c r="L54" i="8"/>
  <c r="L58" i="8" s="1"/>
  <c r="Q54" i="8"/>
  <c r="Q58" i="8" s="1"/>
  <c r="Q54" i="9"/>
  <c r="Q54" i="7"/>
  <c r="AB58" i="6"/>
  <c r="AL58" i="6"/>
  <c r="X45" i="10"/>
  <c r="X45" i="11"/>
  <c r="X45" i="12"/>
  <c r="X45" i="13"/>
  <c r="AB55" i="9"/>
  <c r="AB55" i="8"/>
  <c r="AB55" i="7"/>
  <c r="AD56" i="9"/>
  <c r="AD56" i="8"/>
  <c r="AD56" i="7"/>
  <c r="E28" i="5"/>
  <c r="V47" i="13"/>
  <c r="V47" i="12"/>
  <c r="V47" i="10"/>
  <c r="V47" i="11"/>
  <c r="Z46" i="12"/>
  <c r="Z46" i="10"/>
  <c r="Z46" i="11"/>
  <c r="Z46" i="13"/>
  <c r="U56" i="8"/>
  <c r="U56" i="9"/>
  <c r="U56" i="7"/>
  <c r="T47" i="13"/>
  <c r="T47" i="11"/>
  <c r="T47" i="12"/>
  <c r="T47" i="10"/>
  <c r="AH56" i="9"/>
  <c r="AH56" i="8"/>
  <c r="AH56" i="7"/>
  <c r="Y46" i="13"/>
  <c r="Y46" i="12"/>
  <c r="Y46" i="11"/>
  <c r="Y46" i="10"/>
  <c r="P54" i="9"/>
  <c r="P54" i="8"/>
  <c r="P58" i="8" s="1"/>
  <c r="P54" i="7"/>
  <c r="U54" i="8"/>
  <c r="U58" i="8" s="1"/>
  <c r="U54" i="9"/>
  <c r="U54" i="7"/>
  <c r="V58" i="6"/>
  <c r="X54" i="9"/>
  <c r="X54" i="8"/>
  <c r="X58" i="8" s="1"/>
  <c r="X54" i="7"/>
  <c r="AA58" i="6"/>
  <c r="AC54" i="8"/>
  <c r="AC58" i="8" s="1"/>
  <c r="AC54" i="9"/>
  <c r="AC54" i="7"/>
  <c r="AD57" i="6"/>
  <c r="AF54" i="9"/>
  <c r="AF54" i="8"/>
  <c r="AF54" i="7"/>
  <c r="AG58" i="6"/>
  <c r="AJ57" i="6"/>
  <c r="Z54" i="8"/>
  <c r="Z58" i="8" s="1"/>
  <c r="Z10" i="9" s="1"/>
  <c r="Z54" i="9"/>
  <c r="Z54" i="7"/>
  <c r="O54" i="8"/>
  <c r="O58" i="8" s="1"/>
  <c r="O54" i="9"/>
  <c r="O54" i="7"/>
  <c r="S54" i="8"/>
  <c r="S54" i="9"/>
  <c r="S54" i="7"/>
  <c r="AD58" i="6"/>
  <c r="AI57" i="6"/>
  <c r="AJ58" i="6"/>
  <c r="AA54" i="8"/>
  <c r="AA58" i="8" s="1"/>
  <c r="AA45" i="9" s="1"/>
  <c r="AA54" i="9"/>
  <c r="AA54" i="7"/>
  <c r="W44" i="11"/>
  <c r="N48" i="10"/>
  <c r="N48" i="11" s="1"/>
  <c r="W48" i="10"/>
  <c r="T48" i="10"/>
  <c r="T48" i="11" s="1"/>
  <c r="M44" i="10"/>
  <c r="O44" i="10"/>
  <c r="R44" i="10"/>
  <c r="S44" i="10"/>
  <c r="U44" i="10"/>
  <c r="X44" i="10"/>
  <c r="Y44" i="10"/>
  <c r="M48" i="10"/>
  <c r="M48" i="12" s="1"/>
  <c r="O48" i="10"/>
  <c r="O48" i="12" s="1"/>
  <c r="S48" i="10"/>
  <c r="S48" i="11" s="1"/>
  <c r="U48" i="10"/>
  <c r="U48" i="11" s="1"/>
  <c r="Y48" i="10"/>
  <c r="Y48" i="12" s="1"/>
  <c r="L44" i="10"/>
  <c r="N44" i="10"/>
  <c r="N49" i="10" s="1"/>
  <c r="N12" i="11" s="1"/>
  <c r="P44" i="10"/>
  <c r="Q44" i="10"/>
  <c r="Q49" i="10" s="1"/>
  <c r="Q17" i="11" s="1"/>
  <c r="T44" i="10"/>
  <c r="V44" i="10"/>
  <c r="W44" i="10"/>
  <c r="W49" i="10" s="1"/>
  <c r="Z44" i="10"/>
  <c r="AI46" i="9"/>
  <c r="AI44" i="9"/>
  <c r="AI51" i="9"/>
  <c r="AI40" i="9"/>
  <c r="AI32" i="9"/>
  <c r="AI37" i="9"/>
  <c r="AI28" i="9"/>
  <c r="AI25" i="9"/>
  <c r="AI20" i="9"/>
  <c r="AI17" i="9"/>
  <c r="AI29" i="9"/>
  <c r="AI22" i="9"/>
  <c r="AI16" i="9"/>
  <c r="AI14" i="9"/>
  <c r="AI9" i="9"/>
  <c r="AI6" i="9"/>
  <c r="AA51" i="9"/>
  <c r="AA49" i="9"/>
  <c r="AA47" i="9"/>
  <c r="AA50" i="9"/>
  <c r="AA48" i="9"/>
  <c r="AA46" i="9"/>
  <c r="AA42" i="9"/>
  <c r="AA39" i="9"/>
  <c r="AA37" i="9"/>
  <c r="AA35" i="9"/>
  <c r="AA36" i="9"/>
  <c r="AA33" i="9"/>
  <c r="AA43" i="9"/>
  <c r="AA34" i="9"/>
  <c r="AA38" i="9"/>
  <c r="AA28" i="9"/>
  <c r="AA23" i="9"/>
  <c r="AA20" i="9"/>
  <c r="AA32" i="9"/>
  <c r="AA31" i="9"/>
  <c r="AA29" i="9"/>
  <c r="AA21" i="9"/>
  <c r="AA18" i="9"/>
  <c r="AA27" i="9"/>
  <c r="AA24" i="9"/>
  <c r="AA19" i="9"/>
  <c r="AA30" i="9"/>
  <c r="AA25" i="9"/>
  <c r="AA17" i="9"/>
  <c r="AA14" i="9"/>
  <c r="AA11" i="9"/>
  <c r="AA6" i="9"/>
  <c r="AA12" i="9"/>
  <c r="AA9" i="9"/>
  <c r="AA15" i="9"/>
  <c r="AA7" i="9"/>
  <c r="AA16" i="9"/>
  <c r="AA13" i="9"/>
  <c r="AA8" i="9"/>
  <c r="AA5" i="9"/>
  <c r="Z51" i="9"/>
  <c r="Z49" i="9"/>
  <c r="Z45" i="9"/>
  <c r="Z43" i="9"/>
  <c r="Z46" i="9"/>
  <c r="Z44" i="9"/>
  <c r="Z48" i="9"/>
  <c r="Z50" i="9"/>
  <c r="Z42" i="9"/>
  <c r="Z38" i="9"/>
  <c r="Z39" i="9"/>
  <c r="Z36" i="9"/>
  <c r="Z33" i="9"/>
  <c r="Z31" i="9"/>
  <c r="Z37" i="9"/>
  <c r="Z34" i="9"/>
  <c r="Z35" i="9"/>
  <c r="Z32" i="9"/>
  <c r="Z30" i="9"/>
  <c r="Z28" i="9"/>
  <c r="Z26" i="9"/>
  <c r="Z24" i="9"/>
  <c r="Z22" i="9"/>
  <c r="Z18" i="9"/>
  <c r="Z25" i="9"/>
  <c r="Z17" i="9"/>
  <c r="Z23" i="9"/>
  <c r="Z29" i="9"/>
  <c r="Z21" i="9"/>
  <c r="Z27" i="9"/>
  <c r="Z15" i="9"/>
  <c r="Z13" i="9"/>
  <c r="Z11" i="9"/>
  <c r="Z9" i="9"/>
  <c r="Z7" i="9"/>
  <c r="Z5" i="9"/>
  <c r="Z12" i="9"/>
  <c r="Z14" i="9"/>
  <c r="Z8" i="9"/>
  <c r="Z16" i="9"/>
  <c r="AF53" i="7"/>
  <c r="AE53" i="7"/>
  <c r="AA53" i="7"/>
  <c r="AA58" i="7" s="1"/>
  <c r="Z53" i="7"/>
  <c r="Z58" i="7" s="1"/>
  <c r="AG53" i="7"/>
  <c r="M66" i="6"/>
  <c r="M63" i="6"/>
  <c r="M68" i="6"/>
  <c r="M11" i="6"/>
  <c r="M19" i="6"/>
  <c r="M22" i="6"/>
  <c r="M24" i="6"/>
  <c r="R55" i="6"/>
  <c r="R60" i="6" s="1"/>
  <c r="Y55" i="6"/>
  <c r="Z55" i="6"/>
  <c r="M12" i="6"/>
  <c r="M20" i="6"/>
  <c r="M27" i="6"/>
  <c r="M29" i="6"/>
  <c r="M31" i="6"/>
  <c r="M33" i="6"/>
  <c r="M35" i="6"/>
  <c r="M37" i="6"/>
  <c r="M39" i="6"/>
  <c r="M41" i="6"/>
  <c r="M43" i="6"/>
  <c r="M45" i="6"/>
  <c r="M47" i="6"/>
  <c r="M49" i="6"/>
  <c r="M51" i="6"/>
  <c r="O55" i="6"/>
  <c r="O60" i="6" s="1"/>
  <c r="S55" i="6"/>
  <c r="S60" i="6" s="1"/>
  <c r="U55" i="6"/>
  <c r="U60" i="6" s="1"/>
  <c r="AC55" i="6"/>
  <c r="AC60" i="6" s="1"/>
  <c r="AE55" i="6"/>
  <c r="AE60" i="6" s="1"/>
  <c r="M7" i="6"/>
  <c r="M13" i="6"/>
  <c r="M17" i="6"/>
  <c r="M21" i="6"/>
  <c r="M23" i="6"/>
  <c r="M25" i="6"/>
  <c r="L55" i="6"/>
  <c r="L60" i="6" s="1"/>
  <c r="P55" i="6"/>
  <c r="P60" i="6" s="1"/>
  <c r="V55" i="6"/>
  <c r="W55" i="6"/>
  <c r="W60" i="6" s="1"/>
  <c r="AF55" i="6"/>
  <c r="AF60" i="6" s="1"/>
  <c r="AH55" i="6"/>
  <c r="AH60" i="6" s="1"/>
  <c r="M8" i="6"/>
  <c r="M18" i="6"/>
  <c r="M26" i="6"/>
  <c r="M28" i="6"/>
  <c r="M30" i="6"/>
  <c r="M32" i="6"/>
  <c r="M34" i="6"/>
  <c r="M36" i="6"/>
  <c r="M38" i="6"/>
  <c r="M40" i="6"/>
  <c r="M42" i="6"/>
  <c r="M44" i="6"/>
  <c r="M46" i="6"/>
  <c r="M48" i="6"/>
  <c r="Q55" i="6"/>
  <c r="Q60" i="6" s="1"/>
  <c r="X55" i="6"/>
  <c r="X60" i="6" s="1"/>
  <c r="AA55" i="6"/>
  <c r="D36" i="5"/>
  <c r="AI21" i="9" l="1"/>
  <c r="AI7" i="9"/>
  <c r="AI23" i="9"/>
  <c r="AI35" i="9"/>
  <c r="AI49" i="9"/>
  <c r="AI8" i="17"/>
  <c r="X10" i="33"/>
  <c r="AF10" i="33" s="1"/>
  <c r="AI47" i="9"/>
  <c r="AI7" i="17"/>
  <c r="AI30" i="9"/>
  <c r="AI38" i="9"/>
  <c r="AI15" i="9"/>
  <c r="AI48" i="9"/>
  <c r="D30" i="5"/>
  <c r="Z6" i="9"/>
  <c r="Z19" i="9"/>
  <c r="Z20" i="9"/>
  <c r="Z40" i="9"/>
  <c r="Z41" i="9"/>
  <c r="Z47" i="9"/>
  <c r="AA10" i="9"/>
  <c r="AA22" i="9"/>
  <c r="AA26" i="9"/>
  <c r="AA40" i="9"/>
  <c r="AA41" i="9"/>
  <c r="AI12" i="9"/>
  <c r="AI26" i="9"/>
  <c r="AI43" i="9"/>
  <c r="V10" i="37"/>
  <c r="X44" i="11"/>
  <c r="M67" i="6"/>
  <c r="M69" i="6"/>
  <c r="AA44" i="10"/>
  <c r="F10" i="38"/>
  <c r="F6" i="38"/>
  <c r="C10" i="38"/>
  <c r="C6" i="38"/>
  <c r="B10" i="38"/>
  <c r="B6" i="38"/>
  <c r="N10" i="37"/>
  <c r="N6" i="37"/>
  <c r="I10" i="37"/>
  <c r="I6" i="37"/>
  <c r="P10" i="37"/>
  <c r="P6" i="37"/>
  <c r="S10" i="37"/>
  <c r="S6" i="37"/>
  <c r="C8" i="37"/>
  <c r="X8" i="37" s="1"/>
  <c r="C10" i="37"/>
  <c r="C6" i="37"/>
  <c r="L8" i="38"/>
  <c r="D10" i="38"/>
  <c r="D6" i="38"/>
  <c r="J10" i="37"/>
  <c r="J6" i="37"/>
  <c r="U10" i="37"/>
  <c r="U6" i="37"/>
  <c r="E10" i="37"/>
  <c r="E6" i="37"/>
  <c r="L10" i="37"/>
  <c r="L6" i="37"/>
  <c r="O10" i="37"/>
  <c r="O6" i="37"/>
  <c r="H10" i="38"/>
  <c r="H6" i="38"/>
  <c r="E10" i="38"/>
  <c r="E6" i="38"/>
  <c r="J6" i="38"/>
  <c r="F10" i="37"/>
  <c r="F6" i="37"/>
  <c r="Q10" i="37"/>
  <c r="Q6" i="37"/>
  <c r="H10" i="37"/>
  <c r="H6" i="37"/>
  <c r="K10" i="37"/>
  <c r="K6" i="37"/>
  <c r="V6" i="37"/>
  <c r="K10" i="38"/>
  <c r="K6" i="38"/>
  <c r="I10" i="38"/>
  <c r="I6" i="38"/>
  <c r="G10" i="38"/>
  <c r="G6" i="38"/>
  <c r="R10" i="37"/>
  <c r="R6" i="37"/>
  <c r="B10" i="37"/>
  <c r="B6" i="37"/>
  <c r="M10" i="37"/>
  <c r="M6" i="37"/>
  <c r="T10" i="37"/>
  <c r="T6" i="37"/>
  <c r="D10" i="37"/>
  <c r="D6" i="37"/>
  <c r="W10" i="37"/>
  <c r="W6" i="37"/>
  <c r="G10" i="37"/>
  <c r="G6" i="37"/>
  <c r="X9" i="33"/>
  <c r="AF9" i="33" s="1"/>
  <c r="D4" i="5"/>
  <c r="F30" i="5" s="1"/>
  <c r="AI5" i="9"/>
  <c r="AI33" i="9"/>
  <c r="AI18" i="9"/>
  <c r="AI10" i="9"/>
  <c r="AI13" i="9"/>
  <c r="AI24" i="9"/>
  <c r="AI36" i="9"/>
  <c r="AI41" i="9"/>
  <c r="AI50" i="9"/>
  <c r="AI42" i="9"/>
  <c r="AI19" i="9"/>
  <c r="AI53" i="7"/>
  <c r="AI58" i="7" s="1"/>
  <c r="AA44" i="9"/>
  <c r="AI31" i="9"/>
  <c r="AI34" i="9"/>
  <c r="AI8" i="9"/>
  <c r="AI11" i="9"/>
  <c r="AI27" i="9"/>
  <c r="AI39" i="9"/>
  <c r="AT9" i="16"/>
  <c r="AO9" i="16"/>
  <c r="AJ9" i="16"/>
  <c r="T49" i="10"/>
  <c r="T20" i="11" s="1"/>
  <c r="F36" i="5"/>
  <c r="Q47" i="13"/>
  <c r="Q47" i="11"/>
  <c r="Q47" i="10"/>
  <c r="Q47" i="12"/>
  <c r="X50" i="7"/>
  <c r="X48" i="7"/>
  <c r="X51" i="7"/>
  <c r="X44" i="7"/>
  <c r="X43" i="7"/>
  <c r="X41" i="7"/>
  <c r="X39" i="7"/>
  <c r="X37" i="7"/>
  <c r="X35" i="7"/>
  <c r="X33" i="7"/>
  <c r="X30" i="7"/>
  <c r="X25" i="7"/>
  <c r="X45" i="7"/>
  <c r="X31" i="7"/>
  <c r="X28" i="7"/>
  <c r="X23" i="7"/>
  <c r="X21" i="7"/>
  <c r="X19" i="7"/>
  <c r="X17" i="7"/>
  <c r="X15" i="7"/>
  <c r="X13" i="7"/>
  <c r="X11" i="7"/>
  <c r="X9" i="7"/>
  <c r="X7" i="7"/>
  <c r="X5" i="7"/>
  <c r="X46" i="7"/>
  <c r="X42" i="7"/>
  <c r="X40" i="7"/>
  <c r="X38" i="7"/>
  <c r="X36" i="7"/>
  <c r="X34" i="7"/>
  <c r="X29" i="7"/>
  <c r="X26" i="7"/>
  <c r="X49" i="7"/>
  <c r="X47" i="7"/>
  <c r="X32" i="7"/>
  <c r="X27" i="7"/>
  <c r="X24" i="7"/>
  <c r="X22" i="7"/>
  <c r="X20" i="7"/>
  <c r="X18" i="7"/>
  <c r="X16" i="7"/>
  <c r="X14" i="7"/>
  <c r="X12" i="7"/>
  <c r="X10" i="7"/>
  <c r="X8" i="7"/>
  <c r="X6" i="7"/>
  <c r="E36" i="5"/>
  <c r="Q46" i="13"/>
  <c r="Q46" i="11"/>
  <c r="Q46" i="12"/>
  <c r="Q46" i="10"/>
  <c r="W46" i="7"/>
  <c r="W44" i="7"/>
  <c r="W51" i="7"/>
  <c r="W49" i="7"/>
  <c r="W47" i="7"/>
  <c r="W45" i="7"/>
  <c r="W50" i="7"/>
  <c r="W32" i="7"/>
  <c r="W27" i="7"/>
  <c r="W24" i="7"/>
  <c r="W22" i="7"/>
  <c r="W20" i="7"/>
  <c r="W18" i="7"/>
  <c r="W16" i="7"/>
  <c r="W14" i="7"/>
  <c r="W12" i="7"/>
  <c r="W10" i="7"/>
  <c r="W8" i="7"/>
  <c r="W6" i="7"/>
  <c r="W43" i="7"/>
  <c r="W41" i="7"/>
  <c r="W39" i="7"/>
  <c r="W37" i="7"/>
  <c r="W35" i="7"/>
  <c r="W33" i="7"/>
  <c r="W30" i="7"/>
  <c r="W25" i="7"/>
  <c r="W48" i="7"/>
  <c r="W31" i="7"/>
  <c r="W28" i="7"/>
  <c r="W23" i="7"/>
  <c r="W21" i="7"/>
  <c r="W19" i="7"/>
  <c r="W17" i="7"/>
  <c r="W15" i="7"/>
  <c r="W13" i="7"/>
  <c r="W11" i="7"/>
  <c r="W9" i="7"/>
  <c r="W7" i="7"/>
  <c r="W5" i="7"/>
  <c r="W42" i="7"/>
  <c r="W40" i="7"/>
  <c r="W38" i="7"/>
  <c r="W36" i="7"/>
  <c r="W34" i="7"/>
  <c r="W29" i="7"/>
  <c r="W26" i="7"/>
  <c r="U47" i="7"/>
  <c r="U45" i="7"/>
  <c r="U46" i="7"/>
  <c r="U44" i="7"/>
  <c r="U51" i="7"/>
  <c r="U49" i="7"/>
  <c r="U31" i="7"/>
  <c r="U28" i="7"/>
  <c r="U23" i="7"/>
  <c r="U21" i="7"/>
  <c r="U19" i="7"/>
  <c r="U17" i="7"/>
  <c r="U15" i="7"/>
  <c r="U13" i="7"/>
  <c r="U11" i="7"/>
  <c r="U9" i="7"/>
  <c r="U7" i="7"/>
  <c r="U5" i="7"/>
  <c r="U50" i="7"/>
  <c r="U42" i="7"/>
  <c r="U40" i="7"/>
  <c r="U38" i="7"/>
  <c r="U36" i="7"/>
  <c r="U34" i="7"/>
  <c r="U29" i="7"/>
  <c r="U26" i="7"/>
  <c r="U32" i="7"/>
  <c r="U27" i="7"/>
  <c r="U24" i="7"/>
  <c r="U22" i="7"/>
  <c r="U20" i="7"/>
  <c r="U18" i="7"/>
  <c r="U16" i="7"/>
  <c r="U14" i="7"/>
  <c r="U12" i="7"/>
  <c r="U10" i="7"/>
  <c r="U8" i="7"/>
  <c r="U6" i="7"/>
  <c r="U48" i="7"/>
  <c r="U43" i="7"/>
  <c r="U41" i="7"/>
  <c r="U39" i="7"/>
  <c r="U37" i="7"/>
  <c r="U35" i="7"/>
  <c r="U33" i="7"/>
  <c r="U30" i="7"/>
  <c r="U25" i="7"/>
  <c r="R27" i="7"/>
  <c r="R24" i="7"/>
  <c r="R22" i="7"/>
  <c r="R20" i="7"/>
  <c r="R18" i="7"/>
  <c r="R16" i="7"/>
  <c r="R14" i="7"/>
  <c r="R12" i="7"/>
  <c r="R10" i="7"/>
  <c r="R8" i="7"/>
  <c r="R6" i="7"/>
  <c r="R25" i="7"/>
  <c r="R28" i="7"/>
  <c r="R23" i="7"/>
  <c r="R21" i="7"/>
  <c r="R19" i="7"/>
  <c r="R17" i="7"/>
  <c r="R15" i="7"/>
  <c r="R13" i="7"/>
  <c r="R11" i="7"/>
  <c r="R9" i="7"/>
  <c r="R7" i="7"/>
  <c r="R5" i="7"/>
  <c r="R29" i="7"/>
  <c r="R26" i="7"/>
  <c r="R41" i="7"/>
  <c r="R34" i="7"/>
  <c r="R50" i="7"/>
  <c r="R43" i="7"/>
  <c r="R36" i="7"/>
  <c r="R45" i="7"/>
  <c r="R38" i="7"/>
  <c r="R31" i="7"/>
  <c r="R47" i="7"/>
  <c r="R40" i="7"/>
  <c r="R33" i="7"/>
  <c r="R49" i="7"/>
  <c r="R42" i="7"/>
  <c r="R35" i="7"/>
  <c r="R51" i="7"/>
  <c r="R44" i="7"/>
  <c r="R37" i="7"/>
  <c r="R30" i="7"/>
  <c r="R46" i="7"/>
  <c r="R39" i="7"/>
  <c r="R32" i="7"/>
  <c r="R48" i="7"/>
  <c r="AA51" i="8"/>
  <c r="Z51" i="35" s="1"/>
  <c r="Z103" i="35" s="1"/>
  <c r="AA49" i="8"/>
  <c r="Z49" i="35" s="1"/>
  <c r="Z101" i="35" s="1"/>
  <c r="AA46" i="8"/>
  <c r="Z46" i="35" s="1"/>
  <c r="Z98" i="35" s="1"/>
  <c r="AA39" i="8"/>
  <c r="Z39" i="35" s="1"/>
  <c r="Z91" i="35" s="1"/>
  <c r="AA36" i="8"/>
  <c r="Z36" i="35" s="1"/>
  <c r="Z88" i="35" s="1"/>
  <c r="AA34" i="8"/>
  <c r="Z34" i="35" s="1"/>
  <c r="Z86" i="35" s="1"/>
  <c r="AA29" i="8"/>
  <c r="Z29" i="35" s="1"/>
  <c r="Z81" i="35" s="1"/>
  <c r="AA24" i="8"/>
  <c r="Z24" i="35" s="1"/>
  <c r="Z76" i="35" s="1"/>
  <c r="AA19" i="8"/>
  <c r="Z19" i="35" s="1"/>
  <c r="Z71" i="35" s="1"/>
  <c r="AA14" i="8"/>
  <c r="Z14" i="35" s="1"/>
  <c r="Z66" i="35" s="1"/>
  <c r="AA11" i="8"/>
  <c r="Z11" i="35" s="1"/>
  <c r="Z63" i="35" s="1"/>
  <c r="AA6" i="8"/>
  <c r="Z6" i="35" s="1"/>
  <c r="Z58" i="35" s="1"/>
  <c r="AA48" i="8"/>
  <c r="Z48" i="35" s="1"/>
  <c r="Z100" i="35" s="1"/>
  <c r="AA50" i="8"/>
  <c r="Z50" i="35" s="1"/>
  <c r="Z102" i="35" s="1"/>
  <c r="AA45" i="8"/>
  <c r="Z45" i="35" s="1"/>
  <c r="Z97" i="35" s="1"/>
  <c r="AA40" i="8"/>
  <c r="Z40" i="35" s="1"/>
  <c r="Z92" i="35" s="1"/>
  <c r="AA35" i="8"/>
  <c r="Z35" i="35" s="1"/>
  <c r="Z87" i="35" s="1"/>
  <c r="AA33" i="8"/>
  <c r="Z33" i="35" s="1"/>
  <c r="Z85" i="35" s="1"/>
  <c r="AA44" i="8"/>
  <c r="Z44" i="35" s="1"/>
  <c r="Z96" i="35" s="1"/>
  <c r="AA30" i="8"/>
  <c r="Z30" i="35" s="1"/>
  <c r="Z82" i="35" s="1"/>
  <c r="AA27" i="8"/>
  <c r="Z27" i="35" s="1"/>
  <c r="Z79" i="35" s="1"/>
  <c r="AA20" i="8"/>
  <c r="Z20" i="35" s="1"/>
  <c r="Z72" i="35" s="1"/>
  <c r="AA17" i="8"/>
  <c r="Z17" i="35" s="1"/>
  <c r="Z69" i="35" s="1"/>
  <c r="AA13" i="8"/>
  <c r="Z13" i="35" s="1"/>
  <c r="Z65" i="35" s="1"/>
  <c r="AA10" i="8"/>
  <c r="Z10" i="35" s="1"/>
  <c r="Z62" i="35" s="1"/>
  <c r="AA43" i="8"/>
  <c r="Z43" i="35" s="1"/>
  <c r="Z95" i="35" s="1"/>
  <c r="AA38" i="8"/>
  <c r="Z38" i="35" s="1"/>
  <c r="Z90" i="35" s="1"/>
  <c r="AA26" i="8"/>
  <c r="Z26" i="35" s="1"/>
  <c r="Z78" i="35" s="1"/>
  <c r="AA23" i="8"/>
  <c r="Z23" i="35" s="1"/>
  <c r="Z75" i="35" s="1"/>
  <c r="AA16" i="8"/>
  <c r="Z16" i="35" s="1"/>
  <c r="Z68" i="35" s="1"/>
  <c r="AA9" i="8"/>
  <c r="Z9" i="35" s="1"/>
  <c r="Z61" i="35" s="1"/>
  <c r="AA47" i="8"/>
  <c r="Z47" i="35" s="1"/>
  <c r="Z99" i="35" s="1"/>
  <c r="AA42" i="8"/>
  <c r="Z42" i="35" s="1"/>
  <c r="Z94" i="35" s="1"/>
  <c r="AA37" i="8"/>
  <c r="Z37" i="35" s="1"/>
  <c r="Z89" i="35" s="1"/>
  <c r="AA32" i="8"/>
  <c r="Z32" i="35" s="1"/>
  <c r="Z84" i="35" s="1"/>
  <c r="AA28" i="8"/>
  <c r="Z28" i="35" s="1"/>
  <c r="Z80" i="35" s="1"/>
  <c r="AA22" i="8"/>
  <c r="Z22" i="35" s="1"/>
  <c r="Z74" i="35" s="1"/>
  <c r="AA15" i="8"/>
  <c r="Z15" i="35" s="1"/>
  <c r="Z67" i="35" s="1"/>
  <c r="AA12" i="8"/>
  <c r="Z12" i="35" s="1"/>
  <c r="Z64" i="35" s="1"/>
  <c r="AA8" i="8"/>
  <c r="Z8" i="35" s="1"/>
  <c r="Z60" i="35" s="1"/>
  <c r="AA5" i="8"/>
  <c r="Z5" i="35" s="1"/>
  <c r="Z57" i="35" s="1"/>
  <c r="P9" i="37" s="1"/>
  <c r="AA41" i="8"/>
  <c r="Z41" i="35" s="1"/>
  <c r="Z93" i="35" s="1"/>
  <c r="AA31" i="8"/>
  <c r="Z31" i="35" s="1"/>
  <c r="Z83" i="35" s="1"/>
  <c r="AA25" i="8"/>
  <c r="Z25" i="35" s="1"/>
  <c r="Z77" i="35" s="1"/>
  <c r="AA21" i="8"/>
  <c r="Z21" i="35" s="1"/>
  <c r="Z73" i="35" s="1"/>
  <c r="AA18" i="8"/>
  <c r="Z18" i="35" s="1"/>
  <c r="Z70" i="35" s="1"/>
  <c r="AA7" i="8"/>
  <c r="Z7" i="35" s="1"/>
  <c r="Z59" i="35" s="1"/>
  <c r="N12" i="12"/>
  <c r="N12" i="36" s="1"/>
  <c r="N55" i="36" s="1"/>
  <c r="N12" i="13"/>
  <c r="R45" i="13"/>
  <c r="R45" i="12"/>
  <c r="R45" i="11"/>
  <c r="R45" i="10"/>
  <c r="S25" i="7"/>
  <c r="S19" i="7"/>
  <c r="S17" i="7"/>
  <c r="S15" i="7"/>
  <c r="S13" i="7"/>
  <c r="S11" i="7"/>
  <c r="S9" i="7"/>
  <c r="S7" i="7"/>
  <c r="S5" i="7"/>
  <c r="S20" i="7"/>
  <c r="S18" i="7"/>
  <c r="S16" i="7"/>
  <c r="S14" i="7"/>
  <c r="S12" i="7"/>
  <c r="S10" i="7"/>
  <c r="S8" i="7"/>
  <c r="S6" i="7"/>
  <c r="S27" i="7"/>
  <c r="S43" i="7"/>
  <c r="S36" i="7"/>
  <c r="S29" i="7"/>
  <c r="S45" i="7"/>
  <c r="S21" i="7"/>
  <c r="S38" i="7"/>
  <c r="S31" i="7"/>
  <c r="S47" i="7"/>
  <c r="S23" i="7"/>
  <c r="S40" i="7"/>
  <c r="S33" i="7"/>
  <c r="S49" i="7"/>
  <c r="S26" i="7"/>
  <c r="S42" i="7"/>
  <c r="S35" i="7"/>
  <c r="S51" i="7"/>
  <c r="S28" i="7"/>
  <c r="S44" i="7"/>
  <c r="S37" i="7"/>
  <c r="S30" i="7"/>
  <c r="S46" i="7"/>
  <c r="S22" i="7"/>
  <c r="S39" i="7"/>
  <c r="S32" i="7"/>
  <c r="S48" i="7"/>
  <c r="S24" i="7"/>
  <c r="S41" i="7"/>
  <c r="S34" i="7"/>
  <c r="S50" i="7"/>
  <c r="T20" i="12"/>
  <c r="T20" i="13"/>
  <c r="AH20" i="7"/>
  <c r="AH18" i="7"/>
  <c r="AH16" i="7"/>
  <c r="AH14" i="7"/>
  <c r="AH12" i="7"/>
  <c r="AH10" i="7"/>
  <c r="AH8" i="7"/>
  <c r="AH6" i="7"/>
  <c r="AH25" i="7"/>
  <c r="AH19" i="7"/>
  <c r="AH17" i="7"/>
  <c r="AH15" i="7"/>
  <c r="AH13" i="7"/>
  <c r="AH11" i="7"/>
  <c r="AH9" i="7"/>
  <c r="AH7" i="7"/>
  <c r="AH5" i="7"/>
  <c r="AH33" i="7"/>
  <c r="AH49" i="7"/>
  <c r="AH26" i="7"/>
  <c r="AH42" i="7"/>
  <c r="AH35" i="7"/>
  <c r="AH51" i="7"/>
  <c r="AH28" i="7"/>
  <c r="AH44" i="7"/>
  <c r="AH37" i="7"/>
  <c r="AH30" i="7"/>
  <c r="AH46" i="7"/>
  <c r="AH22" i="7"/>
  <c r="AH39" i="7"/>
  <c r="AH32" i="7"/>
  <c r="AH48" i="7"/>
  <c r="AH24" i="7"/>
  <c r="AH41" i="7"/>
  <c r="AH34" i="7"/>
  <c r="AH50" i="7"/>
  <c r="AH27" i="7"/>
  <c r="AH43" i="7"/>
  <c r="AH36" i="7"/>
  <c r="AH29" i="7"/>
  <c r="AH45" i="7"/>
  <c r="AH21" i="7"/>
  <c r="AH38" i="7"/>
  <c r="AH31" i="7"/>
  <c r="AH47" i="7"/>
  <c r="AH23" i="7"/>
  <c r="AH40" i="7"/>
  <c r="P28" i="7"/>
  <c r="P23" i="7"/>
  <c r="P21" i="7"/>
  <c r="P19" i="7"/>
  <c r="P17" i="7"/>
  <c r="P15" i="7"/>
  <c r="P13" i="7"/>
  <c r="P11" i="7"/>
  <c r="P9" i="7"/>
  <c r="P7" i="7"/>
  <c r="P5" i="7"/>
  <c r="P29" i="7"/>
  <c r="P26" i="7"/>
  <c r="P27" i="7"/>
  <c r="P24" i="7"/>
  <c r="P22" i="7"/>
  <c r="P20" i="7"/>
  <c r="P18" i="7"/>
  <c r="P16" i="7"/>
  <c r="P14" i="7"/>
  <c r="P12" i="7"/>
  <c r="P10" i="7"/>
  <c r="P8" i="7"/>
  <c r="P6" i="7"/>
  <c r="P25" i="7"/>
  <c r="P45" i="7"/>
  <c r="P38" i="7"/>
  <c r="P31" i="7"/>
  <c r="P47" i="7"/>
  <c r="P40" i="7"/>
  <c r="P33" i="7"/>
  <c r="P49" i="7"/>
  <c r="P42" i="7"/>
  <c r="P35" i="7"/>
  <c r="P51" i="7"/>
  <c r="P44" i="7"/>
  <c r="P37" i="7"/>
  <c r="P30" i="7"/>
  <c r="P46" i="7"/>
  <c r="P39" i="7"/>
  <c r="P32" i="7"/>
  <c r="P48" i="7"/>
  <c r="P41" i="7"/>
  <c r="P34" i="7"/>
  <c r="P50" i="7"/>
  <c r="P43" i="7"/>
  <c r="P36" i="7"/>
  <c r="O25" i="7"/>
  <c r="O19" i="7"/>
  <c r="O17" i="7"/>
  <c r="O15" i="7"/>
  <c r="O13" i="7"/>
  <c r="O11" i="7"/>
  <c r="O9" i="7"/>
  <c r="O7" i="7"/>
  <c r="O5" i="7"/>
  <c r="O20" i="7"/>
  <c r="O18" i="7"/>
  <c r="O16" i="7"/>
  <c r="O14" i="7"/>
  <c r="O12" i="7"/>
  <c r="O10" i="7"/>
  <c r="O8" i="7"/>
  <c r="O6" i="7"/>
  <c r="O35" i="7"/>
  <c r="O51" i="7"/>
  <c r="O28" i="7"/>
  <c r="O44" i="7"/>
  <c r="O37" i="7"/>
  <c r="O30" i="7"/>
  <c r="O46" i="7"/>
  <c r="O22" i="7"/>
  <c r="O39" i="7"/>
  <c r="O32" i="7"/>
  <c r="O48" i="7"/>
  <c r="O24" i="7"/>
  <c r="O41" i="7"/>
  <c r="O34" i="7"/>
  <c r="O50" i="7"/>
  <c r="O27" i="7"/>
  <c r="O43" i="7"/>
  <c r="O36" i="7"/>
  <c r="O29" i="7"/>
  <c r="O45" i="7"/>
  <c r="O21" i="7"/>
  <c r="O38" i="7"/>
  <c r="O31" i="7"/>
  <c r="O47" i="7"/>
  <c r="O23" i="7"/>
  <c r="O40" i="7"/>
  <c r="O33" i="7"/>
  <c r="O49" i="7"/>
  <c r="O26" i="7"/>
  <c r="O42" i="7"/>
  <c r="Z47" i="8"/>
  <c r="Y47" i="35" s="1"/>
  <c r="Y99" i="35" s="1"/>
  <c r="Z44" i="8"/>
  <c r="Y44" i="35" s="1"/>
  <c r="Y96" i="35" s="1"/>
  <c r="Z42" i="8"/>
  <c r="Y42" i="35" s="1"/>
  <c r="Y94" i="35" s="1"/>
  <c r="Z37" i="8"/>
  <c r="Y37" i="35" s="1"/>
  <c r="Y89" i="35" s="1"/>
  <c r="Z32" i="8"/>
  <c r="Y32" i="35" s="1"/>
  <c r="Y84" i="35" s="1"/>
  <c r="Z27" i="8"/>
  <c r="Y27" i="35" s="1"/>
  <c r="Y79" i="35" s="1"/>
  <c r="Z25" i="8"/>
  <c r="Y25" i="35" s="1"/>
  <c r="Y77" i="35" s="1"/>
  <c r="Z22" i="8"/>
  <c r="Y22" i="35" s="1"/>
  <c r="Y74" i="35" s="1"/>
  <c r="Z17" i="8"/>
  <c r="Y17" i="35" s="1"/>
  <c r="Y69" i="35" s="1"/>
  <c r="Z12" i="8"/>
  <c r="Y12" i="35" s="1"/>
  <c r="Y64" i="35" s="1"/>
  <c r="Z9" i="8"/>
  <c r="Y9" i="35" s="1"/>
  <c r="Y61" i="35" s="1"/>
  <c r="Z51" i="8"/>
  <c r="Y51" i="35" s="1"/>
  <c r="Y103" i="35" s="1"/>
  <c r="Z49" i="8"/>
  <c r="Y49" i="35" s="1"/>
  <c r="Y101" i="35" s="1"/>
  <c r="Z48" i="8"/>
  <c r="Y48" i="35" s="1"/>
  <c r="Y100" i="35" s="1"/>
  <c r="Z43" i="8"/>
  <c r="Y43" i="35" s="1"/>
  <c r="Y95" i="35" s="1"/>
  <c r="Z41" i="8"/>
  <c r="Y41" i="35" s="1"/>
  <c r="Y93" i="35" s="1"/>
  <c r="Z38" i="8"/>
  <c r="Y38" i="35" s="1"/>
  <c r="Y90" i="35" s="1"/>
  <c r="Z45" i="8"/>
  <c r="Y45" i="35" s="1"/>
  <c r="Y97" i="35" s="1"/>
  <c r="Z40" i="8"/>
  <c r="Y40" i="35" s="1"/>
  <c r="Y92" i="35" s="1"/>
  <c r="Z35" i="8"/>
  <c r="Y35" i="35" s="1"/>
  <c r="Y87" i="35" s="1"/>
  <c r="Z31" i="8"/>
  <c r="Y31" i="35" s="1"/>
  <c r="Y83" i="35" s="1"/>
  <c r="Z24" i="8"/>
  <c r="Y24" i="35" s="1"/>
  <c r="Y76" i="35" s="1"/>
  <c r="Z21" i="8"/>
  <c r="Y21" i="35" s="1"/>
  <c r="Y73" i="35" s="1"/>
  <c r="Z18" i="8"/>
  <c r="Y18" i="35" s="1"/>
  <c r="Y70" i="35" s="1"/>
  <c r="Z14" i="8"/>
  <c r="Y14" i="35" s="1"/>
  <c r="Y66" i="35" s="1"/>
  <c r="Z7" i="8"/>
  <c r="Y7" i="35" s="1"/>
  <c r="Y59" i="35" s="1"/>
  <c r="Z50" i="8"/>
  <c r="Y50" i="35" s="1"/>
  <c r="Y102" i="35" s="1"/>
  <c r="Z39" i="8"/>
  <c r="Y39" i="35" s="1"/>
  <c r="Y91" i="35" s="1"/>
  <c r="Z34" i="8"/>
  <c r="Y34" i="35" s="1"/>
  <c r="Y86" i="35" s="1"/>
  <c r="Z30" i="8"/>
  <c r="Y30" i="35" s="1"/>
  <c r="Y82" i="35" s="1"/>
  <c r="Z20" i="8"/>
  <c r="Y20" i="35" s="1"/>
  <c r="Y72" i="35" s="1"/>
  <c r="Z13" i="8"/>
  <c r="Y13" i="35" s="1"/>
  <c r="Y65" i="35" s="1"/>
  <c r="Z10" i="8"/>
  <c r="Y10" i="35" s="1"/>
  <c r="Y62" i="35" s="1"/>
  <c r="Z6" i="8"/>
  <c r="Y6" i="35" s="1"/>
  <c r="Y58" i="35" s="1"/>
  <c r="Z33" i="8"/>
  <c r="Y33" i="35" s="1"/>
  <c r="Y85" i="35" s="1"/>
  <c r="Z29" i="8"/>
  <c r="Y29" i="35" s="1"/>
  <c r="Y81" i="35" s="1"/>
  <c r="Z26" i="8"/>
  <c r="Y26" i="35" s="1"/>
  <c r="Y78" i="35" s="1"/>
  <c r="Z23" i="8"/>
  <c r="Y23" i="35" s="1"/>
  <c r="Y75" i="35" s="1"/>
  <c r="Z19" i="8"/>
  <c r="Y19" i="35" s="1"/>
  <c r="Y71" i="35" s="1"/>
  <c r="Z16" i="8"/>
  <c r="Y16" i="35" s="1"/>
  <c r="Y68" i="35" s="1"/>
  <c r="Z46" i="8"/>
  <c r="Y46" i="35" s="1"/>
  <c r="Y98" i="35" s="1"/>
  <c r="Z36" i="8"/>
  <c r="Y36" i="35" s="1"/>
  <c r="Y88" i="35" s="1"/>
  <c r="Z28" i="8"/>
  <c r="Y28" i="35" s="1"/>
  <c r="Y80" i="35" s="1"/>
  <c r="Z15" i="8"/>
  <c r="Y15" i="35" s="1"/>
  <c r="Y67" i="35" s="1"/>
  <c r="Z11" i="8"/>
  <c r="Y11" i="35" s="1"/>
  <c r="Y63" i="35" s="1"/>
  <c r="Z8" i="8"/>
  <c r="Y8" i="35" s="1"/>
  <c r="Y60" i="35" s="1"/>
  <c r="Z5" i="8"/>
  <c r="Y5" i="35" s="1"/>
  <c r="Y57" i="35" s="1"/>
  <c r="R17" i="11"/>
  <c r="Q29" i="7"/>
  <c r="Q26" i="7"/>
  <c r="Q27" i="7"/>
  <c r="Q24" i="7"/>
  <c r="Q22" i="7"/>
  <c r="Q16" i="7"/>
  <c r="Q14" i="7"/>
  <c r="Q10" i="7"/>
  <c r="Q8" i="7"/>
  <c r="Q6" i="7"/>
  <c r="Q28" i="7"/>
  <c r="Q23" i="7"/>
  <c r="Q21" i="7"/>
  <c r="Q15" i="7"/>
  <c r="Q13" i="7"/>
  <c r="Q9" i="7"/>
  <c r="Q5" i="7"/>
  <c r="Q31" i="7"/>
  <c r="Q47" i="7"/>
  <c r="Q12" i="7"/>
  <c r="Q40" i="7"/>
  <c r="Q33" i="7"/>
  <c r="Q49" i="7"/>
  <c r="Q18" i="7"/>
  <c r="Q42" i="7"/>
  <c r="Q35" i="7"/>
  <c r="Q51" i="7"/>
  <c r="Q20" i="7"/>
  <c r="Q44" i="7"/>
  <c r="Q37" i="7"/>
  <c r="Q30" i="7"/>
  <c r="Q46" i="7"/>
  <c r="Q11" i="7"/>
  <c r="Q39" i="7"/>
  <c r="Q32" i="7"/>
  <c r="Q48" i="7"/>
  <c r="Q17" i="7"/>
  <c r="Q41" i="7"/>
  <c r="Q34" i="7"/>
  <c r="Q50" i="7"/>
  <c r="Q19" i="7"/>
  <c r="Q43" i="7"/>
  <c r="Q36" i="7"/>
  <c r="Q25" i="7"/>
  <c r="Q45" i="7"/>
  <c r="Q7" i="7"/>
  <c r="Q38" i="7"/>
  <c r="L29" i="7"/>
  <c r="L26" i="7"/>
  <c r="L27" i="7"/>
  <c r="L24" i="7"/>
  <c r="L22" i="7"/>
  <c r="L16" i="7"/>
  <c r="L14" i="7"/>
  <c r="L10" i="7"/>
  <c r="L8" i="7"/>
  <c r="L6" i="7"/>
  <c r="L28" i="7"/>
  <c r="L23" i="7"/>
  <c r="L21" i="7"/>
  <c r="L15" i="7"/>
  <c r="L13" i="7"/>
  <c r="L9" i="7"/>
  <c r="L5" i="7"/>
  <c r="L32" i="7"/>
  <c r="L48" i="7"/>
  <c r="L17" i="7"/>
  <c r="L41" i="7"/>
  <c r="L34" i="7"/>
  <c r="L50" i="7"/>
  <c r="L31" i="7"/>
  <c r="L47" i="7"/>
  <c r="L36" i="7"/>
  <c r="L25" i="7"/>
  <c r="L45" i="7"/>
  <c r="L7" i="7"/>
  <c r="L38" i="7"/>
  <c r="L35" i="7"/>
  <c r="L51" i="7"/>
  <c r="L12" i="7"/>
  <c r="L40" i="7"/>
  <c r="L33" i="7"/>
  <c r="L49" i="7"/>
  <c r="L18" i="7"/>
  <c r="L42" i="7"/>
  <c r="L11" i="7"/>
  <c r="L39" i="7"/>
  <c r="L20" i="7"/>
  <c r="L44" i="7"/>
  <c r="L37" i="7"/>
  <c r="L30" i="7"/>
  <c r="L46" i="7"/>
  <c r="L19" i="7"/>
  <c r="L43" i="7"/>
  <c r="AC25" i="7"/>
  <c r="AC19" i="7"/>
  <c r="AC17" i="7"/>
  <c r="AC15" i="7"/>
  <c r="AC13" i="7"/>
  <c r="AC11" i="7"/>
  <c r="AC9" i="7"/>
  <c r="AC7" i="7"/>
  <c r="AC5" i="7"/>
  <c r="AC20" i="7"/>
  <c r="AC18" i="7"/>
  <c r="AC16" i="7"/>
  <c r="AC14" i="7"/>
  <c r="AC12" i="7"/>
  <c r="AC10" i="7"/>
  <c r="AC8" i="7"/>
  <c r="AC6" i="7"/>
  <c r="AC31" i="7"/>
  <c r="AC47" i="7"/>
  <c r="AC23" i="7"/>
  <c r="AC40" i="7"/>
  <c r="AC33" i="7"/>
  <c r="AC49" i="7"/>
  <c r="AC26" i="7"/>
  <c r="AC42" i="7"/>
  <c r="AC35" i="7"/>
  <c r="AC51" i="7"/>
  <c r="AC28" i="7"/>
  <c r="AC44" i="7"/>
  <c r="AC37" i="7"/>
  <c r="AC30" i="7"/>
  <c r="AC46" i="7"/>
  <c r="AC22" i="7"/>
  <c r="AC39" i="7"/>
  <c r="AC32" i="7"/>
  <c r="AC48" i="7"/>
  <c r="AC24" i="7"/>
  <c r="AC41" i="7"/>
  <c r="AC34" i="7"/>
  <c r="AC50" i="7"/>
  <c r="AC27" i="7"/>
  <c r="AC43" i="7"/>
  <c r="AC36" i="7"/>
  <c r="AC29" i="7"/>
  <c r="AC45" i="7"/>
  <c r="AC21" i="7"/>
  <c r="AC38" i="7"/>
  <c r="S48" i="12"/>
  <c r="T36" i="11"/>
  <c r="N28" i="11"/>
  <c r="T35" i="11"/>
  <c r="Q35" i="11"/>
  <c r="Q14" i="11"/>
  <c r="N14" i="11"/>
  <c r="T18" i="11"/>
  <c r="T38" i="11"/>
  <c r="Q22" i="11"/>
  <c r="N30" i="11"/>
  <c r="N13" i="11"/>
  <c r="T33" i="11"/>
  <c r="T12" i="11"/>
  <c r="Q41" i="11"/>
  <c r="Q25" i="11"/>
  <c r="N37" i="11"/>
  <c r="T29" i="11"/>
  <c r="T40" i="11"/>
  <c r="Q36" i="11"/>
  <c r="AI24" i="8"/>
  <c r="AE24" i="35" s="1"/>
  <c r="AE76" i="35" s="1"/>
  <c r="AI36" i="8"/>
  <c r="AE36" i="35" s="1"/>
  <c r="AE88" i="35" s="1"/>
  <c r="AI5" i="8"/>
  <c r="AE5" i="35" s="1"/>
  <c r="AE57" i="35" s="1"/>
  <c r="AI13" i="8"/>
  <c r="AE13" i="35" s="1"/>
  <c r="AE65" i="35" s="1"/>
  <c r="AI21" i="8"/>
  <c r="AE21" i="35" s="1"/>
  <c r="AE73" i="35" s="1"/>
  <c r="AI47" i="8"/>
  <c r="AE47" i="35" s="1"/>
  <c r="AE99" i="35" s="1"/>
  <c r="AI33" i="8"/>
  <c r="AE33" i="35" s="1"/>
  <c r="AE85" i="35" s="1"/>
  <c r="AI41" i="8"/>
  <c r="AE41" i="35" s="1"/>
  <c r="AE93" i="35" s="1"/>
  <c r="AI10" i="8"/>
  <c r="AE10" i="35" s="1"/>
  <c r="AE62" i="35" s="1"/>
  <c r="AI18" i="8"/>
  <c r="AE18" i="35" s="1"/>
  <c r="AE70" i="35" s="1"/>
  <c r="AI30" i="8"/>
  <c r="AE30" i="35" s="1"/>
  <c r="AE82" i="35" s="1"/>
  <c r="AI50" i="8"/>
  <c r="AE50" i="35" s="1"/>
  <c r="AE102" i="35" s="1"/>
  <c r="AL54" i="8"/>
  <c r="AL54" i="9"/>
  <c r="AL54" i="7"/>
  <c r="AB54" i="9"/>
  <c r="AB54" i="7"/>
  <c r="AB54" i="8"/>
  <c r="AH58" i="8"/>
  <c r="AH15" i="9" s="1"/>
  <c r="N10" i="11"/>
  <c r="N7" i="11"/>
  <c r="N6" i="11"/>
  <c r="N8" i="11"/>
  <c r="N11" i="11"/>
  <c r="N9" i="11"/>
  <c r="N5" i="11"/>
  <c r="N23" i="11"/>
  <c r="N16" i="11"/>
  <c r="U48" i="12"/>
  <c r="T48" i="12"/>
  <c r="O48" i="11"/>
  <c r="T32" i="11"/>
  <c r="Q40" i="11"/>
  <c r="N40" i="11"/>
  <c r="N24" i="11"/>
  <c r="T23" i="11"/>
  <c r="Q31" i="11"/>
  <c r="Q42" i="11"/>
  <c r="T14" i="11"/>
  <c r="N35" i="11"/>
  <c r="T34" i="11"/>
  <c r="Q34" i="11"/>
  <c r="Q18" i="11"/>
  <c r="N42" i="11"/>
  <c r="N26" i="11"/>
  <c r="T25" i="11"/>
  <c r="Q37" i="11"/>
  <c r="Q21" i="11"/>
  <c r="N29" i="11"/>
  <c r="N33" i="11"/>
  <c r="N15" i="11"/>
  <c r="P18" i="9"/>
  <c r="AI29" i="8"/>
  <c r="AE29" i="35" s="1"/>
  <c r="AE81" i="35" s="1"/>
  <c r="AI38" i="8"/>
  <c r="AE38" i="35" s="1"/>
  <c r="AE90" i="35" s="1"/>
  <c r="AI7" i="8"/>
  <c r="AE7" i="35" s="1"/>
  <c r="AE59" i="35" s="1"/>
  <c r="AI15" i="8"/>
  <c r="AE15" i="35" s="1"/>
  <c r="AE67" i="35" s="1"/>
  <c r="AI23" i="8"/>
  <c r="AE23" i="35" s="1"/>
  <c r="AE75" i="35" s="1"/>
  <c r="AI48" i="8"/>
  <c r="AE48" i="35" s="1"/>
  <c r="AE100" i="35" s="1"/>
  <c r="AI35" i="8"/>
  <c r="AE35" i="35" s="1"/>
  <c r="AE87" i="35" s="1"/>
  <c r="AI43" i="8"/>
  <c r="AE43" i="35" s="1"/>
  <c r="AE95" i="35" s="1"/>
  <c r="AI12" i="8"/>
  <c r="AE12" i="35" s="1"/>
  <c r="AE64" i="35" s="1"/>
  <c r="AI20" i="8"/>
  <c r="AE20" i="35" s="1"/>
  <c r="AE72" i="35" s="1"/>
  <c r="AI49" i="8"/>
  <c r="AE49" i="35" s="1"/>
  <c r="AE101" i="35" s="1"/>
  <c r="AI44" i="8"/>
  <c r="AE44" i="35" s="1"/>
  <c r="AE96" i="35" s="1"/>
  <c r="Y48" i="11"/>
  <c r="Q49" i="12"/>
  <c r="Q17" i="13" s="1"/>
  <c r="R17" i="13" s="1"/>
  <c r="AJ58" i="8"/>
  <c r="T8" i="11"/>
  <c r="T16" i="11"/>
  <c r="T10" i="11"/>
  <c r="T5" i="11"/>
  <c r="T9" i="11"/>
  <c r="T19" i="11"/>
  <c r="T15" i="11"/>
  <c r="T11" i="11"/>
  <c r="T7" i="11"/>
  <c r="T6" i="11"/>
  <c r="T31" i="11"/>
  <c r="T27" i="11"/>
  <c r="T26" i="11"/>
  <c r="M48" i="11"/>
  <c r="T28" i="11"/>
  <c r="Q28" i="11"/>
  <c r="N36" i="11"/>
  <c r="N20" i="11"/>
  <c r="Q27" i="11"/>
  <c r="N39" i="11"/>
  <c r="T42" i="11"/>
  <c r="N31" i="11"/>
  <c r="T30" i="11"/>
  <c r="Q30" i="11"/>
  <c r="Q13" i="11"/>
  <c r="N38" i="11"/>
  <c r="N22" i="11"/>
  <c r="T21" i="11"/>
  <c r="Q33" i="11"/>
  <c r="N21" i="11"/>
  <c r="N25" i="11"/>
  <c r="X13" i="9"/>
  <c r="AL55" i="9"/>
  <c r="AL55" i="8"/>
  <c r="AL55" i="7"/>
  <c r="AL57" i="6"/>
  <c r="L15" i="9"/>
  <c r="AI32" i="8"/>
  <c r="AE32" i="35" s="1"/>
  <c r="AE84" i="35" s="1"/>
  <c r="AI40" i="8"/>
  <c r="AE40" i="35" s="1"/>
  <c r="AE92" i="35" s="1"/>
  <c r="AI9" i="8"/>
  <c r="AE9" i="35" s="1"/>
  <c r="AE61" i="35" s="1"/>
  <c r="AI17" i="8"/>
  <c r="AE17" i="35" s="1"/>
  <c r="AE69" i="35" s="1"/>
  <c r="AI26" i="8"/>
  <c r="AE26" i="35" s="1"/>
  <c r="AE78" i="35" s="1"/>
  <c r="AI25" i="8"/>
  <c r="AE25" i="35" s="1"/>
  <c r="AE77" i="35" s="1"/>
  <c r="AI37" i="8"/>
  <c r="AE37" i="35" s="1"/>
  <c r="AE89" i="35" s="1"/>
  <c r="AI6" i="8"/>
  <c r="AE6" i="35" s="1"/>
  <c r="AE58" i="35" s="1"/>
  <c r="AI14" i="8"/>
  <c r="AE14" i="35" s="1"/>
  <c r="AE66" i="35" s="1"/>
  <c r="AI22" i="8"/>
  <c r="AE22" i="35" s="1"/>
  <c r="AE74" i="35" s="1"/>
  <c r="AI51" i="8"/>
  <c r="AE51" i="35" s="1"/>
  <c r="AE103" i="35" s="1"/>
  <c r="AI46" i="8"/>
  <c r="AE46" i="35" s="1"/>
  <c r="AE98" i="35" s="1"/>
  <c r="Q49" i="11"/>
  <c r="Q48" i="11" s="1"/>
  <c r="Q16" i="11"/>
  <c r="Q11" i="11"/>
  <c r="Q9" i="11"/>
  <c r="Q5" i="11"/>
  <c r="Q10" i="11"/>
  <c r="Q6" i="11"/>
  <c r="Q8" i="11"/>
  <c r="Q24" i="11"/>
  <c r="Q20" i="11"/>
  <c r="Q19" i="11"/>
  <c r="Q7" i="11"/>
  <c r="Q38" i="11"/>
  <c r="Q32" i="11"/>
  <c r="N48" i="12"/>
  <c r="T24" i="11"/>
  <c r="Q15" i="11"/>
  <c r="N32" i="11"/>
  <c r="T39" i="11"/>
  <c r="Q39" i="11"/>
  <c r="Q23" i="11"/>
  <c r="N19" i="11"/>
  <c r="T22" i="11"/>
  <c r="N27" i="11"/>
  <c r="T13" i="11"/>
  <c r="Q26" i="11"/>
  <c r="N34" i="11"/>
  <c r="N18" i="11"/>
  <c r="T41" i="11"/>
  <c r="T17" i="11"/>
  <c r="Q29" i="11"/>
  <c r="Q12" i="11"/>
  <c r="N41" i="11"/>
  <c r="N17" i="11"/>
  <c r="T37" i="11"/>
  <c r="AI34" i="8"/>
  <c r="AE34" i="35" s="1"/>
  <c r="AE86" i="35" s="1"/>
  <c r="AI42" i="8"/>
  <c r="AE42" i="35" s="1"/>
  <c r="AE94" i="35" s="1"/>
  <c r="AI11" i="8"/>
  <c r="AE11" i="35" s="1"/>
  <c r="AE63" i="35" s="1"/>
  <c r="AI19" i="8"/>
  <c r="AE19" i="35" s="1"/>
  <c r="AE71" i="35" s="1"/>
  <c r="AI31" i="8"/>
  <c r="AE31" i="35" s="1"/>
  <c r="AE83" i="35" s="1"/>
  <c r="AI28" i="8"/>
  <c r="AE28" i="35" s="1"/>
  <c r="AE80" i="35" s="1"/>
  <c r="AI39" i="8"/>
  <c r="AE39" i="35" s="1"/>
  <c r="AE91" i="35" s="1"/>
  <c r="AI8" i="8"/>
  <c r="AE8" i="35" s="1"/>
  <c r="AE60" i="35" s="1"/>
  <c r="AI16" i="8"/>
  <c r="AE16" i="35" s="1"/>
  <c r="AE68" i="35" s="1"/>
  <c r="AI27" i="8"/>
  <c r="AE27" i="35" s="1"/>
  <c r="AE79" i="35" s="1"/>
  <c r="AI45" i="8"/>
  <c r="AE45" i="35" s="1"/>
  <c r="AE97" i="35" s="1"/>
  <c r="R14" i="9"/>
  <c r="U49" i="10"/>
  <c r="M49" i="10"/>
  <c r="S49" i="10"/>
  <c r="Y49" i="10"/>
  <c r="O49" i="10"/>
  <c r="Z53" i="9"/>
  <c r="M64" i="6"/>
  <c r="M70" i="6" s="1"/>
  <c r="M55" i="6"/>
  <c r="M60" i="6" s="1"/>
  <c r="M48" i="7" s="1"/>
  <c r="Y56" i="6"/>
  <c r="V60" i="6"/>
  <c r="V56" i="6"/>
  <c r="U9" i="37" l="1"/>
  <c r="U15" i="37" s="1"/>
  <c r="U11" i="37"/>
  <c r="U7" i="37"/>
  <c r="R33" i="36"/>
  <c r="R76" i="36" s="1"/>
  <c r="P11" i="36"/>
  <c r="P54" i="36" s="1"/>
  <c r="N6" i="36"/>
  <c r="N49" i="36" s="1"/>
  <c r="O9" i="37"/>
  <c r="O15" i="37" s="1"/>
  <c r="R20" i="36"/>
  <c r="R63" i="36" s="1"/>
  <c r="P7" i="37"/>
  <c r="O7" i="37"/>
  <c r="P19" i="35"/>
  <c r="P71" i="35" s="1"/>
  <c r="P11" i="37"/>
  <c r="O11" i="37"/>
  <c r="Q7" i="35"/>
  <c r="Q59" i="35" s="1"/>
  <c r="AD38" i="35"/>
  <c r="AD90" i="35" s="1"/>
  <c r="R8" i="36"/>
  <c r="R51" i="36" s="1"/>
  <c r="L34" i="35"/>
  <c r="L86" i="35" s="1"/>
  <c r="AA53" i="9"/>
  <c r="N26" i="36"/>
  <c r="N69" i="36" s="1"/>
  <c r="N15" i="36"/>
  <c r="N58" i="36" s="1"/>
  <c r="AA37" i="35"/>
  <c r="AA89" i="35" s="1"/>
  <c r="R28" i="36"/>
  <c r="R71" i="36" s="1"/>
  <c r="P32" i="35"/>
  <c r="P84" i="35" s="1"/>
  <c r="T12" i="35"/>
  <c r="T64" i="35" s="1"/>
  <c r="R35" i="36"/>
  <c r="R78" i="36" s="1"/>
  <c r="P36" i="35"/>
  <c r="P88" i="35" s="1"/>
  <c r="P9" i="36"/>
  <c r="P52" i="36" s="1"/>
  <c r="N8" i="36"/>
  <c r="N51" i="36" s="1"/>
  <c r="Q46" i="35"/>
  <c r="Q98" i="35" s="1"/>
  <c r="P15" i="37"/>
  <c r="X6" i="37"/>
  <c r="X10" i="37"/>
  <c r="L6" i="38"/>
  <c r="L10" i="38"/>
  <c r="F4" i="5"/>
  <c r="E4" i="5"/>
  <c r="AI53" i="9"/>
  <c r="E30" i="5"/>
  <c r="M48" i="9"/>
  <c r="L45" i="13"/>
  <c r="L45" i="11"/>
  <c r="L49" i="11" s="1"/>
  <c r="L45" i="10"/>
  <c r="L45" i="12"/>
  <c r="L49" i="12" s="1"/>
  <c r="V54" i="8"/>
  <c r="V58" i="8" s="1"/>
  <c r="V54" i="9"/>
  <c r="V54" i="7"/>
  <c r="O8" i="11"/>
  <c r="O9" i="11"/>
  <c r="O7" i="11"/>
  <c r="O10" i="11"/>
  <c r="O6" i="11"/>
  <c r="O5" i="11"/>
  <c r="O34" i="11"/>
  <c r="O30" i="11"/>
  <c r="O16" i="11"/>
  <c r="O13" i="11"/>
  <c r="O11" i="11"/>
  <c r="O27" i="11"/>
  <c r="O24" i="11"/>
  <c r="O40" i="11"/>
  <c r="O37" i="11"/>
  <c r="O21" i="11"/>
  <c r="O22" i="11"/>
  <c r="O14" i="11"/>
  <c r="O31" i="11"/>
  <c r="O28" i="11"/>
  <c r="O41" i="11"/>
  <c r="O25" i="11"/>
  <c r="O26" i="11"/>
  <c r="O19" i="11"/>
  <c r="O35" i="11"/>
  <c r="O32" i="11"/>
  <c r="O12" i="11"/>
  <c r="O33" i="11"/>
  <c r="O38" i="11"/>
  <c r="O15" i="11"/>
  <c r="O23" i="11"/>
  <c r="O39" i="11"/>
  <c r="O20" i="11"/>
  <c r="O36" i="11"/>
  <c r="O29" i="11"/>
  <c r="O17" i="11"/>
  <c r="O18" i="11"/>
  <c r="O42" i="11"/>
  <c r="U8" i="11"/>
  <c r="U16" i="11"/>
  <c r="U11" i="11"/>
  <c r="U6" i="11"/>
  <c r="U9" i="11"/>
  <c r="U5" i="11"/>
  <c r="U7" i="11"/>
  <c r="U29" i="11"/>
  <c r="U10" i="11"/>
  <c r="U42" i="11"/>
  <c r="U14" i="11"/>
  <c r="U13" i="11"/>
  <c r="U31" i="11"/>
  <c r="U20" i="11"/>
  <c r="U36" i="11"/>
  <c r="U33" i="11"/>
  <c r="U18" i="11"/>
  <c r="U30" i="11"/>
  <c r="U35" i="11"/>
  <c r="U19" i="11"/>
  <c r="U39" i="11"/>
  <c r="U24" i="11"/>
  <c r="U40" i="11"/>
  <c r="U12" i="11"/>
  <c r="U37" i="11"/>
  <c r="U22" i="11"/>
  <c r="U38" i="11"/>
  <c r="U23" i="11"/>
  <c r="U32" i="11"/>
  <c r="U15" i="11"/>
  <c r="U21" i="11"/>
  <c r="U41" i="11"/>
  <c r="U26" i="11"/>
  <c r="U27" i="11"/>
  <c r="U17" i="11"/>
  <c r="U28" i="11"/>
  <c r="U25" i="11"/>
  <c r="U34" i="11"/>
  <c r="R12" i="11"/>
  <c r="Q12" i="12"/>
  <c r="P12" i="36" s="1"/>
  <c r="P55" i="36" s="1"/>
  <c r="Q12" i="13"/>
  <c r="R12" i="13" s="1"/>
  <c r="N18" i="12"/>
  <c r="N18" i="36" s="1"/>
  <c r="N61" i="36" s="1"/>
  <c r="N18" i="13"/>
  <c r="N27" i="12"/>
  <c r="N27" i="36" s="1"/>
  <c r="N70" i="36" s="1"/>
  <c r="N27" i="13"/>
  <c r="R39" i="11"/>
  <c r="Q39" i="12"/>
  <c r="P39" i="36" s="1"/>
  <c r="P82" i="36" s="1"/>
  <c r="Q39" i="13"/>
  <c r="R39" i="13" s="1"/>
  <c r="T24" i="12"/>
  <c r="R24" i="36" s="1"/>
  <c r="R67" i="36" s="1"/>
  <c r="T24" i="13"/>
  <c r="Q7" i="13"/>
  <c r="R7" i="13" s="1"/>
  <c r="Q7" i="12"/>
  <c r="P7" i="36" s="1"/>
  <c r="P50" i="36" s="1"/>
  <c r="R7" i="11"/>
  <c r="R8" i="11"/>
  <c r="Q8" i="12"/>
  <c r="P8" i="36" s="1"/>
  <c r="P51" i="36" s="1"/>
  <c r="Q8" i="13"/>
  <c r="R8" i="13" s="1"/>
  <c r="R9" i="11"/>
  <c r="Q9" i="12"/>
  <c r="Q9" i="13"/>
  <c r="R9" i="13" s="1"/>
  <c r="R33" i="11"/>
  <c r="Q33" i="12"/>
  <c r="P33" i="36" s="1"/>
  <c r="P76" i="36" s="1"/>
  <c r="Q33" i="13"/>
  <c r="R33" i="13" s="1"/>
  <c r="R13" i="11"/>
  <c r="Q13" i="13"/>
  <c r="R13" i="13" s="1"/>
  <c r="Q13" i="12"/>
  <c r="R13" i="12" s="1"/>
  <c r="T42" i="12"/>
  <c r="R42" i="36" s="1"/>
  <c r="R85" i="36" s="1"/>
  <c r="T42" i="13"/>
  <c r="N36" i="12"/>
  <c r="N36" i="36" s="1"/>
  <c r="N79" i="36" s="1"/>
  <c r="N36" i="13"/>
  <c r="T6" i="12"/>
  <c r="R6" i="36" s="1"/>
  <c r="R49" i="36" s="1"/>
  <c r="T6" i="13"/>
  <c r="T19" i="12"/>
  <c r="R19" i="36" s="1"/>
  <c r="R62" i="36" s="1"/>
  <c r="T19" i="13"/>
  <c r="T16" i="12"/>
  <c r="R16" i="36" s="1"/>
  <c r="R59" i="36" s="1"/>
  <c r="T16" i="13"/>
  <c r="N29" i="12"/>
  <c r="N29" i="36" s="1"/>
  <c r="N72" i="36" s="1"/>
  <c r="N29" i="13"/>
  <c r="N26" i="12"/>
  <c r="N26" i="13"/>
  <c r="T34" i="12"/>
  <c r="R34" i="36" s="1"/>
  <c r="R77" i="36" s="1"/>
  <c r="T34" i="13"/>
  <c r="Q31" i="12"/>
  <c r="P31" i="36" s="1"/>
  <c r="P74" i="36" s="1"/>
  <c r="R31" i="11"/>
  <c r="Q31" i="13"/>
  <c r="R31" i="13" s="1"/>
  <c r="R40" i="11"/>
  <c r="Q40" i="13"/>
  <c r="R40" i="13" s="1"/>
  <c r="Q40" i="12"/>
  <c r="R40" i="12" s="1"/>
  <c r="N9" i="12"/>
  <c r="N9" i="36" s="1"/>
  <c r="N52" i="36" s="1"/>
  <c r="N9" i="13"/>
  <c r="N7" i="12"/>
  <c r="N7" i="36" s="1"/>
  <c r="N50" i="36" s="1"/>
  <c r="N7" i="13"/>
  <c r="N37" i="12"/>
  <c r="N37" i="36" s="1"/>
  <c r="N80" i="36" s="1"/>
  <c r="N37" i="13"/>
  <c r="T33" i="12"/>
  <c r="T33" i="13"/>
  <c r="T38" i="12"/>
  <c r="R38" i="36" s="1"/>
  <c r="R81" i="36" s="1"/>
  <c r="T38" i="13"/>
  <c r="R35" i="11"/>
  <c r="Q35" i="12"/>
  <c r="P35" i="36" s="1"/>
  <c r="P78" i="36" s="1"/>
  <c r="Q35" i="13"/>
  <c r="R35" i="13" s="1"/>
  <c r="M43" i="7"/>
  <c r="AD45" i="7"/>
  <c r="AC45" i="9"/>
  <c r="AD45" i="9" s="1"/>
  <c r="AD27" i="7"/>
  <c r="AC27" i="9"/>
  <c r="AD27" i="9" s="1"/>
  <c r="AD24" i="7"/>
  <c r="AC24" i="9"/>
  <c r="AD24" i="9" s="1"/>
  <c r="AD22" i="7"/>
  <c r="AC22" i="9"/>
  <c r="AD22" i="9" s="1"/>
  <c r="AD44" i="7"/>
  <c r="AC44" i="9"/>
  <c r="AD44" i="9" s="1"/>
  <c r="AD42" i="7"/>
  <c r="AC42" i="9"/>
  <c r="AD42" i="9" s="1"/>
  <c r="AD40" i="7"/>
  <c r="AC40" i="9"/>
  <c r="AD40" i="9" s="1"/>
  <c r="AD6" i="7"/>
  <c r="AC6" i="9"/>
  <c r="AD6" i="9" s="1"/>
  <c r="AD14" i="7"/>
  <c r="AC14" i="9"/>
  <c r="AD14" i="9" s="1"/>
  <c r="AD5" i="7"/>
  <c r="AC5" i="9"/>
  <c r="AC53" i="7"/>
  <c r="AC58" i="7" s="1"/>
  <c r="AC24" i="8" s="1"/>
  <c r="AA24" i="35" s="1"/>
  <c r="AA76" i="35" s="1"/>
  <c r="AD13" i="7"/>
  <c r="AC13" i="9"/>
  <c r="AD13" i="9" s="1"/>
  <c r="AD25" i="7"/>
  <c r="AC25" i="9"/>
  <c r="AD25" i="9" s="1"/>
  <c r="L46" i="9"/>
  <c r="L20" i="9"/>
  <c r="L18" i="9"/>
  <c r="L12" i="9"/>
  <c r="L7" i="9"/>
  <c r="L47" i="9"/>
  <c r="L41" i="9"/>
  <c r="L5" i="9"/>
  <c r="L53" i="7"/>
  <c r="L58" i="7" s="1"/>
  <c r="L20" i="8" s="1"/>
  <c r="L20" i="35" s="1"/>
  <c r="L72" i="35" s="1"/>
  <c r="L21" i="9"/>
  <c r="L8" i="9"/>
  <c r="L22" i="9"/>
  <c r="L29" i="9"/>
  <c r="Q7" i="9"/>
  <c r="Q43" i="9"/>
  <c r="Q41" i="9"/>
  <c r="Q39" i="9"/>
  <c r="Q37" i="9"/>
  <c r="Q35" i="9"/>
  <c r="Q33" i="9"/>
  <c r="Q31" i="9"/>
  <c r="Q15" i="9"/>
  <c r="Q6" i="9"/>
  <c r="Q16" i="9"/>
  <c r="Q26" i="9"/>
  <c r="M22" i="7"/>
  <c r="O42" i="9"/>
  <c r="O40" i="9"/>
  <c r="O38" i="9"/>
  <c r="O36" i="9"/>
  <c r="O34" i="9"/>
  <c r="O32" i="9"/>
  <c r="O30" i="9"/>
  <c r="O51" i="9"/>
  <c r="O10" i="9"/>
  <c r="O18" i="9"/>
  <c r="O9" i="9"/>
  <c r="O17" i="9"/>
  <c r="P36" i="9"/>
  <c r="P41" i="9"/>
  <c r="P46" i="9"/>
  <c r="P51" i="9"/>
  <c r="P33" i="9"/>
  <c r="P38" i="9"/>
  <c r="P8" i="9"/>
  <c r="P16" i="9"/>
  <c r="P24" i="9"/>
  <c r="P5" i="9"/>
  <c r="P53" i="7"/>
  <c r="P58" i="7" s="1"/>
  <c r="P36" i="8" s="1"/>
  <c r="P13" i="9"/>
  <c r="P21" i="9"/>
  <c r="AH23" i="9"/>
  <c r="AH21" i="9"/>
  <c r="AH43" i="9"/>
  <c r="AH41" i="9"/>
  <c r="AH39" i="9"/>
  <c r="AH37" i="9"/>
  <c r="AH35" i="9"/>
  <c r="AH33" i="9"/>
  <c r="AH11" i="9"/>
  <c r="AH19" i="9"/>
  <c r="AH10" i="9"/>
  <c r="AH18" i="9"/>
  <c r="M44" i="7"/>
  <c r="M12" i="7"/>
  <c r="M23" i="7"/>
  <c r="M46" i="7"/>
  <c r="R48" i="9"/>
  <c r="R30" i="9"/>
  <c r="R35" i="9"/>
  <c r="R40" i="9"/>
  <c r="R45" i="9"/>
  <c r="R34" i="9"/>
  <c r="R5" i="9"/>
  <c r="R53" i="7"/>
  <c r="R13" i="9"/>
  <c r="R21" i="9"/>
  <c r="R6" i="9"/>
  <c r="R22" i="9"/>
  <c r="M33" i="7"/>
  <c r="U30" i="9"/>
  <c r="U39" i="9"/>
  <c r="U6" i="9"/>
  <c r="U14" i="9"/>
  <c r="U22" i="9"/>
  <c r="U26" i="9"/>
  <c r="U38" i="9"/>
  <c r="U5" i="9"/>
  <c r="U53" i="7"/>
  <c r="U58" i="7" s="1"/>
  <c r="U30" i="8" s="1"/>
  <c r="T30" i="35" s="1"/>
  <c r="T82" i="35" s="1"/>
  <c r="U13" i="9"/>
  <c r="U21" i="9"/>
  <c r="U49" i="9"/>
  <c r="U45" i="9"/>
  <c r="W26" i="9"/>
  <c r="W38" i="9"/>
  <c r="W7" i="9"/>
  <c r="W15" i="9"/>
  <c r="W23" i="9"/>
  <c r="W25" i="9"/>
  <c r="W37" i="9"/>
  <c r="W6" i="9"/>
  <c r="W14" i="9"/>
  <c r="W22" i="9"/>
  <c r="W50" i="9"/>
  <c r="W51" i="9"/>
  <c r="M32" i="7"/>
  <c r="X6" i="9"/>
  <c r="X14" i="9"/>
  <c r="X22" i="9"/>
  <c r="X47" i="9"/>
  <c r="X34" i="9"/>
  <c r="X42" i="9"/>
  <c r="X9" i="9"/>
  <c r="X17" i="9"/>
  <c r="X28" i="9"/>
  <c r="X30" i="9"/>
  <c r="X39" i="9"/>
  <c r="X51" i="9"/>
  <c r="V51" i="7"/>
  <c r="V49" i="7"/>
  <c r="V50" i="7"/>
  <c r="V48" i="7"/>
  <c r="V47" i="7"/>
  <c r="V42" i="7"/>
  <c r="V40" i="7"/>
  <c r="V38" i="7"/>
  <c r="V36" i="7"/>
  <c r="V34" i="7"/>
  <c r="V29" i="7"/>
  <c r="V26" i="7"/>
  <c r="V44" i="7"/>
  <c r="V32" i="7"/>
  <c r="V27" i="7"/>
  <c r="V24" i="7"/>
  <c r="V22" i="7"/>
  <c r="V20" i="7"/>
  <c r="V18" i="7"/>
  <c r="V16" i="7"/>
  <c r="V14" i="7"/>
  <c r="V12" i="7"/>
  <c r="V10" i="7"/>
  <c r="V8" i="7"/>
  <c r="V6" i="7"/>
  <c r="V45" i="7"/>
  <c r="V43" i="7"/>
  <c r="V41" i="7"/>
  <c r="V39" i="7"/>
  <c r="V37" i="7"/>
  <c r="V35" i="7"/>
  <c r="V33" i="7"/>
  <c r="V30" i="7"/>
  <c r="V25" i="7"/>
  <c r="V46" i="7"/>
  <c r="V31" i="7"/>
  <c r="V28" i="7"/>
  <c r="V23" i="7"/>
  <c r="V21" i="7"/>
  <c r="V19" i="7"/>
  <c r="V17" i="7"/>
  <c r="V15" i="7"/>
  <c r="V13" i="7"/>
  <c r="V11" i="7"/>
  <c r="V9" i="7"/>
  <c r="V7" i="7"/>
  <c r="V5" i="7"/>
  <c r="Y11" i="11"/>
  <c r="Y9" i="11"/>
  <c r="Y7" i="11"/>
  <c r="Y5" i="11"/>
  <c r="Y23" i="11"/>
  <c r="Y10" i="11"/>
  <c r="Y6" i="11"/>
  <c r="Y38" i="11"/>
  <c r="Y16" i="11"/>
  <c r="Y8" i="11"/>
  <c r="Y28" i="11"/>
  <c r="Y21" i="11"/>
  <c r="Y41" i="11"/>
  <c r="Y31" i="11"/>
  <c r="Y22" i="11"/>
  <c r="Y19" i="11"/>
  <c r="Y20" i="11"/>
  <c r="Y40" i="11"/>
  <c r="Y29" i="11"/>
  <c r="Y26" i="11"/>
  <c r="Y27" i="11"/>
  <c r="Y24" i="11"/>
  <c r="Y25" i="11"/>
  <c r="Y12" i="11"/>
  <c r="Y33" i="11"/>
  <c r="Y13" i="11"/>
  <c r="Y30" i="11"/>
  <c r="Y35" i="11"/>
  <c r="Y32" i="11"/>
  <c r="Y15" i="11"/>
  <c r="Y17" i="11"/>
  <c r="Y37" i="11"/>
  <c r="Y34" i="11"/>
  <c r="Y18" i="11"/>
  <c r="Y42" i="11"/>
  <c r="Y14" i="11"/>
  <c r="Y39" i="11"/>
  <c r="Y36" i="11"/>
  <c r="T37" i="12"/>
  <c r="R37" i="36" s="1"/>
  <c r="R80" i="36" s="1"/>
  <c r="T37" i="13"/>
  <c r="R29" i="11"/>
  <c r="Q29" i="12"/>
  <c r="P29" i="36" s="1"/>
  <c r="P72" i="36" s="1"/>
  <c r="Q29" i="13"/>
  <c r="R29" i="13" s="1"/>
  <c r="N34" i="12"/>
  <c r="N34" i="36" s="1"/>
  <c r="N77" i="36" s="1"/>
  <c r="N34" i="13"/>
  <c r="T22" i="12"/>
  <c r="R22" i="36" s="1"/>
  <c r="R65" i="36" s="1"/>
  <c r="T22" i="13"/>
  <c r="T39" i="12"/>
  <c r="R39" i="36" s="1"/>
  <c r="R82" i="36" s="1"/>
  <c r="T39" i="13"/>
  <c r="Q19" i="12"/>
  <c r="P19" i="36" s="1"/>
  <c r="P62" i="36" s="1"/>
  <c r="R19" i="11"/>
  <c r="Q19" i="13"/>
  <c r="R19" i="13" s="1"/>
  <c r="R6" i="11"/>
  <c r="Q6" i="12"/>
  <c r="P6" i="36" s="1"/>
  <c r="P49" i="36" s="1"/>
  <c r="Q6" i="13"/>
  <c r="R6" i="13" s="1"/>
  <c r="R11" i="11"/>
  <c r="Q11" i="13"/>
  <c r="R11" i="13" s="1"/>
  <c r="Q11" i="12"/>
  <c r="T21" i="12"/>
  <c r="R21" i="36" s="1"/>
  <c r="R64" i="36" s="1"/>
  <c r="T21" i="13"/>
  <c r="Q30" i="12"/>
  <c r="P30" i="36" s="1"/>
  <c r="P73" i="36" s="1"/>
  <c r="R30" i="11"/>
  <c r="Q30" i="13"/>
  <c r="R30" i="13" s="1"/>
  <c r="N39" i="12"/>
  <c r="N39" i="36" s="1"/>
  <c r="N82" i="36" s="1"/>
  <c r="N39" i="13"/>
  <c r="R28" i="11"/>
  <c r="Q28" i="12"/>
  <c r="P28" i="36" s="1"/>
  <c r="P71" i="36" s="1"/>
  <c r="Q28" i="13"/>
  <c r="R28" i="13" s="1"/>
  <c r="T26" i="12"/>
  <c r="R26" i="36" s="1"/>
  <c r="R69" i="36" s="1"/>
  <c r="T26" i="13"/>
  <c r="T7" i="12"/>
  <c r="R7" i="36" s="1"/>
  <c r="R50" i="36" s="1"/>
  <c r="T7" i="13"/>
  <c r="T9" i="12"/>
  <c r="R9" i="36" s="1"/>
  <c r="R52" i="36" s="1"/>
  <c r="T9" i="13"/>
  <c r="T8" i="12"/>
  <c r="T8" i="13"/>
  <c r="R21" i="11"/>
  <c r="Q21" i="12"/>
  <c r="P21" i="36" s="1"/>
  <c r="P64" i="36" s="1"/>
  <c r="Q21" i="13"/>
  <c r="R21" i="13" s="1"/>
  <c r="N42" i="12"/>
  <c r="N42" i="36" s="1"/>
  <c r="N85" i="36" s="1"/>
  <c r="N42" i="13"/>
  <c r="N35" i="12"/>
  <c r="N35" i="36" s="1"/>
  <c r="N78" i="36" s="1"/>
  <c r="N35" i="13"/>
  <c r="T23" i="12"/>
  <c r="R23" i="36" s="1"/>
  <c r="R66" i="36" s="1"/>
  <c r="T23" i="13"/>
  <c r="T32" i="12"/>
  <c r="R32" i="36" s="1"/>
  <c r="R75" i="36" s="1"/>
  <c r="T32" i="13"/>
  <c r="N16" i="12"/>
  <c r="N16" i="36" s="1"/>
  <c r="N59" i="36" s="1"/>
  <c r="N16" i="13"/>
  <c r="N11" i="12"/>
  <c r="N11" i="36" s="1"/>
  <c r="N54" i="36" s="1"/>
  <c r="N11" i="13"/>
  <c r="N10" i="12"/>
  <c r="N10" i="36" s="1"/>
  <c r="N53" i="36" s="1"/>
  <c r="N10" i="13"/>
  <c r="R36" i="11"/>
  <c r="Q36" i="12"/>
  <c r="P36" i="36" s="1"/>
  <c r="P79" i="36" s="1"/>
  <c r="Q36" i="13"/>
  <c r="R36" i="13" s="1"/>
  <c r="R25" i="11"/>
  <c r="Q25" i="12"/>
  <c r="P25" i="36" s="1"/>
  <c r="P68" i="36" s="1"/>
  <c r="Q25" i="13"/>
  <c r="R25" i="13" s="1"/>
  <c r="N13" i="12"/>
  <c r="N13" i="36" s="1"/>
  <c r="N56" i="36" s="1"/>
  <c r="N13" i="13"/>
  <c r="T18" i="12"/>
  <c r="R18" i="36" s="1"/>
  <c r="R61" i="36" s="1"/>
  <c r="T18" i="13"/>
  <c r="T35" i="12"/>
  <c r="T35" i="13"/>
  <c r="M19" i="7"/>
  <c r="M51" i="7"/>
  <c r="AD29" i="7"/>
  <c r="AC29" i="9"/>
  <c r="AD29" i="9" s="1"/>
  <c r="AD50" i="7"/>
  <c r="AC50" i="8"/>
  <c r="AD50" i="8" s="1"/>
  <c r="AC50" i="9"/>
  <c r="AD50" i="9" s="1"/>
  <c r="AD48" i="7"/>
  <c r="AC48" i="9"/>
  <c r="AD48" i="9" s="1"/>
  <c r="AD46" i="7"/>
  <c r="AC46" i="9"/>
  <c r="AD46" i="9" s="1"/>
  <c r="AD28" i="7"/>
  <c r="AC28" i="9"/>
  <c r="AD28" i="9" s="1"/>
  <c r="AD26" i="7"/>
  <c r="AC26" i="9"/>
  <c r="AD26" i="9" s="1"/>
  <c r="AD23" i="7"/>
  <c r="AC23" i="9"/>
  <c r="AD23" i="9" s="1"/>
  <c r="AD8" i="7"/>
  <c r="AC8" i="9"/>
  <c r="AD8" i="9" s="1"/>
  <c r="AD16" i="7"/>
  <c r="AC16" i="9"/>
  <c r="AD16" i="9" s="1"/>
  <c r="AD7" i="7"/>
  <c r="AC7" i="9"/>
  <c r="AD7" i="9" s="1"/>
  <c r="AD15" i="7"/>
  <c r="AC15" i="9"/>
  <c r="AD15" i="9" s="1"/>
  <c r="M17" i="7"/>
  <c r="L30" i="9"/>
  <c r="L39" i="8"/>
  <c r="L39" i="35" s="1"/>
  <c r="L91" i="35" s="1"/>
  <c r="L39" i="9"/>
  <c r="L49" i="9"/>
  <c r="L51" i="9"/>
  <c r="L45" i="9"/>
  <c r="L31" i="9"/>
  <c r="L17" i="9"/>
  <c r="L9" i="9"/>
  <c r="L23" i="9"/>
  <c r="L10" i="8"/>
  <c r="L10" i="35" s="1"/>
  <c r="L62" i="35" s="1"/>
  <c r="L10" i="9"/>
  <c r="L24" i="9"/>
  <c r="M26" i="7"/>
  <c r="Q45" i="9"/>
  <c r="Q19" i="9"/>
  <c r="Q17" i="9"/>
  <c r="Q11" i="9"/>
  <c r="Q44" i="9"/>
  <c r="Q42" i="9"/>
  <c r="Q40" i="9"/>
  <c r="Q5" i="9"/>
  <c r="Q53" i="7"/>
  <c r="Q58" i="7" s="1"/>
  <c r="Q7" i="8" s="1"/>
  <c r="Q21" i="9"/>
  <c r="Q8" i="9"/>
  <c r="Q22" i="9"/>
  <c r="Q29" i="9"/>
  <c r="Z53" i="8"/>
  <c r="M29" i="7"/>
  <c r="O26" i="9"/>
  <c r="O23" i="9"/>
  <c r="O21" i="9"/>
  <c r="O43" i="9"/>
  <c r="O41" i="9"/>
  <c r="O39" i="9"/>
  <c r="O37" i="9"/>
  <c r="O35" i="9"/>
  <c r="O12" i="9"/>
  <c r="O20" i="9"/>
  <c r="O11" i="9"/>
  <c r="O19" i="9"/>
  <c r="P43" i="9"/>
  <c r="P48" i="9"/>
  <c r="P30" i="9"/>
  <c r="P35" i="9"/>
  <c r="P40" i="9"/>
  <c r="P45" i="9"/>
  <c r="P10" i="9"/>
  <c r="P27" i="9"/>
  <c r="P7" i="8"/>
  <c r="P7" i="35" s="1"/>
  <c r="P59" i="35" s="1"/>
  <c r="P7" i="9"/>
  <c r="P15" i="9"/>
  <c r="P23" i="8"/>
  <c r="P23" i="9"/>
  <c r="AH47" i="9"/>
  <c r="AH45" i="9"/>
  <c r="AH27" i="9"/>
  <c r="AH24" i="9"/>
  <c r="AH22" i="9"/>
  <c r="AH44" i="9"/>
  <c r="AH42" i="9"/>
  <c r="AH5" i="9"/>
  <c r="AH53" i="7"/>
  <c r="AH58" i="7" s="1"/>
  <c r="AH21" i="8" s="1"/>
  <c r="AD21" i="35" s="1"/>
  <c r="AD73" i="35" s="1"/>
  <c r="AH13" i="9"/>
  <c r="AH25" i="9"/>
  <c r="AH12" i="9"/>
  <c r="AH20" i="9"/>
  <c r="M31" i="7"/>
  <c r="M8" i="7"/>
  <c r="M42" i="7"/>
  <c r="R32" i="9"/>
  <c r="R37" i="9"/>
  <c r="R42" i="9"/>
  <c r="R47" i="9"/>
  <c r="R36" i="9"/>
  <c r="R41" i="9"/>
  <c r="R7" i="9"/>
  <c r="R15" i="9"/>
  <c r="R23" i="9"/>
  <c r="R8" i="9"/>
  <c r="R16" i="9"/>
  <c r="R24" i="9"/>
  <c r="M41" i="7"/>
  <c r="U33" i="9"/>
  <c r="U41" i="9"/>
  <c r="U8" i="9"/>
  <c r="U16" i="9"/>
  <c r="U24" i="9"/>
  <c r="U29" i="9"/>
  <c r="U40" i="9"/>
  <c r="U7" i="9"/>
  <c r="U15" i="9"/>
  <c r="U23" i="9"/>
  <c r="U51" i="9"/>
  <c r="U47" i="9"/>
  <c r="W29" i="9"/>
  <c r="W40" i="9"/>
  <c r="W9" i="9"/>
  <c r="W17" i="9"/>
  <c r="W28" i="9"/>
  <c r="W30" i="9"/>
  <c r="W39" i="9"/>
  <c r="W8" i="9"/>
  <c r="W16" i="9"/>
  <c r="W24" i="9"/>
  <c r="W45" i="9"/>
  <c r="W44" i="9"/>
  <c r="M40" i="7"/>
  <c r="X8" i="9"/>
  <c r="X16" i="9"/>
  <c r="X24" i="9"/>
  <c r="X49" i="9"/>
  <c r="X36" i="9"/>
  <c r="X46" i="9"/>
  <c r="X11" i="9"/>
  <c r="X19" i="9"/>
  <c r="X31" i="9"/>
  <c r="X33" i="9"/>
  <c r="X41" i="9"/>
  <c r="X48" i="9"/>
  <c r="Y60" i="6"/>
  <c r="Y54" i="8"/>
  <c r="Y58" i="8" s="1"/>
  <c r="Y54" i="9"/>
  <c r="Y54" i="7"/>
  <c r="S11" i="11"/>
  <c r="S10" i="11"/>
  <c r="S9" i="11"/>
  <c r="S7" i="11"/>
  <c r="S6" i="11"/>
  <c r="S5" i="11"/>
  <c r="S8" i="11"/>
  <c r="S16" i="11"/>
  <c r="S33" i="11"/>
  <c r="S25" i="11"/>
  <c r="S12" i="11"/>
  <c r="S22" i="11"/>
  <c r="S36" i="11"/>
  <c r="S28" i="11"/>
  <c r="S26" i="11"/>
  <c r="S14" i="11"/>
  <c r="S31" i="11"/>
  <c r="S20" i="11"/>
  <c r="S37" i="11"/>
  <c r="S18" i="11"/>
  <c r="S34" i="11"/>
  <c r="S19" i="11"/>
  <c r="S35" i="11"/>
  <c r="S24" i="11"/>
  <c r="S17" i="11"/>
  <c r="S41" i="11"/>
  <c r="S30" i="11"/>
  <c r="S23" i="11"/>
  <c r="S39" i="11"/>
  <c r="S32" i="11"/>
  <c r="S21" i="11"/>
  <c r="S38" i="11"/>
  <c r="S27" i="11"/>
  <c r="S40" i="11"/>
  <c r="S15" i="11"/>
  <c r="S29" i="11"/>
  <c r="S13" i="11"/>
  <c r="S42" i="11"/>
  <c r="N17" i="12"/>
  <c r="N17" i="36" s="1"/>
  <c r="N60" i="36" s="1"/>
  <c r="N17" i="13"/>
  <c r="T17" i="12"/>
  <c r="R17" i="36" s="1"/>
  <c r="R60" i="36" s="1"/>
  <c r="T17" i="13"/>
  <c r="Q26" i="12"/>
  <c r="P26" i="36" s="1"/>
  <c r="P69" i="36" s="1"/>
  <c r="R26" i="11"/>
  <c r="Q26" i="13"/>
  <c r="R26" i="13" s="1"/>
  <c r="N19" i="12"/>
  <c r="N19" i="36" s="1"/>
  <c r="N62" i="36" s="1"/>
  <c r="N19" i="13"/>
  <c r="N32" i="12"/>
  <c r="N32" i="36" s="1"/>
  <c r="N75" i="36" s="1"/>
  <c r="N32" i="13"/>
  <c r="R32" i="11"/>
  <c r="Q32" i="13"/>
  <c r="R32" i="13" s="1"/>
  <c r="Q32" i="12"/>
  <c r="R32" i="12" s="1"/>
  <c r="Q20" i="12"/>
  <c r="P20" i="36" s="1"/>
  <c r="P63" i="36" s="1"/>
  <c r="R20" i="11"/>
  <c r="Q20" i="13"/>
  <c r="R20" i="13" s="1"/>
  <c r="R10" i="11"/>
  <c r="Q10" i="12"/>
  <c r="P10" i="36" s="1"/>
  <c r="P53" i="36" s="1"/>
  <c r="Q10" i="13"/>
  <c r="R10" i="13" s="1"/>
  <c r="Q16" i="12"/>
  <c r="P16" i="36" s="1"/>
  <c r="P59" i="36" s="1"/>
  <c r="R16" i="11"/>
  <c r="Q16" i="13"/>
  <c r="R16" i="13" s="1"/>
  <c r="N25" i="12"/>
  <c r="N25" i="36" s="1"/>
  <c r="N68" i="36" s="1"/>
  <c r="N25" i="13"/>
  <c r="N22" i="12"/>
  <c r="N22" i="36" s="1"/>
  <c r="N65" i="36" s="1"/>
  <c r="N22" i="13"/>
  <c r="T30" i="12"/>
  <c r="R30" i="36" s="1"/>
  <c r="R73" i="36" s="1"/>
  <c r="T30" i="13"/>
  <c r="R27" i="11"/>
  <c r="Q27" i="12"/>
  <c r="P27" i="36" s="1"/>
  <c r="P70" i="36" s="1"/>
  <c r="Q27" i="13"/>
  <c r="R27" i="13" s="1"/>
  <c r="T28" i="12"/>
  <c r="T28" i="13"/>
  <c r="T27" i="12"/>
  <c r="R27" i="36" s="1"/>
  <c r="R70" i="36" s="1"/>
  <c r="T27" i="13"/>
  <c r="T11" i="12"/>
  <c r="R11" i="36" s="1"/>
  <c r="R54" i="36" s="1"/>
  <c r="T11" i="13"/>
  <c r="T5" i="12"/>
  <c r="R5" i="36" s="1"/>
  <c r="R48" i="36" s="1"/>
  <c r="T44" i="11"/>
  <c r="T5" i="13"/>
  <c r="N15" i="12"/>
  <c r="N15" i="13"/>
  <c r="R37" i="11"/>
  <c r="Q37" i="12"/>
  <c r="P37" i="36" s="1"/>
  <c r="P80" i="36" s="1"/>
  <c r="Q37" i="13"/>
  <c r="R37" i="13" s="1"/>
  <c r="Q18" i="12"/>
  <c r="P18" i="36" s="1"/>
  <c r="P61" i="36" s="1"/>
  <c r="R18" i="11"/>
  <c r="Q18" i="13"/>
  <c r="R18" i="13" s="1"/>
  <c r="T14" i="12"/>
  <c r="R14" i="36" s="1"/>
  <c r="R57" i="36" s="1"/>
  <c r="T14" i="13"/>
  <c r="N24" i="12"/>
  <c r="N24" i="36" s="1"/>
  <c r="N67" i="36" s="1"/>
  <c r="N24" i="13"/>
  <c r="N23" i="12"/>
  <c r="N23" i="36" s="1"/>
  <c r="N66" i="36" s="1"/>
  <c r="N23" i="13"/>
  <c r="N8" i="12"/>
  <c r="N8" i="13"/>
  <c r="AI53" i="8"/>
  <c r="T40" i="12"/>
  <c r="R40" i="36" s="1"/>
  <c r="R83" i="36" s="1"/>
  <c r="T40" i="13"/>
  <c r="R41" i="11"/>
  <c r="Q41" i="12"/>
  <c r="P41" i="36" s="1"/>
  <c r="P84" i="36" s="1"/>
  <c r="Q41" i="13"/>
  <c r="R41" i="13" s="1"/>
  <c r="N30" i="12"/>
  <c r="N30" i="36" s="1"/>
  <c r="N73" i="36" s="1"/>
  <c r="N30" i="13"/>
  <c r="N14" i="12"/>
  <c r="N14" i="36" s="1"/>
  <c r="N57" i="36" s="1"/>
  <c r="N14" i="13"/>
  <c r="N28" i="12"/>
  <c r="N28" i="36" s="1"/>
  <c r="N71" i="36" s="1"/>
  <c r="N28" i="13"/>
  <c r="M27" i="7"/>
  <c r="AD38" i="7"/>
  <c r="AC38" i="9"/>
  <c r="AD38" i="9" s="1"/>
  <c r="AD36" i="7"/>
  <c r="AC36" i="9"/>
  <c r="AD36" i="9" s="1"/>
  <c r="AD34" i="7"/>
  <c r="AC34" i="9"/>
  <c r="AD34" i="9" s="1"/>
  <c r="AD32" i="7"/>
  <c r="AC32" i="9"/>
  <c r="AD32" i="9" s="1"/>
  <c r="AD30" i="7"/>
  <c r="AC30" i="9"/>
  <c r="AD30" i="9" s="1"/>
  <c r="AD51" i="7"/>
  <c r="AC51" i="9"/>
  <c r="AD51" i="9" s="1"/>
  <c r="AD49" i="7"/>
  <c r="AC49" i="9"/>
  <c r="AD49" i="9" s="1"/>
  <c r="AD47" i="7"/>
  <c r="AC47" i="8"/>
  <c r="AA47" i="35" s="1"/>
  <c r="AA99" i="35" s="1"/>
  <c r="AC47" i="9"/>
  <c r="AD47" i="9" s="1"/>
  <c r="AD10" i="7"/>
  <c r="AC10" i="9"/>
  <c r="AD10" i="9" s="1"/>
  <c r="AD18" i="7"/>
  <c r="AC18" i="9"/>
  <c r="AD18" i="9" s="1"/>
  <c r="AD9" i="7"/>
  <c r="AC9" i="9"/>
  <c r="AD9" i="9" s="1"/>
  <c r="AD17" i="7"/>
  <c r="AC17" i="8"/>
  <c r="AA17" i="35" s="1"/>
  <c r="AA69" i="35" s="1"/>
  <c r="AC17" i="9"/>
  <c r="AD17" i="9" s="1"/>
  <c r="L43" i="8"/>
  <c r="L43" i="35" s="1"/>
  <c r="L95" i="35" s="1"/>
  <c r="L43" i="9"/>
  <c r="L37" i="9"/>
  <c r="L11" i="8"/>
  <c r="L11" i="35" s="1"/>
  <c r="L63" i="35" s="1"/>
  <c r="L11" i="9"/>
  <c r="L33" i="9"/>
  <c r="L35" i="8"/>
  <c r="L35" i="35" s="1"/>
  <c r="L87" i="35" s="1"/>
  <c r="L35" i="9"/>
  <c r="L25" i="9"/>
  <c r="L50" i="8"/>
  <c r="L50" i="35" s="1"/>
  <c r="L102" i="35" s="1"/>
  <c r="L50" i="9"/>
  <c r="L48" i="9"/>
  <c r="L13" i="8"/>
  <c r="L13" i="35" s="1"/>
  <c r="L65" i="35" s="1"/>
  <c r="L13" i="9"/>
  <c r="L28" i="9"/>
  <c r="L14" i="8"/>
  <c r="L14" i="35" s="1"/>
  <c r="L66" i="35" s="1"/>
  <c r="L14" i="9"/>
  <c r="L27" i="9"/>
  <c r="M34" i="7"/>
  <c r="Q25" i="9"/>
  <c r="Q50" i="8"/>
  <c r="Q50" i="35" s="1"/>
  <c r="Q102" i="35" s="1"/>
  <c r="Q50" i="9"/>
  <c r="Q48" i="9"/>
  <c r="Q46" i="8"/>
  <c r="Q46" i="9"/>
  <c r="Q20" i="9"/>
  <c r="Q18" i="8"/>
  <c r="Q18" i="35" s="1"/>
  <c r="Q70" i="35" s="1"/>
  <c r="Q18" i="9"/>
  <c r="Q12" i="9"/>
  <c r="Q9" i="8"/>
  <c r="Q9" i="35" s="1"/>
  <c r="Q61" i="35" s="1"/>
  <c r="Q9" i="9"/>
  <c r="Q23" i="9"/>
  <c r="Q10" i="8"/>
  <c r="Q10" i="35" s="1"/>
  <c r="Q62" i="35" s="1"/>
  <c r="Q10" i="9"/>
  <c r="Q24" i="9"/>
  <c r="M37" i="7"/>
  <c r="O49" i="9"/>
  <c r="O47" i="9"/>
  <c r="O45" i="9"/>
  <c r="O27" i="9"/>
  <c r="O24" i="9"/>
  <c r="O22" i="9"/>
  <c r="O44" i="9"/>
  <c r="O6" i="9"/>
  <c r="O14" i="9"/>
  <c r="O5" i="9"/>
  <c r="O53" i="7"/>
  <c r="O58" i="7" s="1"/>
  <c r="O26" i="8" s="1"/>
  <c r="O26" i="35" s="1"/>
  <c r="O78" i="35" s="1"/>
  <c r="O13" i="9"/>
  <c r="O25" i="9"/>
  <c r="P50" i="9"/>
  <c r="P32" i="8"/>
  <c r="P32" i="9"/>
  <c r="P37" i="9"/>
  <c r="P42" i="8"/>
  <c r="P42" i="35" s="1"/>
  <c r="P94" i="35" s="1"/>
  <c r="P42" i="9"/>
  <c r="P47" i="9"/>
  <c r="P25" i="8"/>
  <c r="P25" i="35" s="1"/>
  <c r="P77" i="35" s="1"/>
  <c r="P25" i="9"/>
  <c r="P12" i="9"/>
  <c r="P20" i="8"/>
  <c r="P20" i="35" s="1"/>
  <c r="P72" i="35" s="1"/>
  <c r="P20" i="9"/>
  <c r="P26" i="9"/>
  <c r="P9" i="8"/>
  <c r="P9" i="35" s="1"/>
  <c r="P61" i="35" s="1"/>
  <c r="P9" i="9"/>
  <c r="P17" i="9"/>
  <c r="P28" i="8"/>
  <c r="P28" i="9"/>
  <c r="AH31" i="8"/>
  <c r="AD31" i="35" s="1"/>
  <c r="AD83" i="35" s="1"/>
  <c r="AH31" i="9"/>
  <c r="AH29" i="9"/>
  <c r="AH50" i="8"/>
  <c r="AD50" i="35" s="1"/>
  <c r="AD102" i="35" s="1"/>
  <c r="AH50" i="9"/>
  <c r="AH48" i="9"/>
  <c r="AH46" i="8"/>
  <c r="AD46" i="35" s="1"/>
  <c r="AD98" i="35" s="1"/>
  <c r="AH46" i="9"/>
  <c r="AH28" i="9"/>
  <c r="AH26" i="8"/>
  <c r="AD26" i="35" s="1"/>
  <c r="AD78" i="35" s="1"/>
  <c r="AH26" i="9"/>
  <c r="AH7" i="9"/>
  <c r="AH15" i="8"/>
  <c r="AD15" i="35" s="1"/>
  <c r="AD67" i="35" s="1"/>
  <c r="AH6" i="8"/>
  <c r="AD6" i="35" s="1"/>
  <c r="AD58" i="35" s="1"/>
  <c r="AH6" i="9"/>
  <c r="AH14" i="9"/>
  <c r="M28" i="7"/>
  <c r="M39" i="7"/>
  <c r="S53" i="7"/>
  <c r="M30" i="7"/>
  <c r="AA53" i="8"/>
  <c r="R39" i="9"/>
  <c r="R44" i="9"/>
  <c r="R49" i="9"/>
  <c r="R31" i="9"/>
  <c r="R43" i="9"/>
  <c r="R26" i="9"/>
  <c r="R9" i="9"/>
  <c r="R17" i="9"/>
  <c r="R28" i="9"/>
  <c r="R10" i="9"/>
  <c r="R18" i="9"/>
  <c r="R27" i="9"/>
  <c r="M49" i="7"/>
  <c r="U35" i="8"/>
  <c r="T35" i="35" s="1"/>
  <c r="T87" i="35" s="1"/>
  <c r="U35" i="9"/>
  <c r="U43" i="9"/>
  <c r="U10" i="8"/>
  <c r="T10" i="35" s="1"/>
  <c r="T62" i="35" s="1"/>
  <c r="U10" i="9"/>
  <c r="U18" i="9"/>
  <c r="U27" i="8"/>
  <c r="T27" i="35" s="1"/>
  <c r="T79" i="35" s="1"/>
  <c r="U27" i="9"/>
  <c r="U34" i="9"/>
  <c r="U42" i="8"/>
  <c r="T42" i="35" s="1"/>
  <c r="T94" i="35" s="1"/>
  <c r="U42" i="9"/>
  <c r="U9" i="9"/>
  <c r="U17" i="8"/>
  <c r="T17" i="35" s="1"/>
  <c r="T69" i="35" s="1"/>
  <c r="U17" i="9"/>
  <c r="U28" i="9"/>
  <c r="U44" i="8"/>
  <c r="T44" i="35" s="1"/>
  <c r="T96" i="35" s="1"/>
  <c r="U44" i="9"/>
  <c r="M13" i="7"/>
  <c r="W34" i="9"/>
  <c r="W42" i="9"/>
  <c r="W11" i="9"/>
  <c r="W19" i="9"/>
  <c r="W31" i="9"/>
  <c r="W33" i="9"/>
  <c r="W41" i="9"/>
  <c r="W10" i="9"/>
  <c r="W18" i="9"/>
  <c r="W27" i="9"/>
  <c r="W47" i="9"/>
  <c r="W46" i="9"/>
  <c r="X10" i="9"/>
  <c r="X18" i="9"/>
  <c r="X27" i="9"/>
  <c r="X26" i="9"/>
  <c r="X38" i="9"/>
  <c r="X5" i="9"/>
  <c r="X53" i="7"/>
  <c r="X58" i="7" s="1"/>
  <c r="X18" i="8" s="1"/>
  <c r="W18" i="35" s="1"/>
  <c r="W70" i="35" s="1"/>
  <c r="X21" i="9"/>
  <c r="X45" i="9"/>
  <c r="X35" i="9"/>
  <c r="X43" i="9"/>
  <c r="X50" i="9"/>
  <c r="M16" i="7"/>
  <c r="M10" i="7"/>
  <c r="M6" i="7"/>
  <c r="M15" i="7"/>
  <c r="M9" i="7"/>
  <c r="M5" i="7"/>
  <c r="M14" i="7"/>
  <c r="M50" i="7"/>
  <c r="M16" i="11"/>
  <c r="M11" i="11"/>
  <c r="M9" i="11"/>
  <c r="M5" i="11"/>
  <c r="M10" i="11"/>
  <c r="M7" i="11"/>
  <c r="M6" i="11"/>
  <c r="M18" i="11"/>
  <c r="M8" i="11"/>
  <c r="M12" i="11"/>
  <c r="M22" i="11"/>
  <c r="M14" i="11"/>
  <c r="M31" i="11"/>
  <c r="M15" i="11"/>
  <c r="M32" i="11"/>
  <c r="M29" i="11"/>
  <c r="M13" i="11"/>
  <c r="M38" i="11"/>
  <c r="M42" i="11"/>
  <c r="M19" i="11"/>
  <c r="M35" i="11"/>
  <c r="M20" i="11"/>
  <c r="M36" i="11"/>
  <c r="M37" i="11"/>
  <c r="M26" i="11"/>
  <c r="M23" i="11"/>
  <c r="M39" i="11"/>
  <c r="M24" i="11"/>
  <c r="M40" i="11"/>
  <c r="M21" i="11"/>
  <c r="M17" i="11"/>
  <c r="M41" i="11"/>
  <c r="M30" i="11"/>
  <c r="M27" i="11"/>
  <c r="M28" i="11"/>
  <c r="M33" i="11"/>
  <c r="M25" i="11"/>
  <c r="M34" i="11"/>
  <c r="N41" i="12"/>
  <c r="N41" i="36" s="1"/>
  <c r="N84" i="36" s="1"/>
  <c r="N41" i="13"/>
  <c r="T41" i="12"/>
  <c r="R41" i="36" s="1"/>
  <c r="R84" i="36" s="1"/>
  <c r="T41" i="13"/>
  <c r="T13" i="12"/>
  <c r="R13" i="36" s="1"/>
  <c r="R56" i="36" s="1"/>
  <c r="T13" i="13"/>
  <c r="R23" i="11"/>
  <c r="Q23" i="12"/>
  <c r="P23" i="36" s="1"/>
  <c r="P66" i="36" s="1"/>
  <c r="Q23" i="13"/>
  <c r="R23" i="13" s="1"/>
  <c r="Q15" i="13"/>
  <c r="R15" i="13" s="1"/>
  <c r="R15" i="11"/>
  <c r="Q15" i="12"/>
  <c r="Q38" i="12"/>
  <c r="P38" i="36" s="1"/>
  <c r="P81" i="36" s="1"/>
  <c r="R38" i="11"/>
  <c r="Q38" i="13"/>
  <c r="R38" i="13" s="1"/>
  <c r="R24" i="11"/>
  <c r="Q24" i="12"/>
  <c r="P24" i="36" s="1"/>
  <c r="P67" i="36" s="1"/>
  <c r="Q24" i="13"/>
  <c r="R24" i="13" s="1"/>
  <c r="R5" i="11"/>
  <c r="Q5" i="12"/>
  <c r="P5" i="36" s="1"/>
  <c r="P48" i="36" s="1"/>
  <c r="Q5" i="13"/>
  <c r="Q44" i="11"/>
  <c r="N21" i="12"/>
  <c r="N21" i="36" s="1"/>
  <c r="N64" i="36" s="1"/>
  <c r="N21" i="13"/>
  <c r="N38" i="12"/>
  <c r="N38" i="36" s="1"/>
  <c r="N81" i="36" s="1"/>
  <c r="N38" i="13"/>
  <c r="N31" i="12"/>
  <c r="N31" i="36" s="1"/>
  <c r="N74" i="36" s="1"/>
  <c r="N31" i="13"/>
  <c r="N20" i="12"/>
  <c r="N20" i="36" s="1"/>
  <c r="N63" i="36" s="1"/>
  <c r="N20" i="13"/>
  <c r="T31" i="12"/>
  <c r="R31" i="36" s="1"/>
  <c r="R74" i="36" s="1"/>
  <c r="T31" i="13"/>
  <c r="T15" i="12"/>
  <c r="R15" i="36" s="1"/>
  <c r="R58" i="36" s="1"/>
  <c r="T15" i="13"/>
  <c r="T10" i="12"/>
  <c r="R10" i="36" s="1"/>
  <c r="R53" i="36" s="1"/>
  <c r="T10" i="13"/>
  <c r="Q42" i="13"/>
  <c r="R42" i="13" s="1"/>
  <c r="Q48" i="12"/>
  <c r="N33" i="12"/>
  <c r="N33" i="36" s="1"/>
  <c r="N76" i="36" s="1"/>
  <c r="N33" i="13"/>
  <c r="T25" i="12"/>
  <c r="R25" i="36" s="1"/>
  <c r="R68" i="36" s="1"/>
  <c r="T25" i="13"/>
  <c r="Q34" i="12"/>
  <c r="P34" i="36" s="1"/>
  <c r="P77" i="36" s="1"/>
  <c r="R34" i="11"/>
  <c r="Q34" i="13"/>
  <c r="R34" i="13" s="1"/>
  <c r="Q42" i="12"/>
  <c r="P42" i="36" s="1"/>
  <c r="P85" i="36" s="1"/>
  <c r="R42" i="11"/>
  <c r="N40" i="12"/>
  <c r="N40" i="36" s="1"/>
  <c r="N83" i="36" s="1"/>
  <c r="N40" i="13"/>
  <c r="N5" i="12"/>
  <c r="N5" i="36" s="1"/>
  <c r="N48" i="36" s="1"/>
  <c r="N5" i="13"/>
  <c r="N44" i="11"/>
  <c r="N6" i="12"/>
  <c r="N6" i="13"/>
  <c r="T29" i="12"/>
  <c r="R29" i="36" s="1"/>
  <c r="R72" i="36" s="1"/>
  <c r="T29" i="13"/>
  <c r="T12" i="12"/>
  <c r="R12" i="36" s="1"/>
  <c r="R55" i="36" s="1"/>
  <c r="T12" i="13"/>
  <c r="Q22" i="12"/>
  <c r="P22" i="36" s="1"/>
  <c r="P65" i="36" s="1"/>
  <c r="R22" i="11"/>
  <c r="Q22" i="13"/>
  <c r="R22" i="13" s="1"/>
  <c r="Q14" i="12"/>
  <c r="P14" i="36" s="1"/>
  <c r="P57" i="36" s="1"/>
  <c r="R14" i="11"/>
  <c r="Q14" i="13"/>
  <c r="R14" i="13" s="1"/>
  <c r="T36" i="12"/>
  <c r="R36" i="36" s="1"/>
  <c r="R79" i="36" s="1"/>
  <c r="T36" i="13"/>
  <c r="M35" i="7"/>
  <c r="AD21" i="7"/>
  <c r="AC21" i="8"/>
  <c r="AA21" i="35" s="1"/>
  <c r="AA73" i="35" s="1"/>
  <c r="AC21" i="9"/>
  <c r="AD21" i="9" s="1"/>
  <c r="AD43" i="7"/>
  <c r="AC43" i="8"/>
  <c r="AA43" i="35" s="1"/>
  <c r="AA95" i="35" s="1"/>
  <c r="AC43" i="9"/>
  <c r="AD43" i="9" s="1"/>
  <c r="AD41" i="7"/>
  <c r="AC41" i="9"/>
  <c r="AD41" i="9" s="1"/>
  <c r="AD39" i="7"/>
  <c r="AC39" i="9"/>
  <c r="AD39" i="9" s="1"/>
  <c r="AD37" i="7"/>
  <c r="AC37" i="8"/>
  <c r="AC37" i="9"/>
  <c r="AD37" i="9" s="1"/>
  <c r="AD35" i="7"/>
  <c r="AC35" i="8"/>
  <c r="AA35" i="35" s="1"/>
  <c r="AA87" i="35" s="1"/>
  <c r="AC35" i="9"/>
  <c r="AD35" i="9" s="1"/>
  <c r="AD33" i="7"/>
  <c r="AC33" i="9"/>
  <c r="AD33" i="9" s="1"/>
  <c r="AD31" i="7"/>
  <c r="AC31" i="9"/>
  <c r="AD31" i="9" s="1"/>
  <c r="AD12" i="7"/>
  <c r="AC12" i="8"/>
  <c r="AA12" i="35" s="1"/>
  <c r="AA64" i="35" s="1"/>
  <c r="AC12" i="9"/>
  <c r="AD12" i="9" s="1"/>
  <c r="AD20" i="7"/>
  <c r="AC20" i="8"/>
  <c r="AA20" i="35" s="1"/>
  <c r="AA72" i="35" s="1"/>
  <c r="AC20" i="9"/>
  <c r="AD20" i="9" s="1"/>
  <c r="AD11" i="7"/>
  <c r="AC11" i="9"/>
  <c r="AD11" i="9" s="1"/>
  <c r="AD19" i="7"/>
  <c r="AC19" i="9"/>
  <c r="AD19" i="9" s="1"/>
  <c r="L19" i="8"/>
  <c r="L19" i="35" s="1"/>
  <c r="L71" i="35" s="1"/>
  <c r="L19" i="9"/>
  <c r="L44" i="9"/>
  <c r="L42" i="8"/>
  <c r="L42" i="35" s="1"/>
  <c r="L94" i="35" s="1"/>
  <c r="L42" i="9"/>
  <c r="L40" i="9"/>
  <c r="L38" i="8"/>
  <c r="L38" i="35" s="1"/>
  <c r="L90" i="35" s="1"/>
  <c r="L38" i="9"/>
  <c r="L36" i="9"/>
  <c r="L34" i="8"/>
  <c r="L34" i="9"/>
  <c r="L32" i="9"/>
  <c r="L15" i="8"/>
  <c r="L15" i="35" s="1"/>
  <c r="L67" i="35" s="1"/>
  <c r="L6" i="8"/>
  <c r="L6" i="35" s="1"/>
  <c r="L58" i="35" s="1"/>
  <c r="L6" i="9"/>
  <c r="L16" i="9"/>
  <c r="L26" i="8"/>
  <c r="L26" i="35" s="1"/>
  <c r="L78" i="35" s="1"/>
  <c r="L26" i="9"/>
  <c r="Q38" i="9"/>
  <c r="Q36" i="8"/>
  <c r="Q36" i="35" s="1"/>
  <c r="Q88" i="35" s="1"/>
  <c r="Q36" i="9"/>
  <c r="Q34" i="9"/>
  <c r="Q32" i="8"/>
  <c r="Q32" i="35" s="1"/>
  <c r="Q84" i="35" s="1"/>
  <c r="Q32" i="9"/>
  <c r="Q30" i="9"/>
  <c r="Q51" i="8"/>
  <c r="Q51" i="35" s="1"/>
  <c r="Q103" i="35" s="1"/>
  <c r="Q51" i="9"/>
  <c r="Q49" i="9"/>
  <c r="Q47" i="8"/>
  <c r="Q47" i="35" s="1"/>
  <c r="Q99" i="35" s="1"/>
  <c r="Q47" i="9"/>
  <c r="Q13" i="9"/>
  <c r="Q28" i="8"/>
  <c r="Q28" i="35" s="1"/>
  <c r="Q80" i="35" s="1"/>
  <c r="Q28" i="9"/>
  <c r="Q14" i="9"/>
  <c r="Q27" i="8"/>
  <c r="Q27" i="35" s="1"/>
  <c r="Q79" i="35" s="1"/>
  <c r="Q27" i="9"/>
  <c r="Q17" i="12"/>
  <c r="P17" i="36" s="1"/>
  <c r="P60" i="36" s="1"/>
  <c r="M45" i="7"/>
  <c r="O33" i="9"/>
  <c r="O31" i="9"/>
  <c r="O29" i="9"/>
  <c r="O50" i="9"/>
  <c r="O48" i="9"/>
  <c r="O46" i="9"/>
  <c r="O28" i="9"/>
  <c r="O8" i="9"/>
  <c r="O16" i="9"/>
  <c r="O7" i="9"/>
  <c r="O15" i="9"/>
  <c r="M21" i="7"/>
  <c r="P34" i="8"/>
  <c r="P34" i="35" s="1"/>
  <c r="P86" i="35" s="1"/>
  <c r="P34" i="9"/>
  <c r="P39" i="9"/>
  <c r="P44" i="8"/>
  <c r="P44" i="35" s="1"/>
  <c r="P96" i="35" s="1"/>
  <c r="P44" i="9"/>
  <c r="P49" i="9"/>
  <c r="P31" i="8"/>
  <c r="P31" i="35" s="1"/>
  <c r="P83" i="35" s="1"/>
  <c r="P31" i="9"/>
  <c r="P6" i="9"/>
  <c r="P14" i="8"/>
  <c r="P14" i="35" s="1"/>
  <c r="P66" i="35" s="1"/>
  <c r="P14" i="9"/>
  <c r="P22" i="9"/>
  <c r="P29" i="8"/>
  <c r="P29" i="9"/>
  <c r="P11" i="9"/>
  <c r="P19" i="8"/>
  <c r="P19" i="9"/>
  <c r="AH40" i="9"/>
  <c r="AH38" i="8"/>
  <c r="AH38" i="9"/>
  <c r="AH36" i="9"/>
  <c r="AH34" i="8"/>
  <c r="AD34" i="35" s="1"/>
  <c r="AD86" i="35" s="1"/>
  <c r="AH34" i="9"/>
  <c r="AH32" i="9"/>
  <c r="AH30" i="8"/>
  <c r="AD30" i="35" s="1"/>
  <c r="AD82" i="35" s="1"/>
  <c r="AH30" i="9"/>
  <c r="AH51" i="9"/>
  <c r="AH49" i="8"/>
  <c r="AD49" i="35" s="1"/>
  <c r="AD101" i="35" s="1"/>
  <c r="AH49" i="9"/>
  <c r="AH9" i="9"/>
  <c r="AH17" i="8"/>
  <c r="AD17" i="35" s="1"/>
  <c r="AD69" i="35" s="1"/>
  <c r="AH17" i="9"/>
  <c r="AH8" i="9"/>
  <c r="AH16" i="8"/>
  <c r="AD16" i="35" s="1"/>
  <c r="AD68" i="35" s="1"/>
  <c r="AH16" i="9"/>
  <c r="M36" i="7"/>
  <c r="M24" i="7"/>
  <c r="M47" i="7"/>
  <c r="M7" i="7"/>
  <c r="M38" i="7"/>
  <c r="M11" i="7"/>
  <c r="R46" i="9"/>
  <c r="R51" i="9"/>
  <c r="R33" i="9"/>
  <c r="R38" i="9"/>
  <c r="R50" i="9"/>
  <c r="R29" i="9"/>
  <c r="R11" i="9"/>
  <c r="R19" i="9"/>
  <c r="R25" i="9"/>
  <c r="R12" i="9"/>
  <c r="R20" i="9"/>
  <c r="M20" i="7"/>
  <c r="U25" i="9"/>
  <c r="U37" i="8"/>
  <c r="T37" i="35" s="1"/>
  <c r="T89" i="35" s="1"/>
  <c r="U37" i="9"/>
  <c r="U48" i="9"/>
  <c r="U12" i="8"/>
  <c r="U12" i="9"/>
  <c r="U20" i="9"/>
  <c r="U32" i="8"/>
  <c r="T32" i="35" s="1"/>
  <c r="T84" i="35" s="1"/>
  <c r="U32" i="9"/>
  <c r="U36" i="9"/>
  <c r="U50" i="8"/>
  <c r="T50" i="35" s="1"/>
  <c r="T102" i="35" s="1"/>
  <c r="U50" i="9"/>
  <c r="U11" i="9"/>
  <c r="U19" i="8"/>
  <c r="T19" i="35" s="1"/>
  <c r="T71" i="35" s="1"/>
  <c r="U19" i="9"/>
  <c r="U31" i="9"/>
  <c r="U46" i="8"/>
  <c r="T46" i="35" s="1"/>
  <c r="T98" i="35" s="1"/>
  <c r="U46" i="9"/>
  <c r="M25" i="7"/>
  <c r="W36" i="9"/>
  <c r="W5" i="9"/>
  <c r="W53" i="7"/>
  <c r="W58" i="7" s="1"/>
  <c r="W26" i="8" s="1"/>
  <c r="V26" i="35" s="1"/>
  <c r="V78" i="35" s="1"/>
  <c r="W13" i="9"/>
  <c r="W21" i="9"/>
  <c r="W48" i="9"/>
  <c r="W35" i="9"/>
  <c r="W43" i="9"/>
  <c r="W12" i="9"/>
  <c r="W20" i="9"/>
  <c r="W32" i="9"/>
  <c r="W49" i="9"/>
  <c r="M18" i="7"/>
  <c r="R46" i="13"/>
  <c r="R46" i="11"/>
  <c r="R46" i="10"/>
  <c r="R46" i="12"/>
  <c r="X12" i="9"/>
  <c r="X20" i="9"/>
  <c r="X32" i="9"/>
  <c r="X29" i="9"/>
  <c r="X40" i="9"/>
  <c r="X7" i="9"/>
  <c r="X15" i="9"/>
  <c r="X23" i="9"/>
  <c r="X25" i="9"/>
  <c r="X37" i="9"/>
  <c r="X44" i="9"/>
  <c r="R47" i="13"/>
  <c r="R47" i="12"/>
  <c r="R47" i="10"/>
  <c r="R47" i="11"/>
  <c r="N56" i="6"/>
  <c r="D34" i="5"/>
  <c r="F9" i="38" l="1"/>
  <c r="F15" i="38" s="1"/>
  <c r="F11" i="38"/>
  <c r="D9" i="38"/>
  <c r="D15" i="38" s="1"/>
  <c r="D11" i="38"/>
  <c r="D7" i="38"/>
  <c r="H9" i="38"/>
  <c r="H15" i="38" s="1"/>
  <c r="H11" i="38"/>
  <c r="H7" i="38"/>
  <c r="AH25" i="8"/>
  <c r="AD25" i="35" s="1"/>
  <c r="AD77" i="35" s="1"/>
  <c r="AA50" i="35"/>
  <c r="AA102" i="35" s="1"/>
  <c r="P40" i="36"/>
  <c r="P83" i="36" s="1"/>
  <c r="P15" i="36"/>
  <c r="P58" i="36" s="1"/>
  <c r="V29" i="11"/>
  <c r="P13" i="36"/>
  <c r="P56" i="36" s="1"/>
  <c r="F7" i="38" s="1"/>
  <c r="F13" i="38" s="1"/>
  <c r="P32" i="36"/>
  <c r="P75" i="36" s="1"/>
  <c r="U13" i="37"/>
  <c r="O13" i="37"/>
  <c r="P13" i="37"/>
  <c r="H13" i="38"/>
  <c r="D13" i="38"/>
  <c r="U14" i="37"/>
  <c r="O14" i="37"/>
  <c r="P14" i="37"/>
  <c r="AH20" i="8"/>
  <c r="AD20" i="35" s="1"/>
  <c r="AD72" i="35" s="1"/>
  <c r="R23" i="12"/>
  <c r="U31" i="8"/>
  <c r="T31" i="35" s="1"/>
  <c r="T83" i="35" s="1"/>
  <c r="U20" i="8"/>
  <c r="T20" i="35" s="1"/>
  <c r="T72" i="35" s="1"/>
  <c r="U25" i="8"/>
  <c r="T25" i="35" s="1"/>
  <c r="T77" i="35" s="1"/>
  <c r="P11" i="8"/>
  <c r="P11" i="35" s="1"/>
  <c r="P63" i="35" s="1"/>
  <c r="P22" i="8"/>
  <c r="P6" i="8"/>
  <c r="P6" i="35" s="1"/>
  <c r="P58" i="35" s="1"/>
  <c r="P39" i="8"/>
  <c r="P39" i="35" s="1"/>
  <c r="P91" i="35" s="1"/>
  <c r="Q13" i="8"/>
  <c r="Q13" i="35" s="1"/>
  <c r="Q65" i="35" s="1"/>
  <c r="Q30" i="8"/>
  <c r="Q30" i="35" s="1"/>
  <c r="Q82" i="35" s="1"/>
  <c r="L16" i="8"/>
  <c r="L16" i="35" s="1"/>
  <c r="L68" i="35" s="1"/>
  <c r="L27" i="8"/>
  <c r="L27" i="35" s="1"/>
  <c r="L79" i="35" s="1"/>
  <c r="L28" i="8"/>
  <c r="L28" i="35" s="1"/>
  <c r="L80" i="35" s="1"/>
  <c r="L48" i="8"/>
  <c r="L48" i="35" s="1"/>
  <c r="L100" i="35" s="1"/>
  <c r="L25" i="8"/>
  <c r="L25" i="35" s="1"/>
  <c r="L77" i="35" s="1"/>
  <c r="L33" i="8"/>
  <c r="L33" i="35" s="1"/>
  <c r="L85" i="35" s="1"/>
  <c r="L37" i="8"/>
  <c r="L37" i="35" s="1"/>
  <c r="L89" i="35" s="1"/>
  <c r="U47" i="8"/>
  <c r="T47" i="35" s="1"/>
  <c r="T99" i="35" s="1"/>
  <c r="U23" i="8"/>
  <c r="T23" i="35" s="1"/>
  <c r="T75" i="35" s="1"/>
  <c r="U7" i="8"/>
  <c r="T7" i="35" s="1"/>
  <c r="T59" i="35" s="1"/>
  <c r="U29" i="8"/>
  <c r="T29" i="35" s="1"/>
  <c r="T81" i="35" s="1"/>
  <c r="U16" i="8"/>
  <c r="T16" i="35" s="1"/>
  <c r="T68" i="35" s="1"/>
  <c r="U41" i="8"/>
  <c r="T41" i="35" s="1"/>
  <c r="T93" i="35" s="1"/>
  <c r="P10" i="8"/>
  <c r="P10" i="35" s="1"/>
  <c r="P62" i="35" s="1"/>
  <c r="P40" i="8"/>
  <c r="P40" i="35" s="1"/>
  <c r="P92" i="35" s="1"/>
  <c r="P30" i="8"/>
  <c r="P30" i="35" s="1"/>
  <c r="P82" i="35" s="1"/>
  <c r="P43" i="8"/>
  <c r="P43" i="35" s="1"/>
  <c r="P95" i="35" s="1"/>
  <c r="L51" i="8"/>
  <c r="L51" i="35" s="1"/>
  <c r="L103" i="35" s="1"/>
  <c r="R25" i="12"/>
  <c r="R21" i="12"/>
  <c r="R11" i="12"/>
  <c r="U49" i="8"/>
  <c r="T49" i="35" s="1"/>
  <c r="T101" i="35" s="1"/>
  <c r="R9" i="12"/>
  <c r="R28" i="12"/>
  <c r="U11" i="8"/>
  <c r="T11" i="35" s="1"/>
  <c r="T63" i="35" s="1"/>
  <c r="U36" i="8"/>
  <c r="T36" i="35" s="1"/>
  <c r="T88" i="35" s="1"/>
  <c r="U48" i="8"/>
  <c r="T48" i="35" s="1"/>
  <c r="T100" i="35" s="1"/>
  <c r="P49" i="8"/>
  <c r="P49" i="35" s="1"/>
  <c r="P101" i="35" s="1"/>
  <c r="Q14" i="8"/>
  <c r="Q14" i="35" s="1"/>
  <c r="Q66" i="35" s="1"/>
  <c r="Q49" i="8"/>
  <c r="Q49" i="35" s="1"/>
  <c r="Q101" i="35" s="1"/>
  <c r="Q34" i="8"/>
  <c r="Q34" i="35" s="1"/>
  <c r="Q86" i="35" s="1"/>
  <c r="Q38" i="8"/>
  <c r="Q38" i="35" s="1"/>
  <c r="Q90" i="35" s="1"/>
  <c r="L32" i="8"/>
  <c r="L32" i="35" s="1"/>
  <c r="L84" i="35" s="1"/>
  <c r="L36" i="8"/>
  <c r="L36" i="35" s="1"/>
  <c r="L88" i="35" s="1"/>
  <c r="L40" i="8"/>
  <c r="L40" i="35" s="1"/>
  <c r="L92" i="35" s="1"/>
  <c r="L44" i="8"/>
  <c r="L44" i="35" s="1"/>
  <c r="L96" i="35" s="1"/>
  <c r="AD43" i="8"/>
  <c r="V36" i="11"/>
  <c r="U28" i="8"/>
  <c r="T28" i="35" s="1"/>
  <c r="T80" i="35" s="1"/>
  <c r="U9" i="8"/>
  <c r="T9" i="35" s="1"/>
  <c r="T61" i="35" s="1"/>
  <c r="U34" i="8"/>
  <c r="T34" i="35" s="1"/>
  <c r="T86" i="35" s="1"/>
  <c r="U18" i="8"/>
  <c r="T18" i="35" s="1"/>
  <c r="T70" i="35" s="1"/>
  <c r="U43" i="8"/>
  <c r="T43" i="35" s="1"/>
  <c r="T95" i="35" s="1"/>
  <c r="P17" i="8"/>
  <c r="P17" i="35" s="1"/>
  <c r="P69" i="35" s="1"/>
  <c r="P26" i="8"/>
  <c r="P12" i="8"/>
  <c r="P12" i="35" s="1"/>
  <c r="P64" i="35" s="1"/>
  <c r="P47" i="8"/>
  <c r="P47" i="35" s="1"/>
  <c r="P99" i="35" s="1"/>
  <c r="P37" i="8"/>
  <c r="P37" i="35" s="1"/>
  <c r="P89" i="35" s="1"/>
  <c r="P50" i="8"/>
  <c r="P50" i="35" s="1"/>
  <c r="P102" i="35" s="1"/>
  <c r="Q24" i="8"/>
  <c r="Q24" i="35" s="1"/>
  <c r="Q76" i="35" s="1"/>
  <c r="Q23" i="8"/>
  <c r="Q23" i="35" s="1"/>
  <c r="Q75" i="35" s="1"/>
  <c r="Q12" i="8"/>
  <c r="Q12" i="35" s="1"/>
  <c r="Q64" i="35" s="1"/>
  <c r="Q20" i="8"/>
  <c r="Q20" i="35" s="1"/>
  <c r="Q72" i="35" s="1"/>
  <c r="Q48" i="8"/>
  <c r="Q48" i="35" s="1"/>
  <c r="Q100" i="35" s="1"/>
  <c r="Q25" i="8"/>
  <c r="Q25" i="35" s="1"/>
  <c r="Q77" i="35" s="1"/>
  <c r="V5" i="11"/>
  <c r="P15" i="8"/>
  <c r="P15" i="35" s="1"/>
  <c r="P67" i="35" s="1"/>
  <c r="P27" i="8"/>
  <c r="L31" i="8"/>
  <c r="L31" i="35" s="1"/>
  <c r="L83" i="35" s="1"/>
  <c r="AC7" i="8"/>
  <c r="AA7" i="35" s="1"/>
  <c r="AA59" i="35" s="1"/>
  <c r="AC28" i="8"/>
  <c r="AA28" i="35" s="1"/>
  <c r="AA80" i="35" s="1"/>
  <c r="R37" i="12"/>
  <c r="U51" i="8"/>
  <c r="T51" i="35" s="1"/>
  <c r="T103" i="35" s="1"/>
  <c r="U15" i="8"/>
  <c r="T15" i="35" s="1"/>
  <c r="T67" i="35" s="1"/>
  <c r="U40" i="8"/>
  <c r="T40" i="35" s="1"/>
  <c r="T92" i="35" s="1"/>
  <c r="U24" i="8"/>
  <c r="T24" i="35" s="1"/>
  <c r="T76" i="35" s="1"/>
  <c r="U8" i="8"/>
  <c r="T8" i="35" s="1"/>
  <c r="T60" i="35" s="1"/>
  <c r="U33" i="8"/>
  <c r="T33" i="35" s="1"/>
  <c r="T85" i="35" s="1"/>
  <c r="P18" i="8"/>
  <c r="P18" i="35" s="1"/>
  <c r="P70" i="35" s="1"/>
  <c r="P45" i="8"/>
  <c r="P45" i="35" s="1"/>
  <c r="P97" i="35" s="1"/>
  <c r="P35" i="8"/>
  <c r="P35" i="35" s="1"/>
  <c r="P87" i="35" s="1"/>
  <c r="P48" i="8"/>
  <c r="P48" i="35" s="1"/>
  <c r="P100" i="35" s="1"/>
  <c r="L9" i="8"/>
  <c r="L9" i="35" s="1"/>
  <c r="L61" i="35" s="1"/>
  <c r="R17" i="12"/>
  <c r="AD12" i="8"/>
  <c r="AD21" i="8"/>
  <c r="R14" i="12"/>
  <c r="R34" i="12"/>
  <c r="AD17" i="8"/>
  <c r="R18" i="12"/>
  <c r="V40" i="11"/>
  <c r="V28" i="11"/>
  <c r="R6" i="12"/>
  <c r="R19" i="12"/>
  <c r="R29" i="12"/>
  <c r="R35" i="12"/>
  <c r="R8" i="12"/>
  <c r="R39" i="12"/>
  <c r="AD20" i="8"/>
  <c r="N44" i="12"/>
  <c r="R42" i="12"/>
  <c r="AD47" i="8"/>
  <c r="R41" i="12"/>
  <c r="R27" i="12"/>
  <c r="R10" i="12"/>
  <c r="R20" i="12"/>
  <c r="V13" i="11"/>
  <c r="AD28" i="8"/>
  <c r="R30" i="12"/>
  <c r="U22" i="8"/>
  <c r="T22" i="35" s="1"/>
  <c r="T74" i="35" s="1"/>
  <c r="P21" i="8"/>
  <c r="L22" i="8"/>
  <c r="L22" i="35" s="1"/>
  <c r="L74" i="35" s="1"/>
  <c r="AD24" i="8"/>
  <c r="R31" i="12"/>
  <c r="AD37" i="8"/>
  <c r="R24" i="12"/>
  <c r="R38" i="12"/>
  <c r="U21" i="8"/>
  <c r="T21" i="35" s="1"/>
  <c r="T73" i="35" s="1"/>
  <c r="R33" i="12"/>
  <c r="AD35" i="8"/>
  <c r="R22" i="12"/>
  <c r="R15" i="12"/>
  <c r="R16" i="12"/>
  <c r="R26" i="12"/>
  <c r="R36" i="12"/>
  <c r="U14" i="8"/>
  <c r="T14" i="35" s="1"/>
  <c r="T66" i="35" s="1"/>
  <c r="R7" i="12"/>
  <c r="R12" i="12"/>
  <c r="W12" i="8"/>
  <c r="V12" i="35" s="1"/>
  <c r="V64" i="35" s="1"/>
  <c r="X25" i="8"/>
  <c r="W25" i="35" s="1"/>
  <c r="W77" i="35" s="1"/>
  <c r="X32" i="8"/>
  <c r="W32" i="35" s="1"/>
  <c r="W84" i="35" s="1"/>
  <c r="W32" i="8"/>
  <c r="V32" i="35" s="1"/>
  <c r="V84" i="35" s="1"/>
  <c r="O8" i="8"/>
  <c r="O8" i="35" s="1"/>
  <c r="O60" i="35" s="1"/>
  <c r="O50" i="8"/>
  <c r="O50" i="35" s="1"/>
  <c r="O102" i="35" s="1"/>
  <c r="O31" i="8"/>
  <c r="O31" i="35" s="1"/>
  <c r="O83" i="35" s="1"/>
  <c r="AC11" i="8"/>
  <c r="AA11" i="35" s="1"/>
  <c r="AA63" i="35" s="1"/>
  <c r="AC33" i="8"/>
  <c r="AA33" i="35" s="1"/>
  <c r="AA85" i="35" s="1"/>
  <c r="AC41" i="8"/>
  <c r="AA41" i="35" s="1"/>
  <c r="AA93" i="35" s="1"/>
  <c r="AH14" i="8"/>
  <c r="AD14" i="35" s="1"/>
  <c r="AD66" i="35" s="1"/>
  <c r="AC10" i="8"/>
  <c r="AA10" i="35" s="1"/>
  <c r="AA62" i="35" s="1"/>
  <c r="AC32" i="8"/>
  <c r="AA32" i="35" s="1"/>
  <c r="AA84" i="35" s="1"/>
  <c r="AC38" i="8"/>
  <c r="AA38" i="35" s="1"/>
  <c r="AA90" i="35" s="1"/>
  <c r="Q8" i="8"/>
  <c r="Q8" i="35" s="1"/>
  <c r="Q60" i="35" s="1"/>
  <c r="AC15" i="8"/>
  <c r="AA15" i="35" s="1"/>
  <c r="AA67" i="35" s="1"/>
  <c r="AC23" i="8"/>
  <c r="AA23" i="35" s="1"/>
  <c r="AA75" i="35" s="1"/>
  <c r="AC26" i="8"/>
  <c r="AA26" i="35" s="1"/>
  <c r="AA78" i="35" s="1"/>
  <c r="AC48" i="8"/>
  <c r="AA48" i="35" s="1"/>
  <c r="AA100" i="35" s="1"/>
  <c r="X44" i="8"/>
  <c r="W44" i="35" s="1"/>
  <c r="W96" i="35" s="1"/>
  <c r="X15" i="8"/>
  <c r="W15" i="35" s="1"/>
  <c r="W67" i="35" s="1"/>
  <c r="X40" i="8"/>
  <c r="W40" i="35" s="1"/>
  <c r="W92" i="35" s="1"/>
  <c r="X12" i="8"/>
  <c r="W12" i="35" s="1"/>
  <c r="W64" i="35" s="1"/>
  <c r="O7" i="8"/>
  <c r="O7" i="35" s="1"/>
  <c r="O59" i="35" s="1"/>
  <c r="O46" i="8"/>
  <c r="O46" i="35" s="1"/>
  <c r="O98" i="35" s="1"/>
  <c r="W21" i="8"/>
  <c r="V21" i="35" s="1"/>
  <c r="V73" i="35" s="1"/>
  <c r="W5" i="8"/>
  <c r="V5" i="35" s="1"/>
  <c r="V57" i="35" s="1"/>
  <c r="AH8" i="8"/>
  <c r="AD8" i="35" s="1"/>
  <c r="AD60" i="35" s="1"/>
  <c r="AH9" i="8"/>
  <c r="AD9" i="35" s="1"/>
  <c r="AD61" i="35" s="1"/>
  <c r="AH51" i="8"/>
  <c r="AD51" i="35" s="1"/>
  <c r="AD103" i="35" s="1"/>
  <c r="AH32" i="8"/>
  <c r="AD32" i="35" s="1"/>
  <c r="AD84" i="35" s="1"/>
  <c r="AH36" i="8"/>
  <c r="AD36" i="35" s="1"/>
  <c r="AD88" i="35" s="1"/>
  <c r="AH40" i="8"/>
  <c r="AD40" i="35" s="1"/>
  <c r="AD92" i="35" s="1"/>
  <c r="AC19" i="8"/>
  <c r="AA19" i="35" s="1"/>
  <c r="AA71" i="35" s="1"/>
  <c r="AC31" i="8"/>
  <c r="AA31" i="35" s="1"/>
  <c r="AA83" i="35" s="1"/>
  <c r="AC39" i="8"/>
  <c r="AA39" i="35" s="1"/>
  <c r="AA91" i="35" s="1"/>
  <c r="X45" i="8"/>
  <c r="W45" i="35" s="1"/>
  <c r="W97" i="35" s="1"/>
  <c r="AH7" i="8"/>
  <c r="AD7" i="35" s="1"/>
  <c r="AD59" i="35" s="1"/>
  <c r="AH28" i="8"/>
  <c r="AD28" i="35" s="1"/>
  <c r="AD80" i="35" s="1"/>
  <c r="AH48" i="8"/>
  <c r="AD48" i="35" s="1"/>
  <c r="AD100" i="35" s="1"/>
  <c r="AH29" i="8"/>
  <c r="AD29" i="35" s="1"/>
  <c r="AD81" i="35" s="1"/>
  <c r="O25" i="8"/>
  <c r="O25" i="35" s="1"/>
  <c r="O77" i="35" s="1"/>
  <c r="AC18" i="8"/>
  <c r="AA18" i="35" s="1"/>
  <c r="AA70" i="35" s="1"/>
  <c r="AC51" i="8"/>
  <c r="AA51" i="35" s="1"/>
  <c r="AA103" i="35" s="1"/>
  <c r="AC30" i="8"/>
  <c r="AA30" i="35" s="1"/>
  <c r="AA82" i="35" s="1"/>
  <c r="AC36" i="8"/>
  <c r="AA36" i="35" s="1"/>
  <c r="AA88" i="35" s="1"/>
  <c r="V24" i="11"/>
  <c r="V16" i="11"/>
  <c r="AH12" i="8"/>
  <c r="AD12" i="35" s="1"/>
  <c r="AD64" i="35" s="1"/>
  <c r="AH13" i="8"/>
  <c r="AD13" i="35" s="1"/>
  <c r="AD65" i="35" s="1"/>
  <c r="Q29" i="8"/>
  <c r="Q29" i="35" s="1"/>
  <c r="Q81" i="35" s="1"/>
  <c r="L24" i="8"/>
  <c r="L24" i="35" s="1"/>
  <c r="L76" i="35" s="1"/>
  <c r="L23" i="8"/>
  <c r="L23" i="35" s="1"/>
  <c r="L75" i="35" s="1"/>
  <c r="L17" i="8"/>
  <c r="L17" i="35" s="1"/>
  <c r="L69" i="35" s="1"/>
  <c r="L45" i="8"/>
  <c r="L45" i="35" s="1"/>
  <c r="L97" i="35" s="1"/>
  <c r="L49" i="8"/>
  <c r="L49" i="35" s="1"/>
  <c r="L101" i="35" s="1"/>
  <c r="L30" i="8"/>
  <c r="L30" i="35" s="1"/>
  <c r="L82" i="35" s="1"/>
  <c r="AC8" i="8"/>
  <c r="AA8" i="35" s="1"/>
  <c r="AA60" i="35" s="1"/>
  <c r="AC46" i="8"/>
  <c r="AA46" i="35" s="1"/>
  <c r="AA98" i="35" s="1"/>
  <c r="L21" i="8"/>
  <c r="L21" i="35" s="1"/>
  <c r="L73" i="35" s="1"/>
  <c r="X37" i="8"/>
  <c r="W37" i="35" s="1"/>
  <c r="W89" i="35" s="1"/>
  <c r="X23" i="8"/>
  <c r="W23" i="35" s="1"/>
  <c r="W75" i="35" s="1"/>
  <c r="X7" i="8"/>
  <c r="W7" i="35" s="1"/>
  <c r="W59" i="35" s="1"/>
  <c r="X29" i="8"/>
  <c r="W29" i="35" s="1"/>
  <c r="W81" i="35" s="1"/>
  <c r="X20" i="8"/>
  <c r="W20" i="35" s="1"/>
  <c r="W72" i="35" s="1"/>
  <c r="W35" i="8"/>
  <c r="V35" i="35" s="1"/>
  <c r="V87" i="35" s="1"/>
  <c r="O15" i="8"/>
  <c r="O15" i="35" s="1"/>
  <c r="O67" i="35" s="1"/>
  <c r="O16" i="8"/>
  <c r="O16" i="35" s="1"/>
  <c r="O68" i="35" s="1"/>
  <c r="O28" i="8"/>
  <c r="O28" i="35" s="1"/>
  <c r="O80" i="35" s="1"/>
  <c r="O48" i="8"/>
  <c r="O48" i="35" s="1"/>
  <c r="O100" i="35" s="1"/>
  <c r="O29" i="8"/>
  <c r="O29" i="35" s="1"/>
  <c r="O81" i="35" s="1"/>
  <c r="O33" i="8"/>
  <c r="O33" i="35" s="1"/>
  <c r="O85" i="35" s="1"/>
  <c r="X43" i="8"/>
  <c r="W43" i="35" s="1"/>
  <c r="W95" i="35" s="1"/>
  <c r="AC9" i="8"/>
  <c r="AA9" i="35" s="1"/>
  <c r="AA61" i="35" s="1"/>
  <c r="AC49" i="8"/>
  <c r="AA49" i="35" s="1"/>
  <c r="AA101" i="35" s="1"/>
  <c r="AC34" i="8"/>
  <c r="AA34" i="35" s="1"/>
  <c r="AA86" i="35" s="1"/>
  <c r="AC16" i="8"/>
  <c r="AA16" i="35" s="1"/>
  <c r="AA68" i="35" s="1"/>
  <c r="AC29" i="8"/>
  <c r="AA29" i="35" s="1"/>
  <c r="AA81" i="35" s="1"/>
  <c r="M18" i="9"/>
  <c r="W53" i="9"/>
  <c r="M25" i="9"/>
  <c r="M7" i="9"/>
  <c r="N44" i="13"/>
  <c r="R44" i="11"/>
  <c r="M34" i="12"/>
  <c r="M34" i="36" s="1"/>
  <c r="M77" i="36" s="1"/>
  <c r="M34" i="13"/>
  <c r="M27" i="13"/>
  <c r="M27" i="12"/>
  <c r="M27" i="36" s="1"/>
  <c r="M70" i="36" s="1"/>
  <c r="M21" i="12"/>
  <c r="M21" i="36" s="1"/>
  <c r="M64" i="36" s="1"/>
  <c r="M21" i="13"/>
  <c r="M23" i="12"/>
  <c r="M23" i="36" s="1"/>
  <c r="M66" i="36" s="1"/>
  <c r="M23" i="13"/>
  <c r="M20" i="12"/>
  <c r="M20" i="36" s="1"/>
  <c r="M63" i="36" s="1"/>
  <c r="M20" i="13"/>
  <c r="M38" i="12"/>
  <c r="M38" i="36" s="1"/>
  <c r="M81" i="36" s="1"/>
  <c r="M38" i="13"/>
  <c r="M15" i="12"/>
  <c r="M15" i="36" s="1"/>
  <c r="M58" i="36" s="1"/>
  <c r="M15" i="13"/>
  <c r="M12" i="12"/>
  <c r="M12" i="36" s="1"/>
  <c r="M55" i="36" s="1"/>
  <c r="M12" i="13"/>
  <c r="M7" i="12"/>
  <c r="M7" i="36" s="1"/>
  <c r="M50" i="36" s="1"/>
  <c r="M7" i="13"/>
  <c r="M11" i="12"/>
  <c r="M11" i="36" s="1"/>
  <c r="M54" i="36" s="1"/>
  <c r="M11" i="13"/>
  <c r="M5" i="9"/>
  <c r="M53" i="7"/>
  <c r="M58" i="7" s="1"/>
  <c r="M48" i="8" s="1"/>
  <c r="M48" i="35" s="1"/>
  <c r="M100" i="35" s="1"/>
  <c r="M10" i="9"/>
  <c r="X13" i="8"/>
  <c r="W13" i="35" s="1"/>
  <c r="W65" i="35" s="1"/>
  <c r="M49" i="9"/>
  <c r="M39" i="9"/>
  <c r="O53" i="9"/>
  <c r="M37" i="9"/>
  <c r="M27" i="9"/>
  <c r="T44" i="12"/>
  <c r="V15" i="11"/>
  <c r="S15" i="12"/>
  <c r="Q15" i="36" s="1"/>
  <c r="Q58" i="36" s="1"/>
  <c r="S15" i="13"/>
  <c r="S21" i="12"/>
  <c r="Q21" i="36" s="1"/>
  <c r="Q64" i="36" s="1"/>
  <c r="S21" i="13"/>
  <c r="S30" i="12"/>
  <c r="Q30" i="36" s="1"/>
  <c r="Q73" i="36" s="1"/>
  <c r="V30" i="11"/>
  <c r="S30" i="13"/>
  <c r="V35" i="11"/>
  <c r="S35" i="12"/>
  <c r="Q35" i="36" s="1"/>
  <c r="Q78" i="36" s="1"/>
  <c r="S35" i="13"/>
  <c r="S37" i="12"/>
  <c r="Q37" i="36" s="1"/>
  <c r="Q80" i="36" s="1"/>
  <c r="S37" i="13"/>
  <c r="V26" i="11"/>
  <c r="S26" i="12"/>
  <c r="Q26" i="36" s="1"/>
  <c r="Q69" i="36" s="1"/>
  <c r="S26" i="13"/>
  <c r="V12" i="11"/>
  <c r="S12" i="12"/>
  <c r="Q12" i="36" s="1"/>
  <c r="Q55" i="36" s="1"/>
  <c r="S12" i="13"/>
  <c r="V8" i="11"/>
  <c r="S8" i="12"/>
  <c r="Q8" i="36" s="1"/>
  <c r="Q51" i="36" s="1"/>
  <c r="S8" i="13"/>
  <c r="S9" i="12"/>
  <c r="Q9" i="36" s="1"/>
  <c r="Q52" i="36" s="1"/>
  <c r="S9" i="13"/>
  <c r="X48" i="8"/>
  <c r="W48" i="35" s="1"/>
  <c r="W100" i="35" s="1"/>
  <c r="X33" i="8"/>
  <c r="W33" i="35" s="1"/>
  <c r="W85" i="35" s="1"/>
  <c r="X19" i="8"/>
  <c r="W19" i="35" s="1"/>
  <c r="W71" i="35" s="1"/>
  <c r="X46" i="8"/>
  <c r="W46" i="35" s="1"/>
  <c r="W98" i="35" s="1"/>
  <c r="X49" i="8"/>
  <c r="W49" i="35" s="1"/>
  <c r="W101" i="35" s="1"/>
  <c r="X16" i="8"/>
  <c r="W16" i="35" s="1"/>
  <c r="W68" i="35" s="1"/>
  <c r="M41" i="8"/>
  <c r="M41" i="35" s="1"/>
  <c r="M93" i="35" s="1"/>
  <c r="M41" i="9"/>
  <c r="AH42" i="8"/>
  <c r="AD42" i="35" s="1"/>
  <c r="AD94" i="35" s="1"/>
  <c r="AH22" i="8"/>
  <c r="AD22" i="35" s="1"/>
  <c r="AD74" i="35" s="1"/>
  <c r="AH27" i="8"/>
  <c r="AD27" i="35" s="1"/>
  <c r="AD79" i="35" s="1"/>
  <c r="AH47" i="8"/>
  <c r="AD47" i="35" s="1"/>
  <c r="AD99" i="35" s="1"/>
  <c r="M29" i="9"/>
  <c r="Q5" i="8"/>
  <c r="Q5" i="35" s="1"/>
  <c r="Q57" i="35" s="1"/>
  <c r="Q42" i="8"/>
  <c r="Q42" i="35" s="1"/>
  <c r="Q94" i="35" s="1"/>
  <c r="Q11" i="8"/>
  <c r="Q11" i="35" s="1"/>
  <c r="Q63" i="35" s="1"/>
  <c r="Q19" i="8"/>
  <c r="Q19" i="35" s="1"/>
  <c r="Q71" i="35" s="1"/>
  <c r="M51" i="8"/>
  <c r="M51" i="35" s="1"/>
  <c r="M103" i="35" s="1"/>
  <c r="M51" i="9"/>
  <c r="Y14" i="12"/>
  <c r="Z14" i="12" s="1"/>
  <c r="Z14" i="11"/>
  <c r="Y14" i="13"/>
  <c r="Z14" i="13" s="1"/>
  <c r="Y37" i="12"/>
  <c r="Z37" i="12" s="1"/>
  <c r="Z37" i="11"/>
  <c r="Y37" i="13"/>
  <c r="Z37" i="13" s="1"/>
  <c r="Z35" i="11"/>
  <c r="Y35" i="12"/>
  <c r="Z35" i="12" s="1"/>
  <c r="Y35" i="13"/>
  <c r="Z35" i="13" s="1"/>
  <c r="Z12" i="11"/>
  <c r="Y12" i="12"/>
  <c r="Z12" i="12" s="1"/>
  <c r="Y12" i="13"/>
  <c r="Z12" i="13" s="1"/>
  <c r="Z26" i="11"/>
  <c r="Y26" i="12"/>
  <c r="Z26" i="12" s="1"/>
  <c r="Y26" i="13"/>
  <c r="Z26" i="13" s="1"/>
  <c r="Z19" i="11"/>
  <c r="Y19" i="12"/>
  <c r="Z19" i="12" s="1"/>
  <c r="Y19" i="13"/>
  <c r="Z19" i="13" s="1"/>
  <c r="Z21" i="11"/>
  <c r="Y21" i="12"/>
  <c r="Z21" i="12" s="1"/>
  <c r="Y21" i="13"/>
  <c r="Z21" i="13" s="1"/>
  <c r="Z38" i="11"/>
  <c r="Y38" i="12"/>
  <c r="Z38" i="12" s="1"/>
  <c r="Y38" i="13"/>
  <c r="Z38" i="13" s="1"/>
  <c r="Y5" i="12"/>
  <c r="U5" i="36" s="1"/>
  <c r="U48" i="36" s="1"/>
  <c r="Z5" i="11"/>
  <c r="Y5" i="13"/>
  <c r="Y44" i="11"/>
  <c r="V5" i="9"/>
  <c r="V53" i="7"/>
  <c r="V58" i="7" s="1"/>
  <c r="V21" i="8" s="1"/>
  <c r="U21" i="35" s="1"/>
  <c r="U73" i="35" s="1"/>
  <c r="V13" i="9"/>
  <c r="V21" i="9"/>
  <c r="V46" i="9"/>
  <c r="V35" i="9"/>
  <c r="V43" i="9"/>
  <c r="V10" i="9"/>
  <c r="V18" i="9"/>
  <c r="V27" i="9"/>
  <c r="V29" i="9"/>
  <c r="V40" i="9"/>
  <c r="V50" i="9"/>
  <c r="X51" i="8"/>
  <c r="W51" i="35" s="1"/>
  <c r="W103" i="35" s="1"/>
  <c r="X30" i="8"/>
  <c r="W30" i="35" s="1"/>
  <c r="W82" i="35" s="1"/>
  <c r="X17" i="8"/>
  <c r="W17" i="35" s="1"/>
  <c r="W69" i="35" s="1"/>
  <c r="X42" i="8"/>
  <c r="W42" i="35" s="1"/>
  <c r="W94" i="35" s="1"/>
  <c r="X47" i="8"/>
  <c r="W47" i="35" s="1"/>
  <c r="W99" i="35" s="1"/>
  <c r="X14" i="8"/>
  <c r="W14" i="35" s="1"/>
  <c r="W66" i="35" s="1"/>
  <c r="U26" i="8"/>
  <c r="T26" i="35" s="1"/>
  <c r="T78" i="35" s="1"/>
  <c r="U39" i="8"/>
  <c r="T39" i="35" s="1"/>
  <c r="T91" i="35" s="1"/>
  <c r="M12" i="8"/>
  <c r="M12" i="35" s="1"/>
  <c r="M64" i="35" s="1"/>
  <c r="M12" i="9"/>
  <c r="P5" i="8"/>
  <c r="P5" i="35" s="1"/>
  <c r="P57" i="35" s="1"/>
  <c r="P16" i="8"/>
  <c r="P16" i="35" s="1"/>
  <c r="P68" i="35" s="1"/>
  <c r="P38" i="8"/>
  <c r="P38" i="35" s="1"/>
  <c r="P90" i="35" s="1"/>
  <c r="P51" i="8"/>
  <c r="P51" i="35" s="1"/>
  <c r="P103" i="35" s="1"/>
  <c r="P41" i="8"/>
  <c r="P41" i="35" s="1"/>
  <c r="P93" i="35" s="1"/>
  <c r="O17" i="8"/>
  <c r="O17" i="35" s="1"/>
  <c r="O69" i="35" s="1"/>
  <c r="O18" i="8"/>
  <c r="O18" i="35" s="1"/>
  <c r="O70" i="35" s="1"/>
  <c r="O51" i="8"/>
  <c r="O51" i="35" s="1"/>
  <c r="O103" i="35" s="1"/>
  <c r="O32" i="8"/>
  <c r="O32" i="35" s="1"/>
  <c r="O84" i="35" s="1"/>
  <c r="O36" i="8"/>
  <c r="O36" i="35" s="1"/>
  <c r="O88" i="35" s="1"/>
  <c r="O40" i="8"/>
  <c r="O40" i="35" s="1"/>
  <c r="O92" i="35" s="1"/>
  <c r="L41" i="8"/>
  <c r="L41" i="35" s="1"/>
  <c r="L93" i="35" s="1"/>
  <c r="L7" i="8"/>
  <c r="L7" i="35" s="1"/>
  <c r="L59" i="35" s="1"/>
  <c r="L18" i="8"/>
  <c r="L18" i="35" s="1"/>
  <c r="L70" i="35" s="1"/>
  <c r="L46" i="8"/>
  <c r="L46" i="35" s="1"/>
  <c r="L98" i="35" s="1"/>
  <c r="AD5" i="9"/>
  <c r="AD53" i="9" s="1"/>
  <c r="AC53" i="9"/>
  <c r="AC14" i="8"/>
  <c r="AA14" i="35" s="1"/>
  <c r="AA66" i="35" s="1"/>
  <c r="AC44" i="8"/>
  <c r="AA44" i="35" s="1"/>
  <c r="AA96" i="35" s="1"/>
  <c r="AC45" i="8"/>
  <c r="AA45" i="35" s="1"/>
  <c r="AA97" i="35" s="1"/>
  <c r="V25" i="11"/>
  <c r="U25" i="12"/>
  <c r="S25" i="36" s="1"/>
  <c r="S68" i="36" s="1"/>
  <c r="U25" i="13"/>
  <c r="U26" i="12"/>
  <c r="S26" i="36" s="1"/>
  <c r="S69" i="36" s="1"/>
  <c r="U26" i="13"/>
  <c r="U32" i="12"/>
  <c r="S32" i="36" s="1"/>
  <c r="S75" i="36" s="1"/>
  <c r="U32" i="13"/>
  <c r="V37" i="11"/>
  <c r="U37" i="12"/>
  <c r="S37" i="36" s="1"/>
  <c r="S80" i="36" s="1"/>
  <c r="U37" i="13"/>
  <c r="U39" i="12"/>
  <c r="S39" i="36" s="1"/>
  <c r="S82" i="36" s="1"/>
  <c r="U39" i="13"/>
  <c r="U18" i="12"/>
  <c r="S18" i="36" s="1"/>
  <c r="S61" i="36" s="1"/>
  <c r="U18" i="13"/>
  <c r="U31" i="12"/>
  <c r="S31" i="36" s="1"/>
  <c r="S74" i="36" s="1"/>
  <c r="U31" i="13"/>
  <c r="U10" i="13"/>
  <c r="U10" i="12"/>
  <c r="S10" i="36" s="1"/>
  <c r="S53" i="36" s="1"/>
  <c r="V9" i="11"/>
  <c r="U9" i="12"/>
  <c r="S9" i="36" s="1"/>
  <c r="S52" i="36" s="1"/>
  <c r="U9" i="13"/>
  <c r="U8" i="13"/>
  <c r="U8" i="12"/>
  <c r="S8" i="36" s="1"/>
  <c r="S51" i="36" s="1"/>
  <c r="O29" i="12"/>
  <c r="O29" i="36" s="1"/>
  <c r="O72" i="36" s="1"/>
  <c r="O29" i="13"/>
  <c r="O23" i="12"/>
  <c r="O23" i="36" s="1"/>
  <c r="O66" i="36" s="1"/>
  <c r="O23" i="13"/>
  <c r="O12" i="12"/>
  <c r="O12" i="36" s="1"/>
  <c r="O55" i="36" s="1"/>
  <c r="O12" i="13"/>
  <c r="O26" i="12"/>
  <c r="O26" i="36" s="1"/>
  <c r="O69" i="36" s="1"/>
  <c r="O26" i="13"/>
  <c r="O31" i="12"/>
  <c r="O31" i="36" s="1"/>
  <c r="O74" i="36" s="1"/>
  <c r="O31" i="13"/>
  <c r="O37" i="12"/>
  <c r="O37" i="36" s="1"/>
  <c r="O80" i="36" s="1"/>
  <c r="O37" i="13"/>
  <c r="O11" i="12"/>
  <c r="O11" i="36" s="1"/>
  <c r="O54" i="36" s="1"/>
  <c r="O11" i="13"/>
  <c r="O34" i="12"/>
  <c r="O34" i="36" s="1"/>
  <c r="O77" i="36" s="1"/>
  <c r="O34" i="13"/>
  <c r="O7" i="12"/>
  <c r="O7" i="36" s="1"/>
  <c r="O50" i="36" s="1"/>
  <c r="O7" i="13"/>
  <c r="M47" i="8"/>
  <c r="M47" i="35" s="1"/>
  <c r="M99" i="35" s="1"/>
  <c r="M47" i="9"/>
  <c r="M45" i="8"/>
  <c r="M45" i="35" s="1"/>
  <c r="M97" i="35" s="1"/>
  <c r="M45" i="9"/>
  <c r="M25" i="12"/>
  <c r="M25" i="36" s="1"/>
  <c r="M68" i="36" s="1"/>
  <c r="M25" i="13"/>
  <c r="M30" i="12"/>
  <c r="M30" i="36" s="1"/>
  <c r="M73" i="36" s="1"/>
  <c r="M30" i="13"/>
  <c r="M40" i="12"/>
  <c r="M40" i="36" s="1"/>
  <c r="M83" i="36" s="1"/>
  <c r="M40" i="13"/>
  <c r="M26" i="12"/>
  <c r="M26" i="36" s="1"/>
  <c r="M69" i="36" s="1"/>
  <c r="M26" i="13"/>
  <c r="M35" i="13"/>
  <c r="M35" i="12"/>
  <c r="M35" i="36" s="1"/>
  <c r="M78" i="36" s="1"/>
  <c r="M13" i="12"/>
  <c r="M13" i="36" s="1"/>
  <c r="M56" i="36" s="1"/>
  <c r="M13" i="13"/>
  <c r="M31" i="13"/>
  <c r="M31" i="12"/>
  <c r="M31" i="36" s="1"/>
  <c r="M74" i="36" s="1"/>
  <c r="M8" i="12"/>
  <c r="M8" i="36" s="1"/>
  <c r="M51" i="36" s="1"/>
  <c r="M8" i="13"/>
  <c r="M10" i="12"/>
  <c r="M10" i="36" s="1"/>
  <c r="M53" i="36" s="1"/>
  <c r="M10" i="13"/>
  <c r="M16" i="12"/>
  <c r="M16" i="36" s="1"/>
  <c r="M59" i="36" s="1"/>
  <c r="M16" i="13"/>
  <c r="M9" i="8"/>
  <c r="M9" i="35" s="1"/>
  <c r="M61" i="35" s="1"/>
  <c r="M9" i="9"/>
  <c r="M16" i="8"/>
  <c r="M16" i="35" s="1"/>
  <c r="M68" i="35" s="1"/>
  <c r="M16" i="9"/>
  <c r="X38" i="8"/>
  <c r="W38" i="35" s="1"/>
  <c r="W90" i="35" s="1"/>
  <c r="X27" i="8"/>
  <c r="W27" i="35" s="1"/>
  <c r="W79" i="35" s="1"/>
  <c r="X10" i="8"/>
  <c r="W10" i="35" s="1"/>
  <c r="W62" i="35" s="1"/>
  <c r="W47" i="8"/>
  <c r="V47" i="35" s="1"/>
  <c r="V99" i="35" s="1"/>
  <c r="W18" i="8"/>
  <c r="V18" i="35" s="1"/>
  <c r="V70" i="35" s="1"/>
  <c r="W41" i="8"/>
  <c r="V41" i="35" s="1"/>
  <c r="V93" i="35" s="1"/>
  <c r="W31" i="8"/>
  <c r="V31" i="35" s="1"/>
  <c r="V83" i="35" s="1"/>
  <c r="W11" i="8"/>
  <c r="V11" i="35" s="1"/>
  <c r="V63" i="35" s="1"/>
  <c r="W34" i="8"/>
  <c r="V34" i="35" s="1"/>
  <c r="V86" i="35" s="1"/>
  <c r="M28" i="8"/>
  <c r="M28" i="35" s="1"/>
  <c r="M80" i="35" s="1"/>
  <c r="M28" i="9"/>
  <c r="O5" i="8"/>
  <c r="O5" i="35" s="1"/>
  <c r="O57" i="35" s="1"/>
  <c r="O6" i="8"/>
  <c r="O6" i="35" s="1"/>
  <c r="O58" i="35" s="1"/>
  <c r="O22" i="8"/>
  <c r="O22" i="35" s="1"/>
  <c r="O74" i="35" s="1"/>
  <c r="O27" i="8"/>
  <c r="O27" i="35" s="1"/>
  <c r="O79" i="35" s="1"/>
  <c r="O47" i="8"/>
  <c r="O47" i="35" s="1"/>
  <c r="O99" i="35" s="1"/>
  <c r="S42" i="12"/>
  <c r="Q42" i="36" s="1"/>
  <c r="Q85" i="36" s="1"/>
  <c r="V42" i="11"/>
  <c r="S42" i="13"/>
  <c r="S40" i="12"/>
  <c r="Q40" i="36" s="1"/>
  <c r="Q83" i="36" s="1"/>
  <c r="S40" i="13"/>
  <c r="V32" i="11"/>
  <c r="S32" i="12"/>
  <c r="Q32" i="36" s="1"/>
  <c r="Q75" i="36" s="1"/>
  <c r="S32" i="13"/>
  <c r="V32" i="13" s="1"/>
  <c r="S41" i="12"/>
  <c r="Q41" i="36" s="1"/>
  <c r="Q84" i="36" s="1"/>
  <c r="S41" i="13"/>
  <c r="V19" i="11"/>
  <c r="S19" i="12"/>
  <c r="Q19" i="36" s="1"/>
  <c r="Q62" i="36" s="1"/>
  <c r="S19" i="13"/>
  <c r="V20" i="11"/>
  <c r="S20" i="12"/>
  <c r="Q20" i="36" s="1"/>
  <c r="Q63" i="36" s="1"/>
  <c r="S20" i="13"/>
  <c r="S28" i="12"/>
  <c r="Q28" i="36" s="1"/>
  <c r="Q71" i="36" s="1"/>
  <c r="S28" i="13"/>
  <c r="S25" i="12"/>
  <c r="Q25" i="36" s="1"/>
  <c r="Q68" i="36" s="1"/>
  <c r="S25" i="13"/>
  <c r="V25" i="13" s="1"/>
  <c r="S5" i="12"/>
  <c r="Q5" i="36" s="1"/>
  <c r="Q48" i="36" s="1"/>
  <c r="S5" i="13"/>
  <c r="S44" i="11"/>
  <c r="S10" i="12"/>
  <c r="Q10" i="36" s="1"/>
  <c r="Q53" i="36" s="1"/>
  <c r="V10" i="11"/>
  <c r="S10" i="13"/>
  <c r="W44" i="8"/>
  <c r="V44" i="35" s="1"/>
  <c r="V96" i="35" s="1"/>
  <c r="W24" i="8"/>
  <c r="V24" i="35" s="1"/>
  <c r="V76" i="35" s="1"/>
  <c r="W8" i="8"/>
  <c r="V8" i="35" s="1"/>
  <c r="V60" i="35" s="1"/>
  <c r="W30" i="8"/>
  <c r="V30" i="35" s="1"/>
  <c r="V82" i="35" s="1"/>
  <c r="W17" i="8"/>
  <c r="V17" i="35" s="1"/>
  <c r="V69" i="35" s="1"/>
  <c r="W40" i="8"/>
  <c r="V40" i="35" s="1"/>
  <c r="V92" i="35" s="1"/>
  <c r="M42" i="8"/>
  <c r="M42" i="35" s="1"/>
  <c r="M94" i="35" s="1"/>
  <c r="M42" i="9"/>
  <c r="AH53" i="9"/>
  <c r="O19" i="8"/>
  <c r="O19" i="35" s="1"/>
  <c r="O71" i="35" s="1"/>
  <c r="O20" i="8"/>
  <c r="O20" i="35" s="1"/>
  <c r="O72" i="35" s="1"/>
  <c r="O35" i="8"/>
  <c r="O35" i="35" s="1"/>
  <c r="O87" i="35" s="1"/>
  <c r="O39" i="8"/>
  <c r="O39" i="35" s="1"/>
  <c r="O91" i="35" s="1"/>
  <c r="O43" i="8"/>
  <c r="O43" i="35" s="1"/>
  <c r="O95" i="35" s="1"/>
  <c r="O23" i="8"/>
  <c r="O23" i="35" s="1"/>
  <c r="O75" i="35" s="1"/>
  <c r="Q22" i="8"/>
  <c r="Q22" i="35" s="1"/>
  <c r="Q74" i="35" s="1"/>
  <c r="Q21" i="8"/>
  <c r="Q21" i="35" s="1"/>
  <c r="Q73" i="35" s="1"/>
  <c r="M19" i="8"/>
  <c r="M19" i="35" s="1"/>
  <c r="M71" i="35" s="1"/>
  <c r="M19" i="9"/>
  <c r="V21" i="11"/>
  <c r="Z42" i="11"/>
  <c r="Y42" i="12"/>
  <c r="Z42" i="12" s="1"/>
  <c r="Y42" i="13"/>
  <c r="Z42" i="13" s="1"/>
  <c r="Z17" i="11"/>
  <c r="Y17" i="12"/>
  <c r="Z17" i="12" s="1"/>
  <c r="Y17" i="13"/>
  <c r="Z17" i="13" s="1"/>
  <c r="Y30" i="12"/>
  <c r="Z30" i="12" s="1"/>
  <c r="Z30" i="11"/>
  <c r="Y30" i="13"/>
  <c r="Z30" i="13" s="1"/>
  <c r="Y25" i="12"/>
  <c r="Z25" i="12" s="1"/>
  <c r="Z25" i="11"/>
  <c r="Y25" i="13"/>
  <c r="Z25" i="13" s="1"/>
  <c r="Y29" i="12"/>
  <c r="Z29" i="12" s="1"/>
  <c r="Z29" i="11"/>
  <c r="Y29" i="13"/>
  <c r="Z29" i="13" s="1"/>
  <c r="Z22" i="11"/>
  <c r="Y22" i="12"/>
  <c r="Z22" i="12" s="1"/>
  <c r="Y22" i="13"/>
  <c r="Z22" i="13" s="1"/>
  <c r="Z28" i="11"/>
  <c r="Y28" i="12"/>
  <c r="Z28" i="12" s="1"/>
  <c r="Y28" i="13"/>
  <c r="Z28" i="13" s="1"/>
  <c r="Z6" i="11"/>
  <c r="Y6" i="12"/>
  <c r="Z6" i="12" s="1"/>
  <c r="Y6" i="13"/>
  <c r="Z6" i="13" s="1"/>
  <c r="Z7" i="11"/>
  <c r="Y7" i="12"/>
  <c r="Z7" i="12" s="1"/>
  <c r="Y7" i="13"/>
  <c r="Z7" i="13" s="1"/>
  <c r="V7" i="8"/>
  <c r="U7" i="35" s="1"/>
  <c r="U59" i="35" s="1"/>
  <c r="V7" i="9"/>
  <c r="V15" i="8"/>
  <c r="U15" i="35" s="1"/>
  <c r="U67" i="35" s="1"/>
  <c r="V15" i="9"/>
  <c r="V23" i="8"/>
  <c r="U23" i="35" s="1"/>
  <c r="U75" i="35" s="1"/>
  <c r="V23" i="9"/>
  <c r="V25" i="8"/>
  <c r="U25" i="35" s="1"/>
  <c r="U77" i="35" s="1"/>
  <c r="V25" i="9"/>
  <c r="V37" i="8"/>
  <c r="U37" i="35" s="1"/>
  <c r="U89" i="35" s="1"/>
  <c r="V37" i="9"/>
  <c r="V45" i="8"/>
  <c r="U45" i="35" s="1"/>
  <c r="U97" i="35" s="1"/>
  <c r="V45" i="9"/>
  <c r="V12" i="8"/>
  <c r="U12" i="35" s="1"/>
  <c r="U64" i="35" s="1"/>
  <c r="V12" i="9"/>
  <c r="V20" i="8"/>
  <c r="U20" i="35" s="1"/>
  <c r="U72" i="35" s="1"/>
  <c r="V20" i="9"/>
  <c r="V32" i="8"/>
  <c r="U32" i="35" s="1"/>
  <c r="U84" i="35" s="1"/>
  <c r="V32" i="9"/>
  <c r="V34" i="8"/>
  <c r="U34" i="35" s="1"/>
  <c r="U86" i="35" s="1"/>
  <c r="V34" i="9"/>
  <c r="V42" i="8"/>
  <c r="U42" i="35" s="1"/>
  <c r="U94" i="35" s="1"/>
  <c r="V42" i="9"/>
  <c r="V49" i="8"/>
  <c r="U49" i="35" s="1"/>
  <c r="U101" i="35" s="1"/>
  <c r="V49" i="9"/>
  <c r="W51" i="8"/>
  <c r="V51" i="35" s="1"/>
  <c r="V103" i="35" s="1"/>
  <c r="W22" i="8"/>
  <c r="V22" i="35" s="1"/>
  <c r="V74" i="35" s="1"/>
  <c r="W6" i="8"/>
  <c r="V6" i="35" s="1"/>
  <c r="V58" i="35" s="1"/>
  <c r="W25" i="8"/>
  <c r="V25" i="35" s="1"/>
  <c r="V77" i="35" s="1"/>
  <c r="W15" i="8"/>
  <c r="V15" i="35" s="1"/>
  <c r="V67" i="35" s="1"/>
  <c r="W38" i="8"/>
  <c r="V38" i="35" s="1"/>
  <c r="V90" i="35" s="1"/>
  <c r="U45" i="8"/>
  <c r="T45" i="35" s="1"/>
  <c r="T97" i="35" s="1"/>
  <c r="U53" i="9"/>
  <c r="U38" i="8"/>
  <c r="T38" i="35" s="1"/>
  <c r="T90" i="35" s="1"/>
  <c r="U6" i="8"/>
  <c r="T6" i="35" s="1"/>
  <c r="T58" i="35" s="1"/>
  <c r="M33" i="8"/>
  <c r="M33" i="35" s="1"/>
  <c r="M85" i="35" s="1"/>
  <c r="M33" i="9"/>
  <c r="S58" i="7"/>
  <c r="R58" i="7"/>
  <c r="M44" i="8"/>
  <c r="M44" i="35" s="1"/>
  <c r="M96" i="35" s="1"/>
  <c r="M44" i="9"/>
  <c r="AH10" i="8"/>
  <c r="AD10" i="35" s="1"/>
  <c r="AD62" i="35" s="1"/>
  <c r="AH11" i="8"/>
  <c r="AD11" i="35" s="1"/>
  <c r="AD63" i="35" s="1"/>
  <c r="AH35" i="8"/>
  <c r="AD35" i="35" s="1"/>
  <c r="AD87" i="35" s="1"/>
  <c r="AH39" i="8"/>
  <c r="AD39" i="35" s="1"/>
  <c r="AD91" i="35" s="1"/>
  <c r="AH43" i="8"/>
  <c r="AD43" i="35" s="1"/>
  <c r="AD95" i="35" s="1"/>
  <c r="AH23" i="8"/>
  <c r="AD23" i="35" s="1"/>
  <c r="AD75" i="35" s="1"/>
  <c r="P13" i="8"/>
  <c r="P13" i="35" s="1"/>
  <c r="P65" i="35" s="1"/>
  <c r="Q26" i="8"/>
  <c r="Q26" i="35" s="1"/>
  <c r="Q78" i="35" s="1"/>
  <c r="Q6" i="8"/>
  <c r="Q6" i="35" s="1"/>
  <c r="Q58" i="35" s="1"/>
  <c r="Q31" i="8"/>
  <c r="Q31" i="35" s="1"/>
  <c r="Q83" i="35" s="1"/>
  <c r="Q35" i="8"/>
  <c r="Q35" i="35" s="1"/>
  <c r="Q87" i="35" s="1"/>
  <c r="Q39" i="8"/>
  <c r="Q39" i="35" s="1"/>
  <c r="Q91" i="35" s="1"/>
  <c r="Q43" i="8"/>
  <c r="Q43" i="35" s="1"/>
  <c r="Q95" i="35" s="1"/>
  <c r="L29" i="8"/>
  <c r="L29" i="35" s="1"/>
  <c r="L81" i="35" s="1"/>
  <c r="L8" i="8"/>
  <c r="L8" i="35" s="1"/>
  <c r="L60" i="35" s="1"/>
  <c r="L53" i="9"/>
  <c r="AC13" i="8"/>
  <c r="AA13" i="35" s="1"/>
  <c r="AA65" i="35" s="1"/>
  <c r="AC5" i="8"/>
  <c r="AA5" i="35" s="1"/>
  <c r="AA57" i="35" s="1"/>
  <c r="AC42" i="8"/>
  <c r="AA42" i="35" s="1"/>
  <c r="AA94" i="35" s="1"/>
  <c r="AC27" i="8"/>
  <c r="AA27" i="35" s="1"/>
  <c r="AA79" i="35" s="1"/>
  <c r="U28" i="12"/>
  <c r="S28" i="36" s="1"/>
  <c r="S71" i="36" s="1"/>
  <c r="U28" i="13"/>
  <c r="V41" i="11"/>
  <c r="U41" i="12"/>
  <c r="S41" i="36" s="1"/>
  <c r="S84" i="36" s="1"/>
  <c r="U41" i="13"/>
  <c r="U23" i="12"/>
  <c r="S23" i="36" s="1"/>
  <c r="S66" i="36" s="1"/>
  <c r="U23" i="13"/>
  <c r="U12" i="12"/>
  <c r="S12" i="36" s="1"/>
  <c r="S55" i="36" s="1"/>
  <c r="U12" i="13"/>
  <c r="U19" i="12"/>
  <c r="S19" i="36" s="1"/>
  <c r="S62" i="36" s="1"/>
  <c r="U19" i="13"/>
  <c r="V33" i="11"/>
  <c r="U33" i="12"/>
  <c r="S33" i="36" s="1"/>
  <c r="S76" i="36" s="1"/>
  <c r="U33" i="13"/>
  <c r="U13" i="12"/>
  <c r="S13" i="36" s="1"/>
  <c r="S56" i="36" s="1"/>
  <c r="U13" i="13"/>
  <c r="U29" i="12"/>
  <c r="S29" i="36" s="1"/>
  <c r="S72" i="36" s="1"/>
  <c r="U29" i="13"/>
  <c r="U6" i="13"/>
  <c r="U6" i="12"/>
  <c r="S6" i="36" s="1"/>
  <c r="S49" i="36" s="1"/>
  <c r="O42" i="12"/>
  <c r="O42" i="36" s="1"/>
  <c r="O85" i="36" s="1"/>
  <c r="O42" i="13"/>
  <c r="O36" i="12"/>
  <c r="O36" i="36" s="1"/>
  <c r="O79" i="36" s="1"/>
  <c r="O36" i="13"/>
  <c r="O15" i="12"/>
  <c r="O15" i="36" s="1"/>
  <c r="O58" i="36" s="1"/>
  <c r="O15" i="13"/>
  <c r="O32" i="12"/>
  <c r="O32" i="36" s="1"/>
  <c r="O75" i="36" s="1"/>
  <c r="O32" i="13"/>
  <c r="O25" i="12"/>
  <c r="O25" i="36" s="1"/>
  <c r="O68" i="36" s="1"/>
  <c r="O25" i="13"/>
  <c r="O14" i="12"/>
  <c r="O14" i="36" s="1"/>
  <c r="O57" i="36" s="1"/>
  <c r="O14" i="13"/>
  <c r="O40" i="12"/>
  <c r="O40" i="36" s="1"/>
  <c r="O83" i="36" s="1"/>
  <c r="O40" i="13"/>
  <c r="O13" i="12"/>
  <c r="O13" i="36" s="1"/>
  <c r="O56" i="36" s="1"/>
  <c r="O13" i="13"/>
  <c r="O5" i="12"/>
  <c r="O5" i="36" s="1"/>
  <c r="O48" i="36" s="1"/>
  <c r="O5" i="13"/>
  <c r="O44" i="11"/>
  <c r="O9" i="12"/>
  <c r="O9" i="36" s="1"/>
  <c r="O52" i="36" s="1"/>
  <c r="O9" i="13"/>
  <c r="V16" i="9"/>
  <c r="M20" i="8"/>
  <c r="M20" i="35" s="1"/>
  <c r="M72" i="35" s="1"/>
  <c r="M20" i="9"/>
  <c r="W49" i="8"/>
  <c r="V49" i="35" s="1"/>
  <c r="V101" i="35" s="1"/>
  <c r="W20" i="8"/>
  <c r="V20" i="35" s="1"/>
  <c r="V72" i="35" s="1"/>
  <c r="W43" i="8"/>
  <c r="V43" i="35" s="1"/>
  <c r="V95" i="35" s="1"/>
  <c r="W48" i="8"/>
  <c r="V48" i="35" s="1"/>
  <c r="V100" i="35" s="1"/>
  <c r="W13" i="8"/>
  <c r="V13" i="35" s="1"/>
  <c r="V65" i="35" s="1"/>
  <c r="R53" i="9"/>
  <c r="M11" i="8"/>
  <c r="M11" i="35" s="1"/>
  <c r="M63" i="35" s="1"/>
  <c r="M11" i="9"/>
  <c r="M24" i="8"/>
  <c r="M24" i="35" s="1"/>
  <c r="M76" i="35" s="1"/>
  <c r="M24" i="9"/>
  <c r="M21" i="8"/>
  <c r="M21" i="35" s="1"/>
  <c r="M73" i="35" s="1"/>
  <c r="M21" i="9"/>
  <c r="M35" i="8"/>
  <c r="M35" i="35" s="1"/>
  <c r="M87" i="35" s="1"/>
  <c r="M35" i="9"/>
  <c r="R5" i="13"/>
  <c r="R44" i="13" s="1"/>
  <c r="Q44" i="13"/>
  <c r="M33" i="12"/>
  <c r="M33" i="36" s="1"/>
  <c r="M76" i="36" s="1"/>
  <c r="M33" i="13"/>
  <c r="M41" i="12"/>
  <c r="M41" i="36" s="1"/>
  <c r="M84" i="36" s="1"/>
  <c r="M41" i="13"/>
  <c r="M24" i="12"/>
  <c r="M24" i="36" s="1"/>
  <c r="M67" i="36" s="1"/>
  <c r="M24" i="13"/>
  <c r="M37" i="12"/>
  <c r="M37" i="36" s="1"/>
  <c r="M80" i="36" s="1"/>
  <c r="M37" i="13"/>
  <c r="M19" i="12"/>
  <c r="M19" i="36" s="1"/>
  <c r="M62" i="36" s="1"/>
  <c r="M19" i="13"/>
  <c r="M29" i="12"/>
  <c r="M29" i="36" s="1"/>
  <c r="M72" i="36" s="1"/>
  <c r="M29" i="13"/>
  <c r="M14" i="12"/>
  <c r="M14" i="36" s="1"/>
  <c r="M57" i="36" s="1"/>
  <c r="M14" i="13"/>
  <c r="M18" i="12"/>
  <c r="M18" i="36" s="1"/>
  <c r="M61" i="36" s="1"/>
  <c r="M18" i="13"/>
  <c r="M5" i="12"/>
  <c r="M5" i="36" s="1"/>
  <c r="M48" i="36" s="1"/>
  <c r="M44" i="11"/>
  <c r="M5" i="13"/>
  <c r="M50" i="8"/>
  <c r="M50" i="35" s="1"/>
  <c r="M102" i="35" s="1"/>
  <c r="M50" i="9"/>
  <c r="M15" i="8"/>
  <c r="M15" i="35" s="1"/>
  <c r="M67" i="35" s="1"/>
  <c r="M15" i="9"/>
  <c r="X53" i="9"/>
  <c r="M13" i="8"/>
  <c r="M13" i="35" s="1"/>
  <c r="M65" i="35" s="1"/>
  <c r="M13" i="9"/>
  <c r="M30" i="8"/>
  <c r="M30" i="35" s="1"/>
  <c r="M82" i="35" s="1"/>
  <c r="M30" i="9"/>
  <c r="O13" i="8"/>
  <c r="O13" i="35" s="1"/>
  <c r="O65" i="35" s="1"/>
  <c r="T44" i="13"/>
  <c r="S13" i="12"/>
  <c r="V13" i="12" s="1"/>
  <c r="S13" i="13"/>
  <c r="V13" i="13" s="1"/>
  <c r="V27" i="11"/>
  <c r="S27" i="12"/>
  <c r="Q27" i="36" s="1"/>
  <c r="Q70" i="36" s="1"/>
  <c r="S27" i="13"/>
  <c r="V39" i="11"/>
  <c r="S39" i="12"/>
  <c r="V39" i="12" s="1"/>
  <c r="S39" i="13"/>
  <c r="V39" i="13" s="1"/>
  <c r="V17" i="11"/>
  <c r="S17" i="12"/>
  <c r="Q17" i="36" s="1"/>
  <c r="Q60" i="36" s="1"/>
  <c r="S17" i="13"/>
  <c r="S34" i="12"/>
  <c r="Q34" i="36" s="1"/>
  <c r="Q77" i="36" s="1"/>
  <c r="V34" i="11"/>
  <c r="S34" i="13"/>
  <c r="V31" i="11"/>
  <c r="S31" i="12"/>
  <c r="V31" i="12" s="1"/>
  <c r="S31" i="13"/>
  <c r="S36" i="12"/>
  <c r="Q36" i="36" s="1"/>
  <c r="Q79" i="36" s="1"/>
  <c r="S36" i="13"/>
  <c r="S33" i="12"/>
  <c r="V33" i="12" s="1"/>
  <c r="S33" i="13"/>
  <c r="S6" i="12"/>
  <c r="V6" i="11"/>
  <c r="S6" i="13"/>
  <c r="V6" i="13" s="1"/>
  <c r="V11" i="11"/>
  <c r="S11" i="12"/>
  <c r="Q11" i="36" s="1"/>
  <c r="Q54" i="36" s="1"/>
  <c r="S11" i="13"/>
  <c r="Y19" i="7"/>
  <c r="Y17" i="7"/>
  <c r="Y15" i="7"/>
  <c r="Y13" i="7"/>
  <c r="Y11" i="7"/>
  <c r="Y9" i="7"/>
  <c r="Y7" i="7"/>
  <c r="Y5" i="7"/>
  <c r="Y20" i="7"/>
  <c r="Y18" i="7"/>
  <c r="Y16" i="7"/>
  <c r="Y14" i="7"/>
  <c r="Y12" i="7"/>
  <c r="Y10" i="7"/>
  <c r="Y8" i="7"/>
  <c r="Y6" i="7"/>
  <c r="Y25" i="7"/>
  <c r="Y29" i="7"/>
  <c r="Y45" i="7"/>
  <c r="Y21" i="7"/>
  <c r="Y38" i="7"/>
  <c r="Y31" i="7"/>
  <c r="Y47" i="7"/>
  <c r="Y23" i="7"/>
  <c r="Y40" i="7"/>
  <c r="Y33" i="7"/>
  <c r="Y49" i="7"/>
  <c r="Y26" i="7"/>
  <c r="Y42" i="7"/>
  <c r="Y35" i="7"/>
  <c r="Y51" i="7"/>
  <c r="Y28" i="7"/>
  <c r="Y44" i="7"/>
  <c r="Y37" i="7"/>
  <c r="Y30" i="7"/>
  <c r="Y46" i="7"/>
  <c r="Y22" i="7"/>
  <c r="Y39" i="7"/>
  <c r="Y32" i="7"/>
  <c r="Y48" i="7"/>
  <c r="Y24" i="7"/>
  <c r="Y41" i="7"/>
  <c r="Y34" i="7"/>
  <c r="Y50" i="7"/>
  <c r="Y27" i="7"/>
  <c r="Y43" i="7"/>
  <c r="Y36" i="7"/>
  <c r="X41" i="8"/>
  <c r="W41" i="35" s="1"/>
  <c r="W93" i="35" s="1"/>
  <c r="X31" i="8"/>
  <c r="W31" i="35" s="1"/>
  <c r="W83" i="35" s="1"/>
  <c r="X11" i="8"/>
  <c r="W11" i="35" s="1"/>
  <c r="W63" i="35" s="1"/>
  <c r="X36" i="8"/>
  <c r="W36" i="35" s="1"/>
  <c r="W88" i="35" s="1"/>
  <c r="X24" i="8"/>
  <c r="W24" i="35" s="1"/>
  <c r="W76" i="35" s="1"/>
  <c r="X8" i="8"/>
  <c r="W8" i="35" s="1"/>
  <c r="W60" i="35" s="1"/>
  <c r="M8" i="8"/>
  <c r="M8" i="35" s="1"/>
  <c r="M60" i="35" s="1"/>
  <c r="M8" i="9"/>
  <c r="AH5" i="8"/>
  <c r="AD5" i="35" s="1"/>
  <c r="AD57" i="35" s="1"/>
  <c r="AH44" i="8"/>
  <c r="AD44" i="35" s="1"/>
  <c r="AD96" i="35" s="1"/>
  <c r="AH24" i="8"/>
  <c r="AD24" i="35" s="1"/>
  <c r="AD76" i="35" s="1"/>
  <c r="AH45" i="8"/>
  <c r="AD45" i="35" s="1"/>
  <c r="AD97" i="35" s="1"/>
  <c r="Q40" i="8"/>
  <c r="Q40" i="35" s="1"/>
  <c r="Q92" i="35" s="1"/>
  <c r="Q44" i="8"/>
  <c r="Q44" i="35" s="1"/>
  <c r="Q96" i="35" s="1"/>
  <c r="Q17" i="8"/>
  <c r="Q17" i="35" s="1"/>
  <c r="Q69" i="35" s="1"/>
  <c r="Q45" i="8"/>
  <c r="Q45" i="35" s="1"/>
  <c r="Q97" i="35" s="1"/>
  <c r="M17" i="8"/>
  <c r="M17" i="35" s="1"/>
  <c r="M69" i="35" s="1"/>
  <c r="M17" i="9"/>
  <c r="Z36" i="11"/>
  <c r="Y36" i="12"/>
  <c r="Z36" i="12" s="1"/>
  <c r="Y36" i="13"/>
  <c r="Z36" i="13" s="1"/>
  <c r="Z18" i="11"/>
  <c r="Y18" i="12"/>
  <c r="Z18" i="12" s="1"/>
  <c r="Y18" i="13"/>
  <c r="Z18" i="13" s="1"/>
  <c r="Y15" i="12"/>
  <c r="Z15" i="12" s="1"/>
  <c r="Z15" i="11"/>
  <c r="Y15" i="13"/>
  <c r="Z15" i="13" s="1"/>
  <c r="Y13" i="12"/>
  <c r="Z13" i="12" s="1"/>
  <c r="Z13" i="11"/>
  <c r="Y13" i="13"/>
  <c r="Z13" i="13" s="1"/>
  <c r="Z24" i="11"/>
  <c r="Y24" i="12"/>
  <c r="Z24" i="12" s="1"/>
  <c r="Y24" i="13"/>
  <c r="Z24" i="13" s="1"/>
  <c r="Z40" i="11"/>
  <c r="Y40" i="12"/>
  <c r="Z40" i="12" s="1"/>
  <c r="Y40" i="13"/>
  <c r="Z40" i="13" s="1"/>
  <c r="Z31" i="11"/>
  <c r="Y31" i="12"/>
  <c r="Z31" i="12" s="1"/>
  <c r="Y31" i="13"/>
  <c r="Z31" i="13" s="1"/>
  <c r="Z8" i="11"/>
  <c r="Y8" i="12"/>
  <c r="Z8" i="12" s="1"/>
  <c r="Y8" i="13"/>
  <c r="Z8" i="13" s="1"/>
  <c r="Z10" i="11"/>
  <c r="Y10" i="12"/>
  <c r="Z10" i="12" s="1"/>
  <c r="Y10" i="13"/>
  <c r="Z10" i="13" s="1"/>
  <c r="Y9" i="12"/>
  <c r="Z9" i="12" s="1"/>
  <c r="Z9" i="11"/>
  <c r="Y9" i="13"/>
  <c r="Z9" i="13" s="1"/>
  <c r="V9" i="8"/>
  <c r="U9" i="35" s="1"/>
  <c r="U61" i="35" s="1"/>
  <c r="V9" i="9"/>
  <c r="V17" i="8"/>
  <c r="U17" i="35" s="1"/>
  <c r="U69" i="35" s="1"/>
  <c r="V17" i="9"/>
  <c r="V28" i="8"/>
  <c r="U28" i="35" s="1"/>
  <c r="U80" i="35" s="1"/>
  <c r="V28" i="9"/>
  <c r="V30" i="8"/>
  <c r="U30" i="35" s="1"/>
  <c r="U82" i="35" s="1"/>
  <c r="V30" i="9"/>
  <c r="V39" i="8"/>
  <c r="U39" i="35" s="1"/>
  <c r="U91" i="35" s="1"/>
  <c r="V39" i="9"/>
  <c r="V6" i="8"/>
  <c r="U6" i="35" s="1"/>
  <c r="U58" i="35" s="1"/>
  <c r="V6" i="9"/>
  <c r="V14" i="8"/>
  <c r="U14" i="35" s="1"/>
  <c r="U66" i="35" s="1"/>
  <c r="V14" i="9"/>
  <c r="V22" i="8"/>
  <c r="U22" i="35" s="1"/>
  <c r="U74" i="35" s="1"/>
  <c r="V22" i="9"/>
  <c r="V44" i="8"/>
  <c r="U44" i="35" s="1"/>
  <c r="U96" i="35" s="1"/>
  <c r="V44" i="9"/>
  <c r="V36" i="8"/>
  <c r="U36" i="35" s="1"/>
  <c r="U88" i="35" s="1"/>
  <c r="V36" i="9"/>
  <c r="V47" i="8"/>
  <c r="U47" i="35" s="1"/>
  <c r="U99" i="35" s="1"/>
  <c r="V47" i="9"/>
  <c r="V51" i="8"/>
  <c r="U51" i="35" s="1"/>
  <c r="U103" i="35" s="1"/>
  <c r="V51" i="9"/>
  <c r="X39" i="8"/>
  <c r="W39" i="35" s="1"/>
  <c r="W91" i="35" s="1"/>
  <c r="X28" i="8"/>
  <c r="W28" i="35" s="1"/>
  <c r="W80" i="35" s="1"/>
  <c r="X9" i="8"/>
  <c r="W9" i="35" s="1"/>
  <c r="W61" i="35" s="1"/>
  <c r="X34" i="8"/>
  <c r="W34" i="35" s="1"/>
  <c r="W86" i="35" s="1"/>
  <c r="X22" i="8"/>
  <c r="W22" i="35" s="1"/>
  <c r="W74" i="35" s="1"/>
  <c r="X6" i="8"/>
  <c r="W6" i="35" s="1"/>
  <c r="W58" i="35" s="1"/>
  <c r="U13" i="8"/>
  <c r="T13" i="35" s="1"/>
  <c r="T65" i="35" s="1"/>
  <c r="U5" i="8"/>
  <c r="T5" i="35" s="1"/>
  <c r="T57" i="35" s="1"/>
  <c r="AB6" i="7"/>
  <c r="M46" i="8"/>
  <c r="M46" i="35" s="1"/>
  <c r="M98" i="35" s="1"/>
  <c r="M46" i="9"/>
  <c r="P24" i="8"/>
  <c r="P8" i="8"/>
  <c r="P8" i="35" s="1"/>
  <c r="P60" i="35" s="1"/>
  <c r="P33" i="8"/>
  <c r="P33" i="35" s="1"/>
  <c r="P85" i="35" s="1"/>
  <c r="P46" i="8"/>
  <c r="P46" i="35" s="1"/>
  <c r="P98" i="35" s="1"/>
  <c r="O9" i="8"/>
  <c r="O9" i="35" s="1"/>
  <c r="O61" i="35" s="1"/>
  <c r="O10" i="8"/>
  <c r="O10" i="35" s="1"/>
  <c r="O62" i="35" s="1"/>
  <c r="O30" i="8"/>
  <c r="O30" i="35" s="1"/>
  <c r="O82" i="35" s="1"/>
  <c r="O34" i="8"/>
  <c r="O34" i="35" s="1"/>
  <c r="O86" i="35" s="1"/>
  <c r="O38" i="8"/>
  <c r="O38" i="35" s="1"/>
  <c r="O90" i="35" s="1"/>
  <c r="O42" i="8"/>
  <c r="O42" i="35" s="1"/>
  <c r="O94" i="35" s="1"/>
  <c r="L5" i="8"/>
  <c r="L5" i="35" s="1"/>
  <c r="L57" i="35" s="1"/>
  <c r="L47" i="8"/>
  <c r="L47" i="35" s="1"/>
  <c r="L99" i="35" s="1"/>
  <c r="L12" i="8"/>
  <c r="L12" i="35" s="1"/>
  <c r="L64" i="35" s="1"/>
  <c r="AC25" i="8"/>
  <c r="AA25" i="35" s="1"/>
  <c r="AA77" i="35" s="1"/>
  <c r="AD53" i="7"/>
  <c r="AC40" i="8"/>
  <c r="AA40" i="35" s="1"/>
  <c r="AA92" i="35" s="1"/>
  <c r="M43" i="8"/>
  <c r="M43" i="35" s="1"/>
  <c r="M95" i="35" s="1"/>
  <c r="M43" i="9"/>
  <c r="U17" i="12"/>
  <c r="S17" i="36" s="1"/>
  <c r="S60" i="36" s="1"/>
  <c r="U17" i="13"/>
  <c r="U21" i="12"/>
  <c r="S21" i="36" s="1"/>
  <c r="S64" i="36" s="1"/>
  <c r="U21" i="13"/>
  <c r="U38" i="12"/>
  <c r="S38" i="36" s="1"/>
  <c r="S81" i="36" s="1"/>
  <c r="U38" i="13"/>
  <c r="U40" i="12"/>
  <c r="S40" i="36" s="1"/>
  <c r="S83" i="36" s="1"/>
  <c r="U40" i="13"/>
  <c r="U35" i="12"/>
  <c r="S35" i="36" s="1"/>
  <c r="S78" i="36" s="1"/>
  <c r="U35" i="13"/>
  <c r="U36" i="12"/>
  <c r="S36" i="36" s="1"/>
  <c r="S79" i="36" s="1"/>
  <c r="U36" i="13"/>
  <c r="U14" i="13"/>
  <c r="U14" i="12"/>
  <c r="S14" i="36" s="1"/>
  <c r="S57" i="36" s="1"/>
  <c r="U7" i="12"/>
  <c r="S7" i="36" s="1"/>
  <c r="S50" i="36" s="1"/>
  <c r="U7" i="13"/>
  <c r="U11" i="12"/>
  <c r="S11" i="36" s="1"/>
  <c r="S54" i="36" s="1"/>
  <c r="U11" i="13"/>
  <c r="O18" i="12"/>
  <c r="O18" i="36" s="1"/>
  <c r="O61" i="36" s="1"/>
  <c r="O18" i="13"/>
  <c r="O20" i="12"/>
  <c r="O20" i="36" s="1"/>
  <c r="O63" i="36" s="1"/>
  <c r="O20" i="13"/>
  <c r="O38" i="12"/>
  <c r="O38" i="36" s="1"/>
  <c r="O81" i="36" s="1"/>
  <c r="O38" i="13"/>
  <c r="O35" i="12"/>
  <c r="O35" i="36" s="1"/>
  <c r="O78" i="36" s="1"/>
  <c r="O35" i="13"/>
  <c r="O41" i="12"/>
  <c r="O41" i="36" s="1"/>
  <c r="O84" i="36" s="1"/>
  <c r="O41" i="13"/>
  <c r="O22" i="12"/>
  <c r="O22" i="36" s="1"/>
  <c r="O65" i="36" s="1"/>
  <c r="O22" i="13"/>
  <c r="O24" i="12"/>
  <c r="O24" i="36" s="1"/>
  <c r="O67" i="36" s="1"/>
  <c r="O24" i="13"/>
  <c r="O16" i="12"/>
  <c r="O16" i="36" s="1"/>
  <c r="O59" i="36" s="1"/>
  <c r="O16" i="13"/>
  <c r="O6" i="12"/>
  <c r="O6" i="36" s="1"/>
  <c r="O49" i="36" s="1"/>
  <c r="O6" i="13"/>
  <c r="O8" i="12"/>
  <c r="O8" i="36" s="1"/>
  <c r="O51" i="36" s="1"/>
  <c r="O8" i="13"/>
  <c r="D45" i="5"/>
  <c r="P45" i="13"/>
  <c r="P45" i="11"/>
  <c r="P45" i="10"/>
  <c r="P45" i="12"/>
  <c r="N54" i="8"/>
  <c r="N58" i="8" s="1"/>
  <c r="N54" i="9"/>
  <c r="N54" i="7"/>
  <c r="W36" i="8"/>
  <c r="V36" i="35" s="1"/>
  <c r="V88" i="35" s="1"/>
  <c r="M38" i="8"/>
  <c r="M38" i="35" s="1"/>
  <c r="M90" i="35" s="1"/>
  <c r="M38" i="9"/>
  <c r="M36" i="8"/>
  <c r="M36" i="35" s="1"/>
  <c r="M88" i="35" s="1"/>
  <c r="M36" i="9"/>
  <c r="R5" i="12"/>
  <c r="Q44" i="12"/>
  <c r="M28" i="12"/>
  <c r="M28" i="36" s="1"/>
  <c r="M71" i="36" s="1"/>
  <c r="M28" i="13"/>
  <c r="M17" i="12"/>
  <c r="M17" i="36" s="1"/>
  <c r="M60" i="36" s="1"/>
  <c r="M17" i="13"/>
  <c r="M39" i="12"/>
  <c r="M39" i="36" s="1"/>
  <c r="M82" i="36" s="1"/>
  <c r="M39" i="13"/>
  <c r="M36" i="12"/>
  <c r="M36" i="36" s="1"/>
  <c r="M79" i="36" s="1"/>
  <c r="M36" i="13"/>
  <c r="M42" i="12"/>
  <c r="M42" i="36" s="1"/>
  <c r="M85" i="36" s="1"/>
  <c r="M42" i="13"/>
  <c r="M32" i="12"/>
  <c r="M32" i="36" s="1"/>
  <c r="M75" i="36" s="1"/>
  <c r="M32" i="13"/>
  <c r="M22" i="12"/>
  <c r="M22" i="36" s="1"/>
  <c r="M65" i="36" s="1"/>
  <c r="M22" i="13"/>
  <c r="M6" i="12"/>
  <c r="M6" i="36" s="1"/>
  <c r="M49" i="36" s="1"/>
  <c r="M6" i="13"/>
  <c r="M9" i="12"/>
  <c r="M9" i="36" s="1"/>
  <c r="M52" i="36" s="1"/>
  <c r="M9" i="13"/>
  <c r="M14" i="8"/>
  <c r="M14" i="35" s="1"/>
  <c r="M66" i="35" s="1"/>
  <c r="M14" i="9"/>
  <c r="M6" i="8"/>
  <c r="M6" i="35" s="1"/>
  <c r="M58" i="35" s="1"/>
  <c r="M6" i="9"/>
  <c r="X50" i="8"/>
  <c r="W50" i="35" s="1"/>
  <c r="W102" i="35" s="1"/>
  <c r="X35" i="8"/>
  <c r="W35" i="35" s="1"/>
  <c r="W87" i="35" s="1"/>
  <c r="X21" i="8"/>
  <c r="W21" i="35" s="1"/>
  <c r="W73" i="35" s="1"/>
  <c r="X5" i="8"/>
  <c r="W5" i="35" s="1"/>
  <c r="W57" i="35" s="1"/>
  <c r="X26" i="8"/>
  <c r="W26" i="35" s="1"/>
  <c r="W78" i="35" s="1"/>
  <c r="W46" i="8"/>
  <c r="V46" i="35" s="1"/>
  <c r="V98" i="35" s="1"/>
  <c r="W27" i="8"/>
  <c r="V27" i="35" s="1"/>
  <c r="V79" i="35" s="1"/>
  <c r="W10" i="8"/>
  <c r="V10" i="35" s="1"/>
  <c r="V62" i="35" s="1"/>
  <c r="W33" i="8"/>
  <c r="V33" i="35" s="1"/>
  <c r="V85" i="35" s="1"/>
  <c r="W19" i="8"/>
  <c r="V19" i="35" s="1"/>
  <c r="V71" i="35" s="1"/>
  <c r="W42" i="8"/>
  <c r="V42" i="35" s="1"/>
  <c r="V94" i="35" s="1"/>
  <c r="O14" i="8"/>
  <c r="O14" i="35" s="1"/>
  <c r="O66" i="35" s="1"/>
  <c r="O44" i="8"/>
  <c r="O44" i="35" s="1"/>
  <c r="O96" i="35" s="1"/>
  <c r="O24" i="8"/>
  <c r="O24" i="35" s="1"/>
  <c r="O76" i="35" s="1"/>
  <c r="O45" i="8"/>
  <c r="O45" i="35" s="1"/>
  <c r="O97" i="35" s="1"/>
  <c r="O49" i="8"/>
  <c r="O49" i="35" s="1"/>
  <c r="O101" i="35" s="1"/>
  <c r="M34" i="8"/>
  <c r="M34" i="35" s="1"/>
  <c r="M86" i="35" s="1"/>
  <c r="M34" i="9"/>
  <c r="S29" i="12"/>
  <c r="V29" i="12" s="1"/>
  <c r="S29" i="13"/>
  <c r="S38" i="12"/>
  <c r="Q38" i="36" s="1"/>
  <c r="Q81" i="36" s="1"/>
  <c r="V38" i="11"/>
  <c r="S38" i="13"/>
  <c r="V38" i="13" s="1"/>
  <c r="V23" i="11"/>
  <c r="S23" i="12"/>
  <c r="Q23" i="36" s="1"/>
  <c r="Q66" i="36" s="1"/>
  <c r="S23" i="13"/>
  <c r="V23" i="13" s="1"/>
  <c r="S24" i="12"/>
  <c r="Q24" i="36" s="1"/>
  <c r="Q67" i="36" s="1"/>
  <c r="S24" i="13"/>
  <c r="S18" i="12"/>
  <c r="V18" i="12" s="1"/>
  <c r="V18" i="11"/>
  <c r="S18" i="13"/>
  <c r="V18" i="13" s="1"/>
  <c r="S14" i="12"/>
  <c r="Q14" i="36" s="1"/>
  <c r="Q57" i="36" s="1"/>
  <c r="V14" i="11"/>
  <c r="S14" i="13"/>
  <c r="V14" i="13" s="1"/>
  <c r="S22" i="12"/>
  <c r="Q22" i="36" s="1"/>
  <c r="Q65" i="36" s="1"/>
  <c r="V22" i="11"/>
  <c r="S22" i="13"/>
  <c r="S16" i="12"/>
  <c r="Q16" i="36" s="1"/>
  <c r="Q59" i="36" s="1"/>
  <c r="S16" i="13"/>
  <c r="V7" i="11"/>
  <c r="S7" i="12"/>
  <c r="Q7" i="36" s="1"/>
  <c r="Q50" i="36" s="1"/>
  <c r="S7" i="13"/>
  <c r="M40" i="8"/>
  <c r="M40" i="35" s="1"/>
  <c r="M92" i="35" s="1"/>
  <c r="M40" i="9"/>
  <c r="W45" i="8"/>
  <c r="V45" i="35" s="1"/>
  <c r="V97" i="35" s="1"/>
  <c r="W16" i="8"/>
  <c r="V16" i="35" s="1"/>
  <c r="V68" i="35" s="1"/>
  <c r="W39" i="8"/>
  <c r="V39" i="35" s="1"/>
  <c r="V91" i="35" s="1"/>
  <c r="W28" i="8"/>
  <c r="V28" i="35" s="1"/>
  <c r="V80" i="35" s="1"/>
  <c r="W9" i="8"/>
  <c r="V9" i="35" s="1"/>
  <c r="V61" i="35" s="1"/>
  <c r="W29" i="8"/>
  <c r="V29" i="35" s="1"/>
  <c r="V81" i="35" s="1"/>
  <c r="M31" i="8"/>
  <c r="M31" i="35" s="1"/>
  <c r="M83" i="35" s="1"/>
  <c r="M31" i="9"/>
  <c r="O11" i="8"/>
  <c r="O11" i="35" s="1"/>
  <c r="O63" i="35" s="1"/>
  <c r="O12" i="8"/>
  <c r="O12" i="35" s="1"/>
  <c r="O64" i="35" s="1"/>
  <c r="O37" i="8"/>
  <c r="O37" i="35" s="1"/>
  <c r="O89" i="35" s="1"/>
  <c r="O41" i="8"/>
  <c r="O41" i="35" s="1"/>
  <c r="O93" i="35" s="1"/>
  <c r="O21" i="8"/>
  <c r="O21" i="35" s="1"/>
  <c r="O73" i="35" s="1"/>
  <c r="Q53" i="9"/>
  <c r="M26" i="8"/>
  <c r="M26" i="35" s="1"/>
  <c r="M78" i="35" s="1"/>
  <c r="M26" i="9"/>
  <c r="Z39" i="11"/>
  <c r="Y39" i="12"/>
  <c r="Z39" i="12" s="1"/>
  <c r="Y39" i="13"/>
  <c r="Z39" i="13" s="1"/>
  <c r="Z34" i="11"/>
  <c r="Y34" i="12"/>
  <c r="Z34" i="12" s="1"/>
  <c r="Y34" i="13"/>
  <c r="Z34" i="13" s="1"/>
  <c r="Z32" i="11"/>
  <c r="Y32" i="12"/>
  <c r="Z32" i="12" s="1"/>
  <c r="Y32" i="13"/>
  <c r="Z32" i="13" s="1"/>
  <c r="Y33" i="12"/>
  <c r="Z33" i="12" s="1"/>
  <c r="Z33" i="11"/>
  <c r="Y33" i="13"/>
  <c r="Z33" i="13" s="1"/>
  <c r="Z27" i="11"/>
  <c r="Y27" i="12"/>
  <c r="Z27" i="12" s="1"/>
  <c r="Y27" i="13"/>
  <c r="Z27" i="13" s="1"/>
  <c r="Z20" i="11"/>
  <c r="Y20" i="12"/>
  <c r="Z20" i="12" s="1"/>
  <c r="Y20" i="13"/>
  <c r="Z20" i="13" s="1"/>
  <c r="Y41" i="12"/>
  <c r="Z41" i="12" s="1"/>
  <c r="Z41" i="11"/>
  <c r="Y41" i="13"/>
  <c r="Z41" i="13" s="1"/>
  <c r="Z16" i="11"/>
  <c r="Y16" i="12"/>
  <c r="Z16" i="12" s="1"/>
  <c r="Y16" i="13"/>
  <c r="Z16" i="13" s="1"/>
  <c r="Z23" i="11"/>
  <c r="Y23" i="12"/>
  <c r="Z23" i="12" s="1"/>
  <c r="Y23" i="13"/>
  <c r="Z23" i="13" s="1"/>
  <c r="Z11" i="11"/>
  <c r="Y11" i="12"/>
  <c r="Z11" i="12" s="1"/>
  <c r="Y11" i="13"/>
  <c r="Z11" i="13" s="1"/>
  <c r="V11" i="8"/>
  <c r="U11" i="35" s="1"/>
  <c r="U63" i="35" s="1"/>
  <c r="V11" i="9"/>
  <c r="V19" i="8"/>
  <c r="U19" i="35" s="1"/>
  <c r="U71" i="35" s="1"/>
  <c r="V19" i="9"/>
  <c r="V31" i="8"/>
  <c r="U31" i="35" s="1"/>
  <c r="U83" i="35" s="1"/>
  <c r="V31" i="9"/>
  <c r="V33" i="8"/>
  <c r="U33" i="35" s="1"/>
  <c r="U85" i="35" s="1"/>
  <c r="V33" i="9"/>
  <c r="V41" i="8"/>
  <c r="U41" i="35" s="1"/>
  <c r="U93" i="35" s="1"/>
  <c r="V41" i="9"/>
  <c r="V8" i="8"/>
  <c r="U8" i="35" s="1"/>
  <c r="U60" i="35" s="1"/>
  <c r="V8" i="9"/>
  <c r="V16" i="8"/>
  <c r="U16" i="35" s="1"/>
  <c r="U68" i="35" s="1"/>
  <c r="V24" i="8"/>
  <c r="U24" i="35" s="1"/>
  <c r="U76" i="35" s="1"/>
  <c r="V24" i="9"/>
  <c r="V26" i="8"/>
  <c r="U26" i="35" s="1"/>
  <c r="U78" i="35" s="1"/>
  <c r="V26" i="9"/>
  <c r="V38" i="8"/>
  <c r="U38" i="35" s="1"/>
  <c r="U90" i="35" s="1"/>
  <c r="V38" i="9"/>
  <c r="V48" i="8"/>
  <c r="U48" i="35" s="1"/>
  <c r="U100" i="35" s="1"/>
  <c r="V48" i="9"/>
  <c r="M32" i="8"/>
  <c r="M32" i="35" s="1"/>
  <c r="M84" i="35" s="1"/>
  <c r="M32" i="9"/>
  <c r="W50" i="8"/>
  <c r="V50" i="35" s="1"/>
  <c r="V102" i="35" s="1"/>
  <c r="W14" i="8"/>
  <c r="V14" i="35" s="1"/>
  <c r="V66" i="35" s="1"/>
  <c r="W37" i="8"/>
  <c r="V37" i="35" s="1"/>
  <c r="V89" i="35" s="1"/>
  <c r="W23" i="8"/>
  <c r="V23" i="35" s="1"/>
  <c r="V75" i="35" s="1"/>
  <c r="W7" i="8"/>
  <c r="V7" i="35" s="1"/>
  <c r="V59" i="35" s="1"/>
  <c r="AB13" i="7"/>
  <c r="AB5" i="7"/>
  <c r="M23" i="8"/>
  <c r="M23" i="35" s="1"/>
  <c r="M75" i="35" s="1"/>
  <c r="M23" i="9"/>
  <c r="AH18" i="8"/>
  <c r="AD18" i="35" s="1"/>
  <c r="AD70" i="35" s="1"/>
  <c r="AH19" i="8"/>
  <c r="AD19" i="35" s="1"/>
  <c r="AD71" i="35" s="1"/>
  <c r="AH33" i="8"/>
  <c r="AD33" i="35" s="1"/>
  <c r="AD85" i="35" s="1"/>
  <c r="AH37" i="8"/>
  <c r="AD37" i="35" s="1"/>
  <c r="AD89" i="35" s="1"/>
  <c r="AH41" i="8"/>
  <c r="AD41" i="35" s="1"/>
  <c r="AD93" i="35" s="1"/>
  <c r="P53" i="9"/>
  <c r="M22" i="8"/>
  <c r="M22" i="35" s="1"/>
  <c r="M74" i="35" s="1"/>
  <c r="M22" i="9"/>
  <c r="Q16" i="8"/>
  <c r="Q16" i="35" s="1"/>
  <c r="Q68" i="35" s="1"/>
  <c r="Q15" i="8"/>
  <c r="Q15" i="35" s="1"/>
  <c r="Q67" i="35" s="1"/>
  <c r="Q33" i="8"/>
  <c r="Q33" i="35" s="1"/>
  <c r="Q85" i="35" s="1"/>
  <c r="Q37" i="8"/>
  <c r="Q37" i="35" s="1"/>
  <c r="Q89" i="35" s="1"/>
  <c r="Q41" i="8"/>
  <c r="Q41" i="35" s="1"/>
  <c r="Q93" i="35" s="1"/>
  <c r="AC6" i="8"/>
  <c r="AA6" i="35" s="1"/>
  <c r="AA58" i="35" s="1"/>
  <c r="AC22" i="8"/>
  <c r="AA22" i="35" s="1"/>
  <c r="AA74" i="35" s="1"/>
  <c r="U34" i="12"/>
  <c r="S34" i="36" s="1"/>
  <c r="S77" i="36" s="1"/>
  <c r="U34" i="13"/>
  <c r="U27" i="12"/>
  <c r="S27" i="36" s="1"/>
  <c r="S70" i="36" s="1"/>
  <c r="U27" i="13"/>
  <c r="U15" i="12"/>
  <c r="S15" i="36" s="1"/>
  <c r="S58" i="36" s="1"/>
  <c r="U15" i="13"/>
  <c r="U22" i="12"/>
  <c r="S22" i="36" s="1"/>
  <c r="S65" i="36" s="1"/>
  <c r="U22" i="13"/>
  <c r="U24" i="12"/>
  <c r="S24" i="36" s="1"/>
  <c r="S67" i="36" s="1"/>
  <c r="U24" i="13"/>
  <c r="U30" i="12"/>
  <c r="S30" i="36" s="1"/>
  <c r="S73" i="36" s="1"/>
  <c r="U30" i="13"/>
  <c r="U20" i="12"/>
  <c r="S20" i="36" s="1"/>
  <c r="S63" i="36" s="1"/>
  <c r="U20" i="13"/>
  <c r="U42" i="12"/>
  <c r="S42" i="36" s="1"/>
  <c r="S85" i="36" s="1"/>
  <c r="U42" i="13"/>
  <c r="U5" i="12"/>
  <c r="S5" i="36" s="1"/>
  <c r="S48" i="36" s="1"/>
  <c r="U44" i="11"/>
  <c r="U5" i="13"/>
  <c r="U16" i="12"/>
  <c r="S16" i="36" s="1"/>
  <c r="S59" i="36" s="1"/>
  <c r="U16" i="13"/>
  <c r="O17" i="12"/>
  <c r="O17" i="36" s="1"/>
  <c r="O60" i="36" s="1"/>
  <c r="O17" i="13"/>
  <c r="O39" i="12"/>
  <c r="O39" i="36" s="1"/>
  <c r="O82" i="36" s="1"/>
  <c r="O39" i="13"/>
  <c r="O33" i="12"/>
  <c r="O33" i="36" s="1"/>
  <c r="O76" i="36" s="1"/>
  <c r="O33" i="13"/>
  <c r="O19" i="12"/>
  <c r="O19" i="36" s="1"/>
  <c r="O62" i="36" s="1"/>
  <c r="O19" i="13"/>
  <c r="O28" i="12"/>
  <c r="O28" i="36" s="1"/>
  <c r="O71" i="36" s="1"/>
  <c r="O28" i="13"/>
  <c r="O21" i="12"/>
  <c r="O21" i="36" s="1"/>
  <c r="O64" i="36" s="1"/>
  <c r="O21" i="13"/>
  <c r="O27" i="12"/>
  <c r="O27" i="36" s="1"/>
  <c r="O70" i="36" s="1"/>
  <c r="O27" i="13"/>
  <c r="O30" i="12"/>
  <c r="O30" i="36" s="1"/>
  <c r="O73" i="36" s="1"/>
  <c r="O30" i="13"/>
  <c r="O10" i="12"/>
  <c r="O10" i="36" s="1"/>
  <c r="O53" i="36" s="1"/>
  <c r="O10" i="13"/>
  <c r="L48" i="10"/>
  <c r="L48" i="12" s="1"/>
  <c r="D10" i="5"/>
  <c r="T56" i="6" s="1"/>
  <c r="D14" i="38" l="1"/>
  <c r="F14" i="38"/>
  <c r="H14" i="38"/>
  <c r="C9" i="38"/>
  <c r="C11" i="38"/>
  <c r="C7" i="38"/>
  <c r="C13" i="38" s="1"/>
  <c r="E9" i="38"/>
  <c r="E11" i="38"/>
  <c r="E7" i="38"/>
  <c r="E13" i="38" s="1"/>
  <c r="I9" i="38"/>
  <c r="I11" i="38"/>
  <c r="I7" i="38"/>
  <c r="I13" i="38" s="1"/>
  <c r="G9" i="37"/>
  <c r="G11" i="37"/>
  <c r="G7" i="37"/>
  <c r="G13" i="37" s="1"/>
  <c r="U38" i="36"/>
  <c r="U81" i="36" s="1"/>
  <c r="U16" i="36"/>
  <c r="U59" i="36" s="1"/>
  <c r="Q31" i="36"/>
  <c r="Q74" i="36" s="1"/>
  <c r="U9" i="36"/>
  <c r="U52" i="36" s="1"/>
  <c r="U42" i="36"/>
  <c r="U85" i="36" s="1"/>
  <c r="Q18" i="36"/>
  <c r="Q61" i="36" s="1"/>
  <c r="M9" i="37"/>
  <c r="M11" i="37"/>
  <c r="M7" i="37"/>
  <c r="M13" i="37" s="1"/>
  <c r="V6" i="12"/>
  <c r="U19" i="36"/>
  <c r="U62" i="36" s="1"/>
  <c r="U20" i="36"/>
  <c r="U63" i="36" s="1"/>
  <c r="U8" i="36"/>
  <c r="U51" i="36" s="1"/>
  <c r="Q13" i="36"/>
  <c r="Q56" i="36" s="1"/>
  <c r="U21" i="36"/>
  <c r="U64" i="36" s="1"/>
  <c r="U10" i="36"/>
  <c r="U53" i="36" s="1"/>
  <c r="E11" i="37"/>
  <c r="E7" i="37"/>
  <c r="E13" i="37" s="1"/>
  <c r="E9" i="37"/>
  <c r="V46" i="8"/>
  <c r="U46" i="35" s="1"/>
  <c r="U98" i="35" s="1"/>
  <c r="U12" i="36"/>
  <c r="U55" i="36" s="1"/>
  <c r="U33" i="36"/>
  <c r="U76" i="36" s="1"/>
  <c r="U32" i="36"/>
  <c r="U75" i="36" s="1"/>
  <c r="U40" i="36"/>
  <c r="U83" i="36" s="1"/>
  <c r="U26" i="36"/>
  <c r="U69" i="36" s="1"/>
  <c r="Q29" i="36"/>
  <c r="Q72" i="36" s="1"/>
  <c r="U31" i="36"/>
  <c r="U74" i="36" s="1"/>
  <c r="Q9" i="37"/>
  <c r="Q11" i="37"/>
  <c r="Q7" i="37"/>
  <c r="Q13" i="37" s="1"/>
  <c r="U27" i="36"/>
  <c r="U70" i="36" s="1"/>
  <c r="U37" i="36"/>
  <c r="U80" i="36" s="1"/>
  <c r="U34" i="36"/>
  <c r="U77" i="36" s="1"/>
  <c r="U13" i="36"/>
  <c r="U56" i="36" s="1"/>
  <c r="U35" i="36"/>
  <c r="U78" i="36" s="1"/>
  <c r="U24" i="36"/>
  <c r="U67" i="36" s="1"/>
  <c r="T9" i="37"/>
  <c r="T11" i="37"/>
  <c r="T7" i="37"/>
  <c r="T13" i="37" s="1"/>
  <c r="U6" i="36"/>
  <c r="U49" i="36" s="1"/>
  <c r="K7" i="38" s="1"/>
  <c r="K13" i="38" s="1"/>
  <c r="Q6" i="36"/>
  <c r="Q49" i="36" s="1"/>
  <c r="G9" i="38" s="1"/>
  <c r="U18" i="36"/>
  <c r="U61" i="36" s="1"/>
  <c r="U7" i="36"/>
  <c r="U50" i="36" s="1"/>
  <c r="U14" i="36"/>
  <c r="U57" i="36" s="1"/>
  <c r="U15" i="36"/>
  <c r="U58" i="36" s="1"/>
  <c r="U41" i="36"/>
  <c r="U84" i="36" s="1"/>
  <c r="J9" i="37"/>
  <c r="J7" i="37"/>
  <c r="J13" i="37" s="1"/>
  <c r="J11" i="37"/>
  <c r="L9" i="37"/>
  <c r="L7" i="37"/>
  <c r="L13" i="37" s="1"/>
  <c r="L11" i="37"/>
  <c r="U22" i="36"/>
  <c r="U65" i="36" s="1"/>
  <c r="U28" i="36"/>
  <c r="U71" i="36" s="1"/>
  <c r="U23" i="36"/>
  <c r="U66" i="36" s="1"/>
  <c r="U36" i="36"/>
  <c r="U79" i="36" s="1"/>
  <c r="F9" i="37"/>
  <c r="F11" i="37"/>
  <c r="F7" i="37"/>
  <c r="F13" i="37" s="1"/>
  <c r="U25" i="36"/>
  <c r="U68" i="36" s="1"/>
  <c r="U29" i="36"/>
  <c r="U72" i="36" s="1"/>
  <c r="U39" i="36"/>
  <c r="U82" i="36" s="1"/>
  <c r="B11" i="37"/>
  <c r="B9" i="37"/>
  <c r="B7" i="37"/>
  <c r="B13" i="37" s="1"/>
  <c r="U17" i="36"/>
  <c r="U60" i="36" s="1"/>
  <c r="U11" i="36"/>
  <c r="U54" i="36" s="1"/>
  <c r="Q33" i="36"/>
  <c r="Q76" i="36" s="1"/>
  <c r="U30" i="36"/>
  <c r="U73" i="36" s="1"/>
  <c r="Q39" i="36"/>
  <c r="Q82" i="36" s="1"/>
  <c r="V13" i="8"/>
  <c r="U13" i="35" s="1"/>
  <c r="U65" i="35" s="1"/>
  <c r="V23" i="12"/>
  <c r="V38" i="12"/>
  <c r="V29" i="13"/>
  <c r="V29" i="8"/>
  <c r="U29" i="35" s="1"/>
  <c r="U81" i="35" s="1"/>
  <c r="AD7" i="8"/>
  <c r="V33" i="13"/>
  <c r="V31" i="13"/>
  <c r="V50" i="8"/>
  <c r="U50" i="35" s="1"/>
  <c r="U102" i="35" s="1"/>
  <c r="AD14" i="8"/>
  <c r="AD32" i="8"/>
  <c r="AD33" i="8"/>
  <c r="AB45" i="7"/>
  <c r="AD42" i="8"/>
  <c r="V10" i="12"/>
  <c r="AD34" i="8"/>
  <c r="AD51" i="8"/>
  <c r="AD39" i="8"/>
  <c r="AD15" i="8"/>
  <c r="AD10" i="8"/>
  <c r="AD11" i="8"/>
  <c r="AB49" i="7"/>
  <c r="AD27" i="8"/>
  <c r="AD30" i="8"/>
  <c r="AD22" i="8"/>
  <c r="R44" i="12"/>
  <c r="AD25" i="8"/>
  <c r="AB22" i="7"/>
  <c r="V25" i="12"/>
  <c r="V32" i="12"/>
  <c r="AD45" i="8"/>
  <c r="V43" i="8"/>
  <c r="U43" i="35" s="1"/>
  <c r="U95" i="35" s="1"/>
  <c r="M29" i="8"/>
  <c r="M29" i="35" s="1"/>
  <c r="M81" i="35" s="1"/>
  <c r="AD49" i="8"/>
  <c r="AD46" i="8"/>
  <c r="AD18" i="8"/>
  <c r="AD31" i="8"/>
  <c r="AD48" i="8"/>
  <c r="AD40" i="8"/>
  <c r="AD16" i="8"/>
  <c r="AD23" i="8"/>
  <c r="U44" i="12"/>
  <c r="AD6" i="8"/>
  <c r="V14" i="12"/>
  <c r="V24" i="13"/>
  <c r="AB14" i="7"/>
  <c r="AD13" i="8"/>
  <c r="AD44" i="8"/>
  <c r="V18" i="8"/>
  <c r="U18" i="35" s="1"/>
  <c r="U70" i="35" s="1"/>
  <c r="AD29" i="8"/>
  <c r="AD9" i="8"/>
  <c r="AD8" i="8"/>
  <c r="AD36" i="8"/>
  <c r="AD19" i="8"/>
  <c r="AD26" i="8"/>
  <c r="AD38" i="8"/>
  <c r="AD41" i="8"/>
  <c r="W53" i="8"/>
  <c r="V7" i="13"/>
  <c r="V5" i="8"/>
  <c r="U5" i="35" s="1"/>
  <c r="U57" i="35" s="1"/>
  <c r="M37" i="8"/>
  <c r="M37" i="35" s="1"/>
  <c r="M89" i="35" s="1"/>
  <c r="L49" i="10"/>
  <c r="L5" i="11" s="1"/>
  <c r="V44" i="11"/>
  <c r="U44" i="13"/>
  <c r="V10" i="13"/>
  <c r="V40" i="8"/>
  <c r="U40" i="35" s="1"/>
  <c r="U92" i="35" s="1"/>
  <c r="V27" i="8"/>
  <c r="U27" i="35" s="1"/>
  <c r="U79" i="35" s="1"/>
  <c r="V10" i="8"/>
  <c r="U10" i="35" s="1"/>
  <c r="U62" i="35" s="1"/>
  <c r="V35" i="8"/>
  <c r="U35" i="35" s="1"/>
  <c r="U87" i="35" s="1"/>
  <c r="L16" i="11"/>
  <c r="L7" i="11"/>
  <c r="L20" i="11"/>
  <c r="L29" i="11"/>
  <c r="L17" i="11"/>
  <c r="L19" i="11"/>
  <c r="L35" i="11"/>
  <c r="L37" i="11"/>
  <c r="L25" i="11"/>
  <c r="L41" i="11"/>
  <c r="L40" i="11"/>
  <c r="N56" i="9"/>
  <c r="N56" i="8"/>
  <c r="N56" i="7"/>
  <c r="E34" i="5"/>
  <c r="L46" i="12"/>
  <c r="L46" i="13"/>
  <c r="L46" i="11"/>
  <c r="L46" i="10"/>
  <c r="V7" i="12"/>
  <c r="V22" i="13"/>
  <c r="AA45" i="13"/>
  <c r="AA45" i="12"/>
  <c r="W49" i="12" s="1"/>
  <c r="AA45" i="11"/>
  <c r="AA45" i="10"/>
  <c r="U53" i="8"/>
  <c r="Y43" i="9"/>
  <c r="AB43" i="9" s="1"/>
  <c r="AB43" i="7"/>
  <c r="Y41" i="9"/>
  <c r="AB41" i="9" s="1"/>
  <c r="AB41" i="7"/>
  <c r="Y39" i="9"/>
  <c r="AB39" i="9" s="1"/>
  <c r="Y37" i="9"/>
  <c r="AB37" i="9" s="1"/>
  <c r="AB37" i="7"/>
  <c r="Y35" i="9"/>
  <c r="AB35" i="9" s="1"/>
  <c r="AB35" i="7"/>
  <c r="Y33" i="9"/>
  <c r="AB33" i="9" s="1"/>
  <c r="AB33" i="7"/>
  <c r="Y31" i="9"/>
  <c r="AB31" i="9" s="1"/>
  <c r="AB31" i="7"/>
  <c r="Y29" i="9"/>
  <c r="AB29" i="9" s="1"/>
  <c r="AB29" i="7"/>
  <c r="Y10" i="9"/>
  <c r="AB10" i="9" s="1"/>
  <c r="AB10" i="7"/>
  <c r="Y18" i="9"/>
  <c r="AB18" i="9" s="1"/>
  <c r="AB18" i="7"/>
  <c r="Y9" i="9"/>
  <c r="AB9" i="9" s="1"/>
  <c r="AB9" i="7"/>
  <c r="Y17" i="9"/>
  <c r="AB17" i="9" s="1"/>
  <c r="AB17" i="7"/>
  <c r="V27" i="13"/>
  <c r="M44" i="13"/>
  <c r="V5" i="12"/>
  <c r="S44" i="12"/>
  <c r="V28" i="12"/>
  <c r="V19" i="13"/>
  <c r="V41" i="12"/>
  <c r="V40" i="13"/>
  <c r="V42" i="12"/>
  <c r="Z5" i="13"/>
  <c r="Z44" i="13" s="1"/>
  <c r="Y44" i="13"/>
  <c r="V8" i="12"/>
  <c r="V37" i="13"/>
  <c r="V21" i="13"/>
  <c r="M27" i="8"/>
  <c r="M27" i="35" s="1"/>
  <c r="M79" i="35" s="1"/>
  <c r="M5" i="8"/>
  <c r="M5" i="35" s="1"/>
  <c r="M57" i="35" s="1"/>
  <c r="M7" i="8"/>
  <c r="M7" i="35" s="1"/>
  <c r="M59" i="35" s="1"/>
  <c r="Y27" i="9"/>
  <c r="AB27" i="9" s="1"/>
  <c r="AB27" i="7"/>
  <c r="Y24" i="9"/>
  <c r="AB24" i="9" s="1"/>
  <c r="AB24" i="7"/>
  <c r="Y22" i="9"/>
  <c r="AB22" i="9" s="1"/>
  <c r="Y44" i="9"/>
  <c r="AB44" i="9" s="1"/>
  <c r="AB44" i="7"/>
  <c r="Y42" i="9"/>
  <c r="AB42" i="9" s="1"/>
  <c r="AB42" i="7"/>
  <c r="Y40" i="9"/>
  <c r="AB40" i="9" s="1"/>
  <c r="AB40" i="7"/>
  <c r="Y38" i="9"/>
  <c r="AB38" i="9" s="1"/>
  <c r="Y25" i="9"/>
  <c r="AB25" i="9" s="1"/>
  <c r="AB25" i="7"/>
  <c r="Y12" i="9"/>
  <c r="AB12" i="9" s="1"/>
  <c r="AB12" i="7"/>
  <c r="Y20" i="9"/>
  <c r="AB20" i="9" s="1"/>
  <c r="AB20" i="7"/>
  <c r="Y11" i="9"/>
  <c r="AB11" i="9" s="1"/>
  <c r="AB11" i="7"/>
  <c r="Y19" i="9"/>
  <c r="AB19" i="9" s="1"/>
  <c r="AB19" i="7"/>
  <c r="V34" i="12"/>
  <c r="V27" i="12"/>
  <c r="O44" i="13"/>
  <c r="AD5" i="8"/>
  <c r="AC53" i="8"/>
  <c r="R13" i="8"/>
  <c r="R13" i="35" s="1"/>
  <c r="R65" i="35" s="1"/>
  <c r="R21" i="8"/>
  <c r="R37" i="8"/>
  <c r="R37" i="35" s="1"/>
  <c r="R89" i="35" s="1"/>
  <c r="R42" i="8"/>
  <c r="R42" i="35" s="1"/>
  <c r="R94" i="35" s="1"/>
  <c r="R47" i="8"/>
  <c r="R47" i="35" s="1"/>
  <c r="R99" i="35" s="1"/>
  <c r="R41" i="8"/>
  <c r="R41" i="35" s="1"/>
  <c r="R93" i="35" s="1"/>
  <c r="R7" i="8"/>
  <c r="R7" i="35" s="1"/>
  <c r="R59" i="35" s="1"/>
  <c r="R23" i="8"/>
  <c r="R8" i="8"/>
  <c r="R8" i="35" s="1"/>
  <c r="R60" i="35" s="1"/>
  <c r="R16" i="8"/>
  <c r="R16" i="35" s="1"/>
  <c r="R68" i="35" s="1"/>
  <c r="R44" i="8"/>
  <c r="R44" i="35" s="1"/>
  <c r="R96" i="35" s="1"/>
  <c r="R31" i="8"/>
  <c r="R31" i="35" s="1"/>
  <c r="R83" i="35" s="1"/>
  <c r="R43" i="8"/>
  <c r="R43" i="35" s="1"/>
  <c r="R95" i="35" s="1"/>
  <c r="R26" i="8"/>
  <c r="R9" i="8"/>
  <c r="R9" i="35" s="1"/>
  <c r="R61" i="35" s="1"/>
  <c r="R17" i="8"/>
  <c r="R17" i="35" s="1"/>
  <c r="R69" i="35" s="1"/>
  <c r="R28" i="8"/>
  <c r="R10" i="8"/>
  <c r="R10" i="35" s="1"/>
  <c r="R62" i="35" s="1"/>
  <c r="R18" i="8"/>
  <c r="R18" i="35" s="1"/>
  <c r="R70" i="35" s="1"/>
  <c r="R27" i="8"/>
  <c r="R46" i="8"/>
  <c r="R46" i="35" s="1"/>
  <c r="R98" i="35" s="1"/>
  <c r="R51" i="8"/>
  <c r="R51" i="35" s="1"/>
  <c r="R103" i="35" s="1"/>
  <c r="R29" i="8"/>
  <c r="R19" i="8"/>
  <c r="R19" i="35" s="1"/>
  <c r="R71" i="35" s="1"/>
  <c r="R35" i="8"/>
  <c r="R35" i="35" s="1"/>
  <c r="R87" i="35" s="1"/>
  <c r="R40" i="8"/>
  <c r="R40" i="35" s="1"/>
  <c r="R92" i="35" s="1"/>
  <c r="R45" i="8"/>
  <c r="R45" i="35" s="1"/>
  <c r="R97" i="35" s="1"/>
  <c r="R34" i="8"/>
  <c r="R34" i="35" s="1"/>
  <c r="R86" i="35" s="1"/>
  <c r="R5" i="8"/>
  <c r="R5" i="35" s="1"/>
  <c r="R57" i="35" s="1"/>
  <c r="R22" i="8"/>
  <c r="R11" i="8"/>
  <c r="R11" i="35" s="1"/>
  <c r="R63" i="35" s="1"/>
  <c r="R12" i="8"/>
  <c r="R12" i="35" s="1"/>
  <c r="R64" i="35" s="1"/>
  <c r="R48" i="8"/>
  <c r="R48" i="35" s="1"/>
  <c r="R100" i="35" s="1"/>
  <c r="R30" i="8"/>
  <c r="R30" i="35" s="1"/>
  <c r="R82" i="35" s="1"/>
  <c r="R6" i="8"/>
  <c r="R6" i="35" s="1"/>
  <c r="R58" i="35" s="1"/>
  <c r="R14" i="8"/>
  <c r="R14" i="35" s="1"/>
  <c r="R66" i="35" s="1"/>
  <c r="R32" i="8"/>
  <c r="R32" i="35" s="1"/>
  <c r="R84" i="35" s="1"/>
  <c r="R36" i="8"/>
  <c r="R36" i="35" s="1"/>
  <c r="R88" i="35" s="1"/>
  <c r="R15" i="8"/>
  <c r="R15" i="35" s="1"/>
  <c r="R67" i="35" s="1"/>
  <c r="R24" i="8"/>
  <c r="R39" i="8"/>
  <c r="R39" i="35" s="1"/>
  <c r="R91" i="35" s="1"/>
  <c r="R49" i="8"/>
  <c r="R49" i="35" s="1"/>
  <c r="R101" i="35" s="1"/>
  <c r="R33" i="8"/>
  <c r="R33" i="35" s="1"/>
  <c r="R85" i="35" s="1"/>
  <c r="R38" i="8"/>
  <c r="R38" i="35" s="1"/>
  <c r="R90" i="35" s="1"/>
  <c r="R50" i="8"/>
  <c r="R50" i="35" s="1"/>
  <c r="R102" i="35" s="1"/>
  <c r="R25" i="8"/>
  <c r="R25" i="35" s="1"/>
  <c r="R77" i="35" s="1"/>
  <c r="R20" i="8"/>
  <c r="R20" i="35" s="1"/>
  <c r="R72" i="35" s="1"/>
  <c r="V20" i="13"/>
  <c r="V19" i="12"/>
  <c r="V40" i="12"/>
  <c r="L48" i="11"/>
  <c r="V53" i="9"/>
  <c r="Z44" i="11"/>
  <c r="Q53" i="8"/>
  <c r="V9" i="13"/>
  <c r="V26" i="13"/>
  <c r="V37" i="12"/>
  <c r="V30" i="13"/>
  <c r="V21" i="12"/>
  <c r="M39" i="8"/>
  <c r="M39" i="35" s="1"/>
  <c r="M91" i="35" s="1"/>
  <c r="M10" i="8"/>
  <c r="M10" i="35" s="1"/>
  <c r="M62" i="35" s="1"/>
  <c r="M18" i="8"/>
  <c r="M18" i="35" s="1"/>
  <c r="M70" i="35" s="1"/>
  <c r="N55" i="9"/>
  <c r="N55" i="8"/>
  <c r="N55" i="7"/>
  <c r="T54" i="9"/>
  <c r="T54" i="8"/>
  <c r="T54" i="7"/>
  <c r="V16" i="13"/>
  <c r="V22" i="12"/>
  <c r="V24" i="12"/>
  <c r="AH53" i="8"/>
  <c r="Y50" i="9"/>
  <c r="AB50" i="9" s="1"/>
  <c r="AB50" i="7"/>
  <c r="Y48" i="9"/>
  <c r="AB48" i="9" s="1"/>
  <c r="AB48" i="7"/>
  <c r="Y46" i="9"/>
  <c r="AB46" i="9" s="1"/>
  <c r="AB46" i="7"/>
  <c r="Y28" i="9"/>
  <c r="AB28" i="9" s="1"/>
  <c r="AB28" i="7"/>
  <c r="Y26" i="9"/>
  <c r="AB26" i="9" s="1"/>
  <c r="Y23" i="9"/>
  <c r="AB23" i="9" s="1"/>
  <c r="AB23" i="7"/>
  <c r="Y21" i="9"/>
  <c r="AB21" i="9" s="1"/>
  <c r="Y6" i="9"/>
  <c r="AB6" i="9" s="1"/>
  <c r="Y14" i="9"/>
  <c r="AB14" i="9" s="1"/>
  <c r="Y5" i="9"/>
  <c r="Y53" i="7"/>
  <c r="Y58" i="7" s="1"/>
  <c r="Y43" i="8" s="1"/>
  <c r="Y13" i="9"/>
  <c r="AB13" i="9" s="1"/>
  <c r="V11" i="13"/>
  <c r="V36" i="13"/>
  <c r="V17" i="13"/>
  <c r="M44" i="12"/>
  <c r="O44" i="12"/>
  <c r="S6" i="8"/>
  <c r="S14" i="8"/>
  <c r="S32" i="8"/>
  <c r="S36" i="8"/>
  <c r="S15" i="8"/>
  <c r="S24" i="8"/>
  <c r="S39" i="8"/>
  <c r="S49" i="8"/>
  <c r="S38" i="8"/>
  <c r="S50" i="8"/>
  <c r="S25" i="8"/>
  <c r="S20" i="8"/>
  <c r="S48" i="8"/>
  <c r="S30" i="8"/>
  <c r="S33" i="8"/>
  <c r="S35" i="8"/>
  <c r="S40" i="8"/>
  <c r="S45" i="8"/>
  <c r="S34" i="8"/>
  <c r="S5" i="8"/>
  <c r="S13" i="8"/>
  <c r="S21" i="8"/>
  <c r="S22" i="8"/>
  <c r="S37" i="8"/>
  <c r="S42" i="8"/>
  <c r="S47" i="8"/>
  <c r="S41" i="8"/>
  <c r="S7" i="8"/>
  <c r="S23" i="8"/>
  <c r="S8" i="8"/>
  <c r="S16" i="8"/>
  <c r="S44" i="8"/>
  <c r="S31" i="8"/>
  <c r="S43" i="8"/>
  <c r="S26" i="8"/>
  <c r="S9" i="8"/>
  <c r="S17" i="8"/>
  <c r="S28" i="8"/>
  <c r="S10" i="8"/>
  <c r="S18" i="8"/>
  <c r="S27" i="8"/>
  <c r="S46" i="8"/>
  <c r="S51" i="8"/>
  <c r="S29" i="8"/>
  <c r="S11" i="8"/>
  <c r="S19" i="8"/>
  <c r="S12" i="8"/>
  <c r="V20" i="12"/>
  <c r="V42" i="13"/>
  <c r="O53" i="8"/>
  <c r="AB21" i="7"/>
  <c r="Z5" i="12"/>
  <c r="Z44" i="12" s="1"/>
  <c r="Y44" i="12"/>
  <c r="V9" i="12"/>
  <c r="V12" i="13"/>
  <c r="V26" i="12"/>
  <c r="V35" i="13"/>
  <c r="V15" i="13"/>
  <c r="M25" i="8"/>
  <c r="M25" i="35" s="1"/>
  <c r="M77" i="35" s="1"/>
  <c r="AB38" i="7"/>
  <c r="AB39" i="7"/>
  <c r="V16" i="12"/>
  <c r="X53" i="8"/>
  <c r="L53" i="8"/>
  <c r="Y36" i="9"/>
  <c r="AB36" i="9" s="1"/>
  <c r="AB36" i="7"/>
  <c r="Y34" i="9"/>
  <c r="AB34" i="9" s="1"/>
  <c r="AB34" i="7"/>
  <c r="Y32" i="9"/>
  <c r="AB32" i="9" s="1"/>
  <c r="AB32" i="7"/>
  <c r="Y30" i="9"/>
  <c r="AB30" i="9" s="1"/>
  <c r="Y51" i="8"/>
  <c r="AB51" i="8" s="1"/>
  <c r="Y51" i="9"/>
  <c r="AB51" i="9" s="1"/>
  <c r="AB51" i="7"/>
  <c r="Y49" i="9"/>
  <c r="AB49" i="9" s="1"/>
  <c r="Y47" i="9"/>
  <c r="AB47" i="9" s="1"/>
  <c r="AB47" i="7"/>
  <c r="Y45" i="9"/>
  <c r="AB45" i="9" s="1"/>
  <c r="Y8" i="9"/>
  <c r="AB8" i="9" s="1"/>
  <c r="AB8" i="7"/>
  <c r="Y16" i="9"/>
  <c r="AB16" i="9" s="1"/>
  <c r="AB16" i="7"/>
  <c r="Y7" i="9"/>
  <c r="AB7" i="9" s="1"/>
  <c r="AB7" i="7"/>
  <c r="Y15" i="8"/>
  <c r="AB15" i="8" s="1"/>
  <c r="Y15" i="9"/>
  <c r="AB15" i="9" s="1"/>
  <c r="AB15" i="7"/>
  <c r="V11" i="12"/>
  <c r="V36" i="12"/>
  <c r="V34" i="13"/>
  <c r="V17" i="12"/>
  <c r="F34" i="5"/>
  <c r="L47" i="13"/>
  <c r="L47" i="11"/>
  <c r="L47" i="12"/>
  <c r="L47" i="10"/>
  <c r="S44" i="13"/>
  <c r="V5" i="13"/>
  <c r="V28" i="13"/>
  <c r="V41" i="13"/>
  <c r="P53" i="8"/>
  <c r="V8" i="13"/>
  <c r="V12" i="12"/>
  <c r="V35" i="12"/>
  <c r="V30" i="12"/>
  <c r="V15" i="12"/>
  <c r="M49" i="8"/>
  <c r="M49" i="35" s="1"/>
  <c r="M101" i="35" s="1"/>
  <c r="M53" i="9"/>
  <c r="AB26" i="7"/>
  <c r="AB30" i="7"/>
  <c r="E10" i="5"/>
  <c r="N57" i="6"/>
  <c r="F10" i="5"/>
  <c r="N58" i="6"/>
  <c r="D46" i="5"/>
  <c r="D29" i="5"/>
  <c r="F29" i="5"/>
  <c r="G15" i="38" l="1"/>
  <c r="G14" i="38"/>
  <c r="L15" i="37"/>
  <c r="L14" i="37"/>
  <c r="I15" i="38"/>
  <c r="I14" i="38"/>
  <c r="Q15" i="37"/>
  <c r="Q14" i="37"/>
  <c r="G15" i="37"/>
  <c r="G14" i="37"/>
  <c r="K11" i="38"/>
  <c r="T15" i="37"/>
  <c r="T14" i="37"/>
  <c r="X15" i="35"/>
  <c r="X67" i="35" s="1"/>
  <c r="X43" i="35"/>
  <c r="X95" i="35" s="1"/>
  <c r="C11" i="37"/>
  <c r="C7" i="37"/>
  <c r="C13" i="37" s="1"/>
  <c r="C9" i="37"/>
  <c r="K9" i="38"/>
  <c r="M15" i="37"/>
  <c r="M14" i="37"/>
  <c r="H9" i="37"/>
  <c r="H11" i="37"/>
  <c r="H7" i="37"/>
  <c r="H13" i="37" s="1"/>
  <c r="J15" i="37"/>
  <c r="J14" i="37"/>
  <c r="F15" i="37"/>
  <c r="F14" i="37"/>
  <c r="G7" i="38"/>
  <c r="G13" i="38" s="1"/>
  <c r="E15" i="38"/>
  <c r="E14" i="38"/>
  <c r="Y32" i="8"/>
  <c r="Y7" i="8"/>
  <c r="K9" i="37"/>
  <c r="K11" i="37"/>
  <c r="K7" i="37"/>
  <c r="K13" i="37" s="1"/>
  <c r="B15" i="37"/>
  <c r="B14" i="37"/>
  <c r="X51" i="35"/>
  <c r="X103" i="35" s="1"/>
  <c r="G11" i="38"/>
  <c r="E15" i="37"/>
  <c r="E14" i="37"/>
  <c r="AB43" i="8"/>
  <c r="C15" i="38"/>
  <c r="C14" i="38"/>
  <c r="L11" i="11"/>
  <c r="E41" i="5"/>
  <c r="E21" i="5"/>
  <c r="Y16" i="8"/>
  <c r="Y45" i="8"/>
  <c r="Y49" i="8"/>
  <c r="Y36" i="8"/>
  <c r="Y47" i="8"/>
  <c r="X47" i="35" s="1"/>
  <c r="X99" i="35" s="1"/>
  <c r="Y34" i="8"/>
  <c r="X34" i="35" s="1"/>
  <c r="X86" i="35" s="1"/>
  <c r="AD53" i="8"/>
  <c r="L38" i="11"/>
  <c r="L33" i="11"/>
  <c r="L33" i="13" s="1"/>
  <c r="P33" i="13" s="1"/>
  <c r="L10" i="11"/>
  <c r="V53" i="8"/>
  <c r="Y8" i="8"/>
  <c r="X8" i="35" s="1"/>
  <c r="X60" i="35" s="1"/>
  <c r="Y30" i="8"/>
  <c r="X30" i="35" s="1"/>
  <c r="X82" i="35" s="1"/>
  <c r="L27" i="11"/>
  <c r="L32" i="11"/>
  <c r="L21" i="11"/>
  <c r="L39" i="11"/>
  <c r="L14" i="11"/>
  <c r="L30" i="11"/>
  <c r="L6" i="11"/>
  <c r="P6" i="11" s="1"/>
  <c r="AA6" i="11" s="1"/>
  <c r="L22" i="11"/>
  <c r="L23" i="11"/>
  <c r="L28" i="11"/>
  <c r="L28" i="12" s="1"/>
  <c r="P28" i="12" s="1"/>
  <c r="L13" i="11"/>
  <c r="L26" i="11"/>
  <c r="P26" i="11" s="1"/>
  <c r="AA26" i="11" s="1"/>
  <c r="L8" i="11"/>
  <c r="L9" i="11"/>
  <c r="L42" i="11"/>
  <c r="L36" i="11"/>
  <c r="L18" i="11"/>
  <c r="L15" i="11"/>
  <c r="L34" i="11"/>
  <c r="L31" i="11"/>
  <c r="L12" i="11"/>
  <c r="L24" i="11"/>
  <c r="AM58" i="6"/>
  <c r="AM56" i="9"/>
  <c r="AM56" i="8"/>
  <c r="AM56" i="7"/>
  <c r="S53" i="8"/>
  <c r="Y14" i="8"/>
  <c r="X14" i="35" s="1"/>
  <c r="X66" i="35" s="1"/>
  <c r="Y21" i="8"/>
  <c r="X21" i="35" s="1"/>
  <c r="X73" i="35" s="1"/>
  <c r="Y28" i="8"/>
  <c r="X28" i="35" s="1"/>
  <c r="X80" i="35" s="1"/>
  <c r="Y20" i="8"/>
  <c r="X20" i="35" s="1"/>
  <c r="X72" i="35" s="1"/>
  <c r="Y38" i="8"/>
  <c r="X38" i="35" s="1"/>
  <c r="X90" i="35" s="1"/>
  <c r="M53" i="8"/>
  <c r="Y10" i="8"/>
  <c r="X10" i="35" s="1"/>
  <c r="X62" i="35" s="1"/>
  <c r="Y35" i="8"/>
  <c r="X35" i="35" s="1"/>
  <c r="X87" i="35" s="1"/>
  <c r="Y41" i="8"/>
  <c r="X41" i="35" s="1"/>
  <c r="X93" i="35" s="1"/>
  <c r="P46" i="12"/>
  <c r="P46" i="13"/>
  <c r="P46" i="11"/>
  <c r="P46" i="10"/>
  <c r="P40" i="11"/>
  <c r="AA40" i="11" s="1"/>
  <c r="L40" i="12"/>
  <c r="P40" i="12" s="1"/>
  <c r="L40" i="13"/>
  <c r="P40" i="13" s="1"/>
  <c r="P41" i="11"/>
  <c r="AA41" i="11" s="1"/>
  <c r="L41" i="12"/>
  <c r="P41" i="12" s="1"/>
  <c r="L41" i="13"/>
  <c r="P41" i="13" s="1"/>
  <c r="P21" i="11"/>
  <c r="AA21" i="11" s="1"/>
  <c r="L21" i="12"/>
  <c r="P21" i="12" s="1"/>
  <c r="L21" i="13"/>
  <c r="P21" i="13" s="1"/>
  <c r="P19" i="11"/>
  <c r="AA19" i="11" s="1"/>
  <c r="L19" i="12"/>
  <c r="P19" i="12" s="1"/>
  <c r="L19" i="13"/>
  <c r="P19" i="13" s="1"/>
  <c r="L26" i="12"/>
  <c r="P26" i="12" s="1"/>
  <c r="L30" i="12"/>
  <c r="P30" i="12" s="1"/>
  <c r="L30" i="13"/>
  <c r="P30" i="13" s="1"/>
  <c r="P7" i="11"/>
  <c r="AA7" i="11" s="1"/>
  <c r="L7" i="12"/>
  <c r="P7" i="12" s="1"/>
  <c r="L7" i="13"/>
  <c r="P7" i="13" s="1"/>
  <c r="P11" i="11"/>
  <c r="AA11" i="11" s="1"/>
  <c r="L11" i="12"/>
  <c r="P11" i="12" s="1"/>
  <c r="L11" i="13"/>
  <c r="P11" i="13" s="1"/>
  <c r="AM56" i="6"/>
  <c r="AM54" i="9"/>
  <c r="AM54" i="7"/>
  <c r="AM54" i="8" s="1"/>
  <c r="V44" i="13"/>
  <c r="Y53" i="9"/>
  <c r="AB5" i="9"/>
  <c r="AB53" i="9" s="1"/>
  <c r="Y26" i="8"/>
  <c r="X26" i="35" s="1"/>
  <c r="X78" i="35" s="1"/>
  <c r="Y50" i="8"/>
  <c r="X50" i="35" s="1"/>
  <c r="X102" i="35" s="1"/>
  <c r="Y11" i="8"/>
  <c r="X11" i="35" s="1"/>
  <c r="X63" i="35" s="1"/>
  <c r="Y44" i="8"/>
  <c r="X44" i="35" s="1"/>
  <c r="X96" i="35" s="1"/>
  <c r="Y27" i="8"/>
  <c r="X27" i="35" s="1"/>
  <c r="X79" i="35" s="1"/>
  <c r="V44" i="12"/>
  <c r="Y18" i="8"/>
  <c r="X18" i="35" s="1"/>
  <c r="X70" i="35" s="1"/>
  <c r="Y33" i="8"/>
  <c r="X33" i="35" s="1"/>
  <c r="X85" i="35" s="1"/>
  <c r="Y39" i="8"/>
  <c r="X39" i="35" s="1"/>
  <c r="X91" i="35" s="1"/>
  <c r="P27" i="11"/>
  <c r="AA27" i="11" s="1"/>
  <c r="L27" i="13"/>
  <c r="P27" i="13" s="1"/>
  <c r="L27" i="12"/>
  <c r="P27" i="12" s="1"/>
  <c r="P25" i="11"/>
  <c r="AA25" i="11" s="1"/>
  <c r="L25" i="12"/>
  <c r="P25" i="12" s="1"/>
  <c r="L25" i="13"/>
  <c r="P25" i="13" s="1"/>
  <c r="P38" i="11"/>
  <c r="AA38" i="11" s="1"/>
  <c r="L38" i="12"/>
  <c r="P38" i="12" s="1"/>
  <c r="L38" i="13"/>
  <c r="P38" i="13" s="1"/>
  <c r="P28" i="11"/>
  <c r="AA28" i="11" s="1"/>
  <c r="L28" i="13"/>
  <c r="P28" i="13" s="1"/>
  <c r="P39" i="11"/>
  <c r="AA39" i="11" s="1"/>
  <c r="L39" i="13"/>
  <c r="P39" i="13" s="1"/>
  <c r="L39" i="12"/>
  <c r="P39" i="12" s="1"/>
  <c r="P17" i="11"/>
  <c r="AA17" i="11" s="1"/>
  <c r="L17" i="12"/>
  <c r="P17" i="12" s="1"/>
  <c r="L17" i="13"/>
  <c r="P17" i="13" s="1"/>
  <c r="P29" i="11"/>
  <c r="AA29" i="11" s="1"/>
  <c r="L29" i="12"/>
  <c r="P29" i="12" s="1"/>
  <c r="L29" i="13"/>
  <c r="P29" i="13" s="1"/>
  <c r="P8" i="11"/>
  <c r="AA8" i="11" s="1"/>
  <c r="L8" i="13"/>
  <c r="P8" i="13" s="1"/>
  <c r="P16" i="11"/>
  <c r="AA16" i="11" s="1"/>
  <c r="L16" i="12"/>
  <c r="P16" i="12" s="1"/>
  <c r="L16" i="13"/>
  <c r="P16" i="13" s="1"/>
  <c r="T58" i="6"/>
  <c r="T56" i="9"/>
  <c r="T56" i="8"/>
  <c r="T56" i="7"/>
  <c r="Y5" i="8"/>
  <c r="X5" i="35" s="1"/>
  <c r="X57" i="35" s="1"/>
  <c r="Y6" i="8"/>
  <c r="X6" i="35" s="1"/>
  <c r="X58" i="35" s="1"/>
  <c r="Y48" i="8"/>
  <c r="X48" i="35" s="1"/>
  <c r="X100" i="35" s="1"/>
  <c r="R53" i="8"/>
  <c r="S58" i="8" s="1"/>
  <c r="Y19" i="8"/>
  <c r="X19" i="35" s="1"/>
  <c r="X71" i="35" s="1"/>
  <c r="Y25" i="8"/>
  <c r="X25" i="35" s="1"/>
  <c r="X77" i="35" s="1"/>
  <c r="Y42" i="8"/>
  <c r="X42" i="35" s="1"/>
  <c r="X94" i="35" s="1"/>
  <c r="Y24" i="8"/>
  <c r="X24" i="35" s="1"/>
  <c r="X76" i="35" s="1"/>
  <c r="Y9" i="8"/>
  <c r="X9" i="35" s="1"/>
  <c r="X61" i="35" s="1"/>
  <c r="AB53" i="7"/>
  <c r="Y31" i="8"/>
  <c r="X31" i="35" s="1"/>
  <c r="X83" i="35" s="1"/>
  <c r="L42" i="13"/>
  <c r="P42" i="13" s="1"/>
  <c r="P36" i="11"/>
  <c r="AA36" i="11" s="1"/>
  <c r="L36" i="12"/>
  <c r="P36" i="12" s="1"/>
  <c r="L36" i="13"/>
  <c r="P36" i="13" s="1"/>
  <c r="P18" i="11"/>
  <c r="AA18" i="11" s="1"/>
  <c r="L18" i="12"/>
  <c r="P18" i="12" s="1"/>
  <c r="L18" i="13"/>
  <c r="P18" i="13" s="1"/>
  <c r="P15" i="11"/>
  <c r="AA15" i="11" s="1"/>
  <c r="L15" i="12"/>
  <c r="P15" i="12" s="1"/>
  <c r="L15" i="13"/>
  <c r="P15" i="13" s="1"/>
  <c r="P34" i="11"/>
  <c r="AA34" i="11" s="1"/>
  <c r="L34" i="12"/>
  <c r="P34" i="12" s="1"/>
  <c r="L34" i="13"/>
  <c r="P34" i="13" s="1"/>
  <c r="P31" i="11"/>
  <c r="AA31" i="11" s="1"/>
  <c r="L31" i="12"/>
  <c r="P31" i="12" s="1"/>
  <c r="L31" i="13"/>
  <c r="P31" i="13" s="1"/>
  <c r="P12" i="11"/>
  <c r="AA12" i="11" s="1"/>
  <c r="L12" i="13"/>
  <c r="P12" i="13" s="1"/>
  <c r="L12" i="12"/>
  <c r="P12" i="12" s="1"/>
  <c r="P24" i="11"/>
  <c r="AA24" i="11" s="1"/>
  <c r="L24" i="12"/>
  <c r="P24" i="12" s="1"/>
  <c r="L24" i="13"/>
  <c r="P24" i="13" s="1"/>
  <c r="P5" i="11"/>
  <c r="L5" i="12"/>
  <c r="L5" i="13"/>
  <c r="L5" i="36" s="1"/>
  <c r="L48" i="36" s="1"/>
  <c r="T57" i="6"/>
  <c r="T55" i="9"/>
  <c r="T55" i="8"/>
  <c r="T55" i="7"/>
  <c r="F45" i="5"/>
  <c r="P47" i="13"/>
  <c r="P47" i="11"/>
  <c r="P47" i="12"/>
  <c r="P47" i="10"/>
  <c r="Y13" i="8"/>
  <c r="X13" i="35" s="1"/>
  <c r="X65" i="35" s="1"/>
  <c r="Y23" i="8"/>
  <c r="X23" i="35" s="1"/>
  <c r="X75" i="35" s="1"/>
  <c r="Y46" i="8"/>
  <c r="X46" i="35" s="1"/>
  <c r="X98" i="35" s="1"/>
  <c r="Y12" i="8"/>
  <c r="X12" i="35" s="1"/>
  <c r="X64" i="35" s="1"/>
  <c r="Y40" i="8"/>
  <c r="X40" i="35" s="1"/>
  <c r="X92" i="35" s="1"/>
  <c r="Y22" i="8"/>
  <c r="X22" i="35" s="1"/>
  <c r="X74" i="35" s="1"/>
  <c r="Y17" i="8"/>
  <c r="X17" i="35" s="1"/>
  <c r="X69" i="35" s="1"/>
  <c r="Y29" i="8"/>
  <c r="X29" i="35" s="1"/>
  <c r="X81" i="35" s="1"/>
  <c r="Y37" i="8"/>
  <c r="X37" i="35" s="1"/>
  <c r="X89" i="35" s="1"/>
  <c r="P22" i="11"/>
  <c r="AA22" i="11" s="1"/>
  <c r="L22" i="12"/>
  <c r="P22" i="12" s="1"/>
  <c r="L22" i="13"/>
  <c r="P22" i="13" s="1"/>
  <c r="P32" i="11"/>
  <c r="AA32" i="11" s="1"/>
  <c r="L32" i="12"/>
  <c r="P32" i="12" s="1"/>
  <c r="L32" i="13"/>
  <c r="P32" i="13" s="1"/>
  <c r="P37" i="11"/>
  <c r="AA37" i="11" s="1"/>
  <c r="L37" i="12"/>
  <c r="P37" i="12" s="1"/>
  <c r="L37" i="13"/>
  <c r="P37" i="13" s="1"/>
  <c r="P35" i="11"/>
  <c r="AA35" i="11" s="1"/>
  <c r="L35" i="13"/>
  <c r="P35" i="13" s="1"/>
  <c r="L35" i="12"/>
  <c r="P35" i="12" s="1"/>
  <c r="P13" i="11"/>
  <c r="AA13" i="11" s="1"/>
  <c r="L13" i="12"/>
  <c r="P13" i="12" s="1"/>
  <c r="L13" i="13"/>
  <c r="P13" i="13" s="1"/>
  <c r="P14" i="11"/>
  <c r="AA14" i="11" s="1"/>
  <c r="L14" i="13"/>
  <c r="P14" i="13" s="1"/>
  <c r="L14" i="12"/>
  <c r="P14" i="12" s="1"/>
  <c r="P20" i="11"/>
  <c r="AA20" i="11" s="1"/>
  <c r="L20" i="12"/>
  <c r="P20" i="12" s="1"/>
  <c r="L20" i="13"/>
  <c r="P20" i="13" s="1"/>
  <c r="P10" i="11"/>
  <c r="AA10" i="11" s="1"/>
  <c r="L10" i="13"/>
  <c r="P10" i="13" s="1"/>
  <c r="L10" i="12"/>
  <c r="P10" i="12" s="1"/>
  <c r="P9" i="11"/>
  <c r="AA9" i="11" s="1"/>
  <c r="L9" i="12"/>
  <c r="P9" i="12" s="1"/>
  <c r="L9" i="13"/>
  <c r="P9" i="13" s="1"/>
  <c r="F46" i="5"/>
  <c r="L20" i="36" l="1"/>
  <c r="L63" i="36" s="1"/>
  <c r="L44" i="11"/>
  <c r="L26" i="13"/>
  <c r="P26" i="13" s="1"/>
  <c r="L36" i="36"/>
  <c r="L79" i="36" s="1"/>
  <c r="L22" i="36"/>
  <c r="L65" i="36" s="1"/>
  <c r="L37" i="36"/>
  <c r="L80" i="36" s="1"/>
  <c r="K15" i="38"/>
  <c r="K14" i="38"/>
  <c r="L42" i="12"/>
  <c r="P42" i="12" s="1"/>
  <c r="L24" i="36"/>
  <c r="L67" i="36" s="1"/>
  <c r="L9" i="36"/>
  <c r="L52" i="36" s="1"/>
  <c r="L30" i="36"/>
  <c r="L73" i="36" s="1"/>
  <c r="AB49" i="8"/>
  <c r="X49" i="35"/>
  <c r="X101" i="35" s="1"/>
  <c r="L17" i="36"/>
  <c r="L60" i="36" s="1"/>
  <c r="L16" i="36"/>
  <c r="L59" i="36" s="1"/>
  <c r="AB36" i="8"/>
  <c r="X36" i="35"/>
  <c r="X88" i="35" s="1"/>
  <c r="P42" i="11"/>
  <c r="AA42" i="11" s="1"/>
  <c r="L12" i="36"/>
  <c r="L55" i="36" s="1"/>
  <c r="L8" i="36"/>
  <c r="L51" i="36" s="1"/>
  <c r="L14" i="36"/>
  <c r="L57" i="36" s="1"/>
  <c r="L10" i="36"/>
  <c r="L53" i="36" s="1"/>
  <c r="AB45" i="8"/>
  <c r="X45" i="35"/>
  <c r="X97" i="35" s="1"/>
  <c r="H15" i="37"/>
  <c r="H14" i="37"/>
  <c r="L25" i="36"/>
  <c r="L68" i="36" s="1"/>
  <c r="L31" i="36"/>
  <c r="L74" i="36" s="1"/>
  <c r="L26" i="36"/>
  <c r="L69" i="36" s="1"/>
  <c r="L39" i="36"/>
  <c r="L82" i="36" s="1"/>
  <c r="AB16" i="8"/>
  <c r="X16" i="35"/>
  <c r="X68" i="35" s="1"/>
  <c r="K15" i="37"/>
  <c r="K14" i="37"/>
  <c r="AB7" i="8"/>
  <c r="X7" i="35"/>
  <c r="X59" i="35" s="1"/>
  <c r="N7" i="37" s="1"/>
  <c r="N13" i="37" s="1"/>
  <c r="C15" i="37"/>
  <c r="C14" i="37"/>
  <c r="L34" i="36"/>
  <c r="L77" i="36" s="1"/>
  <c r="L13" i="36"/>
  <c r="L56" i="36" s="1"/>
  <c r="L21" i="36"/>
  <c r="L64" i="36" s="1"/>
  <c r="L38" i="36"/>
  <c r="L81" i="36" s="1"/>
  <c r="L35" i="36"/>
  <c r="L78" i="36" s="1"/>
  <c r="AB32" i="8"/>
  <c r="X32" i="35"/>
  <c r="X84" i="35" s="1"/>
  <c r="L40" i="36"/>
  <c r="L83" i="36" s="1"/>
  <c r="N9" i="37"/>
  <c r="N11" i="37"/>
  <c r="L6" i="12"/>
  <c r="P6" i="12" s="1"/>
  <c r="L15" i="36"/>
  <c r="L58" i="36" s="1"/>
  <c r="L28" i="36"/>
  <c r="L71" i="36" s="1"/>
  <c r="L32" i="36"/>
  <c r="L75" i="36" s="1"/>
  <c r="L19" i="36"/>
  <c r="L62" i="36" s="1"/>
  <c r="L7" i="36"/>
  <c r="L50" i="36" s="1"/>
  <c r="L6" i="13"/>
  <c r="P6" i="13" s="1"/>
  <c r="P30" i="11"/>
  <c r="AA30" i="11" s="1"/>
  <c r="L18" i="36"/>
  <c r="L61" i="36" s="1"/>
  <c r="L27" i="36"/>
  <c r="L70" i="36" s="1"/>
  <c r="L11" i="36"/>
  <c r="L54" i="36" s="1"/>
  <c r="L41" i="36"/>
  <c r="L84" i="36" s="1"/>
  <c r="L29" i="36"/>
  <c r="L72" i="36" s="1"/>
  <c r="L23" i="13"/>
  <c r="P23" i="13" s="1"/>
  <c r="AB47" i="8"/>
  <c r="L8" i="12"/>
  <c r="P8" i="12" s="1"/>
  <c r="L33" i="12"/>
  <c r="P33" i="12" s="1"/>
  <c r="L23" i="12"/>
  <c r="P23" i="12" s="1"/>
  <c r="P33" i="11"/>
  <c r="AA33" i="11" s="1"/>
  <c r="P23" i="11"/>
  <c r="AA23" i="11" s="1"/>
  <c r="AB34" i="8"/>
  <c r="AB24" i="8"/>
  <c r="AB23" i="8"/>
  <c r="AB37" i="8"/>
  <c r="AB40" i="8"/>
  <c r="AB13" i="8"/>
  <c r="AB9" i="8"/>
  <c r="AB19" i="8"/>
  <c r="AB33" i="8"/>
  <c r="AB44" i="8"/>
  <c r="AB41" i="8"/>
  <c r="AB38" i="8"/>
  <c r="AB14" i="8"/>
  <c r="AB30" i="8"/>
  <c r="AB12" i="8"/>
  <c r="AB18" i="8"/>
  <c r="AB11" i="8"/>
  <c r="AB35" i="8"/>
  <c r="AB20" i="8"/>
  <c r="AB8" i="8"/>
  <c r="AB29" i="8"/>
  <c r="AB17" i="8"/>
  <c r="AB46" i="8"/>
  <c r="AB31" i="8"/>
  <c r="AB42" i="8"/>
  <c r="AB48" i="8"/>
  <c r="AB50" i="8"/>
  <c r="AB10" i="8"/>
  <c r="AB28" i="8"/>
  <c r="AB22" i="8"/>
  <c r="AB25" i="8"/>
  <c r="AB6" i="8"/>
  <c r="AB39" i="8"/>
  <c r="AB27" i="8"/>
  <c r="AB26" i="8"/>
  <c r="AB21" i="8"/>
  <c r="W37" i="13"/>
  <c r="E42" i="5"/>
  <c r="W46" i="12"/>
  <c r="W46" i="13"/>
  <c r="W46" i="10"/>
  <c r="W46" i="11"/>
  <c r="W49" i="11" s="1"/>
  <c r="W37" i="12" s="1"/>
  <c r="X37" i="12" s="1"/>
  <c r="AA37" i="12" s="1"/>
  <c r="W9" i="13"/>
  <c r="W13" i="13"/>
  <c r="W22" i="13"/>
  <c r="P5" i="13"/>
  <c r="L44" i="13"/>
  <c r="W12" i="13"/>
  <c r="W18" i="13"/>
  <c r="W6" i="13"/>
  <c r="W39" i="13"/>
  <c r="W27" i="13"/>
  <c r="W30" i="13"/>
  <c r="W21" i="12"/>
  <c r="X21" i="12" s="1"/>
  <c r="W21" i="13"/>
  <c r="W14" i="13"/>
  <c r="W32" i="13"/>
  <c r="P5" i="12"/>
  <c r="L44" i="12"/>
  <c r="W24" i="13"/>
  <c r="W15" i="13"/>
  <c r="Y53" i="8"/>
  <c r="AB5" i="8"/>
  <c r="W16" i="13"/>
  <c r="W17" i="13"/>
  <c r="W25" i="13"/>
  <c r="W7" i="12"/>
  <c r="X7" i="12" s="1"/>
  <c r="AA7" i="12" s="1"/>
  <c r="W7" i="13"/>
  <c r="W19" i="13"/>
  <c r="W40" i="13"/>
  <c r="AA47" i="13"/>
  <c r="AA47" i="12"/>
  <c r="AA47" i="10"/>
  <c r="AA47" i="11"/>
  <c r="AA5" i="11"/>
  <c r="W34" i="13"/>
  <c r="W42" i="13"/>
  <c r="S48" i="9"/>
  <c r="S48" i="35" s="1"/>
  <c r="S100" i="35" s="1"/>
  <c r="S30" i="9"/>
  <c r="S30" i="35" s="1"/>
  <c r="S82" i="35" s="1"/>
  <c r="S35" i="9"/>
  <c r="S35" i="35" s="1"/>
  <c r="S87" i="35" s="1"/>
  <c r="S40" i="9"/>
  <c r="S40" i="35" s="1"/>
  <c r="S92" i="35" s="1"/>
  <c r="S45" i="9"/>
  <c r="S45" i="35" s="1"/>
  <c r="S97" i="35" s="1"/>
  <c r="S34" i="9"/>
  <c r="S34" i="35" s="1"/>
  <c r="S86" i="35" s="1"/>
  <c r="S5" i="9"/>
  <c r="S5" i="35" s="1"/>
  <c r="S57" i="35" s="1"/>
  <c r="S22" i="9"/>
  <c r="S22" i="35" s="1"/>
  <c r="S74" i="35" s="1"/>
  <c r="S46" i="9"/>
  <c r="S46" i="35" s="1"/>
  <c r="S98" i="35" s="1"/>
  <c r="S51" i="9"/>
  <c r="S51" i="35" s="1"/>
  <c r="S103" i="35" s="1"/>
  <c r="S33" i="9"/>
  <c r="S33" i="35" s="1"/>
  <c r="S85" i="35" s="1"/>
  <c r="S38" i="9"/>
  <c r="S38" i="35" s="1"/>
  <c r="S90" i="35" s="1"/>
  <c r="S29" i="9"/>
  <c r="S29" i="35" s="1"/>
  <c r="S81" i="35" s="1"/>
  <c r="S11" i="9"/>
  <c r="S11" i="35" s="1"/>
  <c r="S63" i="35" s="1"/>
  <c r="S19" i="9"/>
  <c r="S19" i="35" s="1"/>
  <c r="S71" i="35" s="1"/>
  <c r="S25" i="9"/>
  <c r="S25" i="35" s="1"/>
  <c r="S77" i="35" s="1"/>
  <c r="S12" i="9"/>
  <c r="S12" i="35" s="1"/>
  <c r="S64" i="35" s="1"/>
  <c r="S20" i="9"/>
  <c r="S20" i="35" s="1"/>
  <c r="S72" i="35" s="1"/>
  <c r="S13" i="9"/>
  <c r="S13" i="35" s="1"/>
  <c r="S65" i="35" s="1"/>
  <c r="S21" i="9"/>
  <c r="S21" i="35" s="1"/>
  <c r="S73" i="35" s="1"/>
  <c r="S6" i="9"/>
  <c r="S6" i="35" s="1"/>
  <c r="S58" i="35" s="1"/>
  <c r="S14" i="9"/>
  <c r="S14" i="35" s="1"/>
  <c r="S66" i="35" s="1"/>
  <c r="S32" i="9"/>
  <c r="S32" i="35" s="1"/>
  <c r="S84" i="35" s="1"/>
  <c r="S37" i="9"/>
  <c r="S37" i="35" s="1"/>
  <c r="S89" i="35" s="1"/>
  <c r="S42" i="9"/>
  <c r="S42" i="35" s="1"/>
  <c r="S94" i="35" s="1"/>
  <c r="S36" i="9"/>
  <c r="S36" i="35" s="1"/>
  <c r="S88" i="35" s="1"/>
  <c r="S41" i="9"/>
  <c r="S41" i="35" s="1"/>
  <c r="S93" i="35" s="1"/>
  <c r="S7" i="9"/>
  <c r="S7" i="35" s="1"/>
  <c r="S59" i="35" s="1"/>
  <c r="S15" i="9"/>
  <c r="S15" i="35" s="1"/>
  <c r="S67" i="35" s="1"/>
  <c r="S23" i="9"/>
  <c r="S23" i="35" s="1"/>
  <c r="S75" i="35" s="1"/>
  <c r="S8" i="9"/>
  <c r="S8" i="35" s="1"/>
  <c r="S60" i="35" s="1"/>
  <c r="S16" i="9"/>
  <c r="S16" i="35" s="1"/>
  <c r="S68" i="35" s="1"/>
  <c r="S24" i="9"/>
  <c r="S24" i="35" s="1"/>
  <c r="S76" i="35" s="1"/>
  <c r="S39" i="9"/>
  <c r="S39" i="35" s="1"/>
  <c r="S91" i="35" s="1"/>
  <c r="S44" i="9"/>
  <c r="S44" i="35" s="1"/>
  <c r="S96" i="35" s="1"/>
  <c r="S49" i="9"/>
  <c r="S49" i="35" s="1"/>
  <c r="S101" i="35" s="1"/>
  <c r="S31" i="9"/>
  <c r="S31" i="35" s="1"/>
  <c r="S83" i="35" s="1"/>
  <c r="S43" i="9"/>
  <c r="S43" i="35" s="1"/>
  <c r="S95" i="35" s="1"/>
  <c r="S26" i="9"/>
  <c r="S26" i="35" s="1"/>
  <c r="S78" i="35" s="1"/>
  <c r="S9" i="9"/>
  <c r="S9" i="35" s="1"/>
  <c r="S61" i="35" s="1"/>
  <c r="S17" i="9"/>
  <c r="S17" i="35" s="1"/>
  <c r="S69" i="35" s="1"/>
  <c r="S28" i="9"/>
  <c r="S28" i="35" s="1"/>
  <c r="S80" i="35" s="1"/>
  <c r="S10" i="9"/>
  <c r="S10" i="35" s="1"/>
  <c r="S62" i="35" s="1"/>
  <c r="S18" i="9"/>
  <c r="S18" i="35" s="1"/>
  <c r="S70" i="35" s="1"/>
  <c r="S27" i="9"/>
  <c r="S27" i="35" s="1"/>
  <c r="S79" i="35" s="1"/>
  <c r="S50" i="9"/>
  <c r="S50" i="35" s="1"/>
  <c r="S102" i="35" s="1"/>
  <c r="S47" i="9"/>
  <c r="S47" i="35" s="1"/>
  <c r="S99" i="35" s="1"/>
  <c r="W29" i="13"/>
  <c r="W38" i="12"/>
  <c r="X38" i="12" s="1"/>
  <c r="AA38" i="12" s="1"/>
  <c r="W38" i="13"/>
  <c r="W11" i="12"/>
  <c r="X11" i="12" s="1"/>
  <c r="AA11" i="12" s="1"/>
  <c r="W11" i="13"/>
  <c r="W33" i="12"/>
  <c r="X33" i="12" s="1"/>
  <c r="AA33" i="12" s="1"/>
  <c r="W33" i="13"/>
  <c r="W41" i="12"/>
  <c r="X41" i="12" s="1"/>
  <c r="AA41" i="12" s="1"/>
  <c r="W41" i="13"/>
  <c r="W20" i="12"/>
  <c r="X20" i="12" s="1"/>
  <c r="AA20" i="12" s="1"/>
  <c r="W20" i="13"/>
  <c r="AE55" i="9"/>
  <c r="AE55" i="8"/>
  <c r="AO54" i="8" s="1"/>
  <c r="AE55" i="7"/>
  <c r="W10" i="13"/>
  <c r="W35" i="13"/>
  <c r="W31" i="12"/>
  <c r="X31" i="12" s="1"/>
  <c r="AA31" i="12" s="1"/>
  <c r="W31" i="13"/>
  <c r="W36" i="12"/>
  <c r="X36" i="12" s="1"/>
  <c r="AA36" i="12" s="1"/>
  <c r="W36" i="13"/>
  <c r="T36" i="36" s="1"/>
  <c r="T79" i="36" s="1"/>
  <c r="W8" i="13"/>
  <c r="W28" i="12"/>
  <c r="X28" i="12" s="1"/>
  <c r="AA28" i="12" s="1"/>
  <c r="W28" i="13"/>
  <c r="T28" i="36" s="1"/>
  <c r="T71" i="36" s="1"/>
  <c r="W26" i="12"/>
  <c r="X26" i="12" s="1"/>
  <c r="AA26" i="12" s="1"/>
  <c r="W26" i="13"/>
  <c r="T26" i="36" s="1"/>
  <c r="T69" i="36" s="1"/>
  <c r="AA21" i="12"/>
  <c r="W23" i="13"/>
  <c r="E23" i="5"/>
  <c r="AE57" i="6"/>
  <c r="N15" i="37" l="1"/>
  <c r="N14" i="37"/>
  <c r="T33" i="36"/>
  <c r="T76" i="36" s="1"/>
  <c r="I9" i="37"/>
  <c r="I11" i="37"/>
  <c r="I7" i="37"/>
  <c r="I13" i="37" s="1"/>
  <c r="W40" i="12"/>
  <c r="X40" i="12" s="1"/>
  <c r="AA40" i="12" s="1"/>
  <c r="W32" i="12"/>
  <c r="X32" i="12" s="1"/>
  <c r="AA32" i="12" s="1"/>
  <c r="W22" i="12"/>
  <c r="X22" i="12" s="1"/>
  <c r="AA22" i="12" s="1"/>
  <c r="T37" i="36"/>
  <c r="T80" i="36" s="1"/>
  <c r="L23" i="36"/>
  <c r="L66" i="36" s="1"/>
  <c r="L33" i="36"/>
  <c r="L76" i="36" s="1"/>
  <c r="L6" i="36"/>
  <c r="L49" i="36" s="1"/>
  <c r="T19" i="36"/>
  <c r="T62" i="36" s="1"/>
  <c r="W6" i="12"/>
  <c r="X6" i="12" s="1"/>
  <c r="AA6" i="12" s="1"/>
  <c r="T13" i="36"/>
  <c r="T56" i="36" s="1"/>
  <c r="L42" i="36"/>
  <c r="L85" i="36" s="1"/>
  <c r="T11" i="36"/>
  <c r="T54" i="36" s="1"/>
  <c r="T7" i="36"/>
  <c r="T50" i="36" s="1"/>
  <c r="T21" i="36"/>
  <c r="T64" i="36" s="1"/>
  <c r="T18" i="36"/>
  <c r="T61" i="36" s="1"/>
  <c r="T12" i="36"/>
  <c r="T55" i="36" s="1"/>
  <c r="T31" i="36"/>
  <c r="T74" i="36" s="1"/>
  <c r="T20" i="36"/>
  <c r="T63" i="36" s="1"/>
  <c r="T38" i="36"/>
  <c r="T81" i="36" s="1"/>
  <c r="T25" i="36"/>
  <c r="T68" i="36" s="1"/>
  <c r="W24" i="12"/>
  <c r="X24" i="12" s="1"/>
  <c r="AA24" i="12" s="1"/>
  <c r="W12" i="12"/>
  <c r="X12" i="12" s="1"/>
  <c r="AA12" i="12" s="1"/>
  <c r="T41" i="36"/>
  <c r="T84" i="36" s="1"/>
  <c r="W17" i="12"/>
  <c r="X17" i="12" s="1"/>
  <c r="AA17" i="12" s="1"/>
  <c r="W27" i="12"/>
  <c r="X27" i="12" s="1"/>
  <c r="AA27" i="12" s="1"/>
  <c r="P44" i="11"/>
  <c r="W19" i="12"/>
  <c r="X19" i="12" s="1"/>
  <c r="AA19" i="12" s="1"/>
  <c r="W25" i="12"/>
  <c r="X25" i="12" s="1"/>
  <c r="AA25" i="12" s="1"/>
  <c r="W15" i="12"/>
  <c r="X15" i="12" s="1"/>
  <c r="AA15" i="12" s="1"/>
  <c r="W30" i="12"/>
  <c r="X30" i="12" s="1"/>
  <c r="AA30" i="12" s="1"/>
  <c r="W39" i="12"/>
  <c r="X39" i="12" s="1"/>
  <c r="AA39" i="12" s="1"/>
  <c r="W18" i="12"/>
  <c r="X18" i="12" s="1"/>
  <c r="AA18" i="12" s="1"/>
  <c r="W13" i="12"/>
  <c r="X13" i="12" s="1"/>
  <c r="AA13" i="12" s="1"/>
  <c r="W23" i="12"/>
  <c r="X23" i="12" s="1"/>
  <c r="AA23" i="12" s="1"/>
  <c r="W8" i="12"/>
  <c r="X8" i="12" s="1"/>
  <c r="AA8" i="12" s="1"/>
  <c r="W35" i="12"/>
  <c r="X35" i="12" s="1"/>
  <c r="AA35" i="12" s="1"/>
  <c r="W10" i="12"/>
  <c r="X10" i="12" s="1"/>
  <c r="AA10" i="12" s="1"/>
  <c r="W29" i="12"/>
  <c r="X29" i="12" s="1"/>
  <c r="AA29" i="12" s="1"/>
  <c r="W34" i="12"/>
  <c r="X34" i="12" s="1"/>
  <c r="AA34" i="12" s="1"/>
  <c r="AB53" i="8"/>
  <c r="W42" i="12"/>
  <c r="X42" i="12" s="1"/>
  <c r="AA42" i="12" s="1"/>
  <c r="W16" i="12"/>
  <c r="X16" i="12" s="1"/>
  <c r="AA16" i="12" s="1"/>
  <c r="W14" i="12"/>
  <c r="X14" i="12" s="1"/>
  <c r="AA14" i="12" s="1"/>
  <c r="X10" i="13"/>
  <c r="AA10" i="13" s="1"/>
  <c r="S7" i="40" s="1"/>
  <c r="X11" i="13"/>
  <c r="AA11" i="13" s="1"/>
  <c r="S9" i="40" s="1"/>
  <c r="X28" i="13"/>
  <c r="AA28" i="13" s="1"/>
  <c r="X36" i="13"/>
  <c r="AA36" i="13" s="1"/>
  <c r="S27" i="40" s="1"/>
  <c r="X31" i="13"/>
  <c r="AA31" i="13" s="1"/>
  <c r="S24" i="40" s="1"/>
  <c r="X20" i="13"/>
  <c r="AA20" i="13" s="1"/>
  <c r="X33" i="13"/>
  <c r="AA33" i="13" s="1"/>
  <c r="X29" i="13"/>
  <c r="AA29" i="13" s="1"/>
  <c r="S22" i="40" s="1"/>
  <c r="X34" i="13"/>
  <c r="AA34" i="13" s="1"/>
  <c r="X23" i="13"/>
  <c r="AA23" i="13" s="1"/>
  <c r="S14" i="40" s="1"/>
  <c r="X41" i="13"/>
  <c r="AA41" i="13" s="1"/>
  <c r="S32" i="40" s="1"/>
  <c r="X26" i="13"/>
  <c r="AA26" i="13" s="1"/>
  <c r="S18" i="40" s="1"/>
  <c r="X38" i="13"/>
  <c r="AA38" i="13" s="1"/>
  <c r="S29" i="40" s="1"/>
  <c r="X40" i="13"/>
  <c r="AA40" i="13" s="1"/>
  <c r="S30" i="40" s="1"/>
  <c r="X7" i="13"/>
  <c r="AA7" i="13" s="1"/>
  <c r="X17" i="13"/>
  <c r="AA17" i="13" s="1"/>
  <c r="S10" i="40" s="1"/>
  <c r="X24" i="13"/>
  <c r="AA24" i="13" s="1"/>
  <c r="X32" i="13"/>
  <c r="AA32" i="13" s="1"/>
  <c r="X21" i="13"/>
  <c r="AA21" i="13" s="1"/>
  <c r="S12" i="40" s="1"/>
  <c r="X27" i="13"/>
  <c r="AA27" i="13" s="1"/>
  <c r="S19" i="40" s="1"/>
  <c r="X6" i="13"/>
  <c r="AA6" i="13" s="1"/>
  <c r="X12" i="13"/>
  <c r="AA12" i="13" s="1"/>
  <c r="S11" i="40" s="1"/>
  <c r="X22" i="13"/>
  <c r="AA22" i="13" s="1"/>
  <c r="S13" i="40" s="1"/>
  <c r="X9" i="13"/>
  <c r="AA9" i="13" s="1"/>
  <c r="S6" i="40" s="1"/>
  <c r="X42" i="13"/>
  <c r="AA42" i="13" s="1"/>
  <c r="S33" i="40" s="1"/>
  <c r="X8" i="13"/>
  <c r="AA8" i="13" s="1"/>
  <c r="S5" i="40" s="1"/>
  <c r="X35" i="13"/>
  <c r="AA35" i="13" s="1"/>
  <c r="X19" i="13"/>
  <c r="AA19" i="13" s="1"/>
  <c r="X25" i="13"/>
  <c r="AA25" i="13" s="1"/>
  <c r="S17" i="40" s="1"/>
  <c r="X16" i="13"/>
  <c r="AA16" i="13" s="1"/>
  <c r="S8" i="40" s="1"/>
  <c r="X15" i="13"/>
  <c r="AA15" i="13" s="1"/>
  <c r="AA270" i="16" s="1"/>
  <c r="AG270" i="16" s="1"/>
  <c r="X14" i="13"/>
  <c r="AA14" i="13" s="1"/>
  <c r="AA258" i="16" s="1"/>
  <c r="AG258" i="16" s="1"/>
  <c r="X30" i="13"/>
  <c r="AA30" i="13" s="1"/>
  <c r="S23" i="40" s="1"/>
  <c r="X39" i="13"/>
  <c r="AA39" i="13" s="1"/>
  <c r="X18" i="13"/>
  <c r="AA18" i="13" s="1"/>
  <c r="X13" i="13"/>
  <c r="AA13" i="13" s="1"/>
  <c r="AA252" i="16" s="1"/>
  <c r="AG252" i="16" s="1"/>
  <c r="X37" i="13"/>
  <c r="AA37" i="13" s="1"/>
  <c r="S28" i="40" s="1"/>
  <c r="AA290" i="16"/>
  <c r="AG290" i="16" s="1"/>
  <c r="AA336" i="16"/>
  <c r="AG336" i="16" s="1"/>
  <c r="AA308" i="16"/>
  <c r="AG308" i="16" s="1"/>
  <c r="AA163" i="17"/>
  <c r="AA327" i="16"/>
  <c r="AG327" i="16" s="1"/>
  <c r="AA195" i="17"/>
  <c r="AA154" i="17"/>
  <c r="AA138" i="17"/>
  <c r="AA323" i="16"/>
  <c r="AG323" i="16" s="1"/>
  <c r="AA35" i="16"/>
  <c r="L35" i="33" s="1"/>
  <c r="O35" i="33" s="1"/>
  <c r="AA34" i="16"/>
  <c r="L34" i="33" s="1"/>
  <c r="O34" i="33" s="1"/>
  <c r="AA353" i="16"/>
  <c r="L353" i="33" s="1"/>
  <c r="O353" i="33" s="1"/>
  <c r="AA348" i="16"/>
  <c r="L348" i="33" s="1"/>
  <c r="O348" i="33" s="1"/>
  <c r="AA351" i="16"/>
  <c r="L351" i="33" s="1"/>
  <c r="O351" i="33" s="1"/>
  <c r="AA262" i="16"/>
  <c r="AG262" i="16" s="1"/>
  <c r="AA121" i="17"/>
  <c r="AA184" i="16"/>
  <c r="L184" i="33" s="1"/>
  <c r="O184" i="33" s="1"/>
  <c r="AA182" i="16"/>
  <c r="L182" i="33" s="1"/>
  <c r="S53" i="9"/>
  <c r="E45" i="5"/>
  <c r="X46" i="13"/>
  <c r="X46" i="12"/>
  <c r="X46" i="11"/>
  <c r="X46" i="10"/>
  <c r="W5" i="12"/>
  <c r="AA44" i="11"/>
  <c r="W5" i="13"/>
  <c r="T5" i="36" s="1"/>
  <c r="T48" i="36" s="1"/>
  <c r="P44" i="13"/>
  <c r="AG57" i="6"/>
  <c r="AG55" i="9"/>
  <c r="AG55" i="8"/>
  <c r="AG55" i="7"/>
  <c r="E46" i="5"/>
  <c r="P44" i="12"/>
  <c r="W9" i="12"/>
  <c r="X9" i="12" s="1"/>
  <c r="AA9" i="12" s="1"/>
  <c r="E29" i="5"/>
  <c r="S15" i="40" l="1"/>
  <c r="S25" i="40"/>
  <c r="S20" i="40"/>
  <c r="AA364" i="16"/>
  <c r="L364" i="33" s="1"/>
  <c r="O364" i="33" s="1"/>
  <c r="AA68" i="16"/>
  <c r="L68" i="33" s="1"/>
  <c r="O68" i="33" s="1"/>
  <c r="G11" i="40"/>
  <c r="G6" i="40"/>
  <c r="AA104" i="17"/>
  <c r="AA430" i="16"/>
  <c r="L430" i="33" s="1"/>
  <c r="O430" i="33" s="1"/>
  <c r="S31" i="40"/>
  <c r="AA245" i="16"/>
  <c r="AG245" i="16" s="1"/>
  <c r="AA322" i="16"/>
  <c r="AG322" i="16" s="1"/>
  <c r="S21" i="40"/>
  <c r="S16" i="40"/>
  <c r="S26" i="40"/>
  <c r="AA362" i="16"/>
  <c r="L362" i="33" s="1"/>
  <c r="O362" i="33" s="1"/>
  <c r="AA386" i="16"/>
  <c r="L386" i="33" s="1"/>
  <c r="O386" i="33" s="1"/>
  <c r="AA399" i="16"/>
  <c r="L399" i="33" s="1"/>
  <c r="O399" i="33" s="1"/>
  <c r="AA192" i="16"/>
  <c r="L192" i="33" s="1"/>
  <c r="O192" i="33" s="1"/>
  <c r="AA214" i="16"/>
  <c r="L214" i="33" s="1"/>
  <c r="O214" i="33" s="1"/>
  <c r="AA216" i="16"/>
  <c r="L216" i="33" s="1"/>
  <c r="O216" i="33" s="1"/>
  <c r="AA219" i="16"/>
  <c r="L219" i="33" s="1"/>
  <c r="O219" i="33" s="1"/>
  <c r="AA197" i="16"/>
  <c r="L197" i="33" s="1"/>
  <c r="O197" i="33" s="1"/>
  <c r="AA419" i="16"/>
  <c r="L419" i="33" s="1"/>
  <c r="O419" i="33" s="1"/>
  <c r="AA424" i="16"/>
  <c r="L424" i="33" s="1"/>
  <c r="O424" i="33" s="1"/>
  <c r="AA457" i="16"/>
  <c r="AG457" i="16" s="1"/>
  <c r="T17" i="36"/>
  <c r="T60" i="36" s="1"/>
  <c r="T8" i="36"/>
  <c r="T51" i="36" s="1"/>
  <c r="AA401" i="16"/>
  <c r="L401" i="33" s="1"/>
  <c r="O401" i="33" s="1"/>
  <c r="T24" i="36"/>
  <c r="T67" i="36" s="1"/>
  <c r="B9" i="38"/>
  <c r="B11" i="38"/>
  <c r="B7" i="38"/>
  <c r="B13" i="38" s="1"/>
  <c r="T34" i="36"/>
  <c r="T77" i="36" s="1"/>
  <c r="AA356" i="16"/>
  <c r="L356" i="33" s="1"/>
  <c r="O356" i="33" s="1"/>
  <c r="AA441" i="16"/>
  <c r="L441" i="33" s="1"/>
  <c r="O441" i="33" s="1"/>
  <c r="T30" i="36"/>
  <c r="T73" i="36" s="1"/>
  <c r="T9" i="36"/>
  <c r="T52" i="36" s="1"/>
  <c r="T23" i="36"/>
  <c r="T66" i="36" s="1"/>
  <c r="T22" i="36"/>
  <c r="T65" i="36" s="1"/>
  <c r="T39" i="36"/>
  <c r="T82" i="36" s="1"/>
  <c r="I15" i="37"/>
  <c r="I14" i="37"/>
  <c r="T32" i="36"/>
  <c r="T75" i="36" s="1"/>
  <c r="AA193" i="16"/>
  <c r="L193" i="33" s="1"/>
  <c r="O193" i="33" s="1"/>
  <c r="AA366" i="16"/>
  <c r="L366" i="33" s="1"/>
  <c r="O366" i="33" s="1"/>
  <c r="AA391" i="16"/>
  <c r="L391" i="33" s="1"/>
  <c r="O391" i="33" s="1"/>
  <c r="T29" i="36"/>
  <c r="T72" i="36" s="1"/>
  <c r="T15" i="36"/>
  <c r="T58" i="36" s="1"/>
  <c r="T16" i="36"/>
  <c r="T59" i="36" s="1"/>
  <c r="AA411" i="16"/>
  <c r="L411" i="33" s="1"/>
  <c r="O411" i="33" s="1"/>
  <c r="AA8" i="16"/>
  <c r="L8" i="33" s="1"/>
  <c r="O8" i="33" s="1"/>
  <c r="T14" i="36"/>
  <c r="T57" i="36" s="1"/>
  <c r="T6" i="36"/>
  <c r="T49" i="36" s="1"/>
  <c r="T10" i="36"/>
  <c r="T53" i="36" s="1"/>
  <c r="T40" i="36"/>
  <c r="T83" i="36" s="1"/>
  <c r="AA388" i="16"/>
  <c r="L388" i="33" s="1"/>
  <c r="O388" i="33" s="1"/>
  <c r="T27" i="36"/>
  <c r="T70" i="36" s="1"/>
  <c r="T35" i="36"/>
  <c r="T78" i="36" s="1"/>
  <c r="T42" i="36"/>
  <c r="T85" i="36" s="1"/>
  <c r="AA87" i="17"/>
  <c r="AA232" i="16"/>
  <c r="AG232" i="16" s="1"/>
  <c r="AA432" i="16"/>
  <c r="L432" i="33" s="1"/>
  <c r="O432" i="33" s="1"/>
  <c r="AA237" i="16"/>
  <c r="AG237" i="16" s="1"/>
  <c r="AA230" i="16"/>
  <c r="AG230" i="16" s="1"/>
  <c r="AA395" i="16"/>
  <c r="L395" i="33" s="1"/>
  <c r="O395" i="33" s="1"/>
  <c r="AA414" i="16"/>
  <c r="L414" i="33" s="1"/>
  <c r="O414" i="33" s="1"/>
  <c r="J9" i="38"/>
  <c r="J11" i="38"/>
  <c r="L11" i="38" s="1"/>
  <c r="AA359" i="16"/>
  <c r="L359" i="33" s="1"/>
  <c r="O359" i="33" s="1"/>
  <c r="AA357" i="16"/>
  <c r="L357" i="33" s="1"/>
  <c r="O357" i="33" s="1"/>
  <c r="AA363" i="16"/>
  <c r="L363" i="33" s="1"/>
  <c r="O363" i="33" s="1"/>
  <c r="AA358" i="16"/>
  <c r="L358" i="33" s="1"/>
  <c r="O358" i="33" s="1"/>
  <c r="AA383" i="16"/>
  <c r="L383" i="33" s="1"/>
  <c r="O383" i="33" s="1"/>
  <c r="AA407" i="16"/>
  <c r="L407" i="33" s="1"/>
  <c r="O407" i="33" s="1"/>
  <c r="AA400" i="16"/>
  <c r="L400" i="33" s="1"/>
  <c r="O400" i="33" s="1"/>
  <c r="AA417" i="16"/>
  <c r="L417" i="33" s="1"/>
  <c r="O417" i="33" s="1"/>
  <c r="AA179" i="17"/>
  <c r="AA192" i="17"/>
  <c r="AA244" i="16"/>
  <c r="AG244" i="16" s="1"/>
  <c r="AA110" i="17"/>
  <c r="AA116" i="17"/>
  <c r="AA374" i="16"/>
  <c r="L374" i="33" s="1"/>
  <c r="O374" i="33" s="1"/>
  <c r="AA100" i="17"/>
  <c r="AA242" i="16"/>
  <c r="AG242" i="16" s="1"/>
  <c r="AA256" i="16"/>
  <c r="AG256" i="16" s="1"/>
  <c r="AA450" i="16"/>
  <c r="L450" i="33" s="1"/>
  <c r="O450" i="33" s="1"/>
  <c r="AA113" i="17"/>
  <c r="AA261" i="16"/>
  <c r="AG261" i="16" s="1"/>
  <c r="AA25" i="17"/>
  <c r="AA326" i="16"/>
  <c r="AG326" i="16" s="1"/>
  <c r="AA361" i="16"/>
  <c r="L361" i="33" s="1"/>
  <c r="O361" i="33" s="1"/>
  <c r="AA4" i="17"/>
  <c r="O182" i="33"/>
  <c r="AA355" i="16"/>
  <c r="L355" i="33" s="1"/>
  <c r="O355" i="33" s="1"/>
  <c r="AA360" i="16"/>
  <c r="L360" i="33" s="1"/>
  <c r="O360" i="33" s="1"/>
  <c r="AA365" i="16"/>
  <c r="L365" i="33" s="1"/>
  <c r="O365" i="33" s="1"/>
  <c r="AA30" i="16"/>
  <c r="L30" i="33" s="1"/>
  <c r="O30" i="33" s="1"/>
  <c r="AA13" i="16"/>
  <c r="L13" i="33" s="1"/>
  <c r="O13" i="33" s="1"/>
  <c r="AA180" i="17"/>
  <c r="AA305" i="16"/>
  <c r="AG305" i="16" s="1"/>
  <c r="AA210" i="16"/>
  <c r="L210" i="33" s="1"/>
  <c r="O210" i="33" s="1"/>
  <c r="AA215" i="16"/>
  <c r="L215" i="33" s="1"/>
  <c r="O215" i="33" s="1"/>
  <c r="AA213" i="16"/>
  <c r="L213" i="33" s="1"/>
  <c r="O213" i="33" s="1"/>
  <c r="AA447" i="16"/>
  <c r="L447" i="33" s="1"/>
  <c r="O447" i="33" s="1"/>
  <c r="AA431" i="16"/>
  <c r="L431" i="33" s="1"/>
  <c r="O431" i="33" s="1"/>
  <c r="AA423" i="16"/>
  <c r="L423" i="33" s="1"/>
  <c r="O423" i="33" s="1"/>
  <c r="AA443" i="16"/>
  <c r="L443" i="33" s="1"/>
  <c r="O443" i="33" s="1"/>
  <c r="AA404" i="16"/>
  <c r="L404" i="33" s="1"/>
  <c r="O404" i="33" s="1"/>
  <c r="AA448" i="16"/>
  <c r="L448" i="33" s="1"/>
  <c r="O448" i="33" s="1"/>
  <c r="AA421" i="16"/>
  <c r="L421" i="33" s="1"/>
  <c r="O421" i="33" s="1"/>
  <c r="AA390" i="16"/>
  <c r="L390" i="33" s="1"/>
  <c r="O390" i="33" s="1"/>
  <c r="AA434" i="16"/>
  <c r="L434" i="33" s="1"/>
  <c r="O434" i="33" s="1"/>
  <c r="AA91" i="17"/>
  <c r="AA208" i="17"/>
  <c r="AA226" i="16"/>
  <c r="L226" i="33" s="1"/>
  <c r="O226" i="33" s="1"/>
  <c r="AA200" i="16"/>
  <c r="L200" i="33" s="1"/>
  <c r="O200" i="33" s="1"/>
  <c r="AA229" i="16"/>
  <c r="L229" i="33" s="1"/>
  <c r="O229" i="33" s="1"/>
  <c r="AA387" i="16"/>
  <c r="L387" i="33" s="1"/>
  <c r="O387" i="33" s="1"/>
  <c r="AA403" i="16"/>
  <c r="L403" i="33" s="1"/>
  <c r="O403" i="33" s="1"/>
  <c r="AA379" i="16"/>
  <c r="L379" i="33" s="1"/>
  <c r="O379" i="33" s="1"/>
  <c r="AA384" i="16"/>
  <c r="L384" i="33" s="1"/>
  <c r="O384" i="33" s="1"/>
  <c r="AA408" i="16"/>
  <c r="L408" i="33" s="1"/>
  <c r="O408" i="33" s="1"/>
  <c r="AA393" i="16"/>
  <c r="L393" i="33" s="1"/>
  <c r="O393" i="33" s="1"/>
  <c r="AA437" i="16"/>
  <c r="L437" i="33" s="1"/>
  <c r="O437" i="33" s="1"/>
  <c r="AA406" i="16"/>
  <c r="L406" i="33" s="1"/>
  <c r="O406" i="33" s="1"/>
  <c r="AA95" i="17"/>
  <c r="AA255" i="16"/>
  <c r="AG255" i="16" s="1"/>
  <c r="AA115" i="17"/>
  <c r="AA263" i="16"/>
  <c r="AG263" i="16" s="1"/>
  <c r="AA118" i="17"/>
  <c r="AA260" i="16"/>
  <c r="AG260" i="16" s="1"/>
  <c r="AA265" i="16"/>
  <c r="AG265" i="16" s="1"/>
  <c r="AA248" i="16"/>
  <c r="AG248" i="16" s="1"/>
  <c r="AA101" i="17"/>
  <c r="AA105" i="17"/>
  <c r="AA251" i="16"/>
  <c r="AG251" i="16" s="1"/>
  <c r="AA247" i="16"/>
  <c r="AG247" i="16" s="1"/>
  <c r="AA246" i="16"/>
  <c r="AG246" i="16" s="1"/>
  <c r="AA249" i="16"/>
  <c r="AG249" i="16" s="1"/>
  <c r="AA102" i="17"/>
  <c r="AA106" i="17"/>
  <c r="AA107" i="17"/>
  <c r="AA253" i="16"/>
  <c r="AG253" i="16" s="1"/>
  <c r="AA250" i="16"/>
  <c r="AG250" i="16" s="1"/>
  <c r="AA259" i="16"/>
  <c r="AG259" i="16" s="1"/>
  <c r="AA117" i="17"/>
  <c r="AA112" i="17"/>
  <c r="AA120" i="17"/>
  <c r="AA264" i="16"/>
  <c r="AG264" i="16" s="1"/>
  <c r="AA254" i="16"/>
  <c r="AG254" i="16" s="1"/>
  <c r="AA375" i="16"/>
  <c r="L375" i="33" s="1"/>
  <c r="O375" i="33" s="1"/>
  <c r="AA243" i="16"/>
  <c r="AG243" i="16" s="1"/>
  <c r="AA99" i="17"/>
  <c r="AA103" i="17"/>
  <c r="AA109" i="17"/>
  <c r="AA108" i="17"/>
  <c r="AA111" i="17"/>
  <c r="AA119" i="17"/>
  <c r="AA114" i="17"/>
  <c r="AA122" i="17"/>
  <c r="AA257" i="16"/>
  <c r="AG257" i="16" s="1"/>
  <c r="AA369" i="16"/>
  <c r="L369" i="33" s="1"/>
  <c r="O369" i="33" s="1"/>
  <c r="AA106" i="16"/>
  <c r="AG106" i="16" s="1"/>
  <c r="AA11" i="17"/>
  <c r="AA101" i="16"/>
  <c r="AG101" i="16" s="1"/>
  <c r="AA167" i="17"/>
  <c r="AA147" i="17"/>
  <c r="AA280" i="16"/>
  <c r="AG280" i="16" s="1"/>
  <c r="AA329" i="16"/>
  <c r="AG329" i="16" s="1"/>
  <c r="AA119" i="16"/>
  <c r="AG119" i="16" s="1"/>
  <c r="AA268" i="16"/>
  <c r="AG268" i="16" s="1"/>
  <c r="AA125" i="17"/>
  <c r="AA273" i="16"/>
  <c r="AG273" i="16" s="1"/>
  <c r="AA132" i="17"/>
  <c r="AA274" i="16"/>
  <c r="AG274" i="16" s="1"/>
  <c r="AA468" i="16"/>
  <c r="L468" i="33" s="1"/>
  <c r="O468" i="33" s="1"/>
  <c r="AA128" i="17"/>
  <c r="AA271" i="16"/>
  <c r="AG271" i="16" s="1"/>
  <c r="AA127" i="17"/>
  <c r="AA134" i="17"/>
  <c r="AA130" i="17"/>
  <c r="AA272" i="16"/>
  <c r="AG272" i="16" s="1"/>
  <c r="AA277" i="16"/>
  <c r="AG277" i="16" s="1"/>
  <c r="AA475" i="16"/>
  <c r="L475" i="33" s="1"/>
  <c r="O475" i="33" s="1"/>
  <c r="AA275" i="16"/>
  <c r="AG275" i="16" s="1"/>
  <c r="AA129" i="17"/>
  <c r="AA124" i="17"/>
  <c r="AA133" i="17"/>
  <c r="AA276" i="16"/>
  <c r="AG276" i="16" s="1"/>
  <c r="AA266" i="16"/>
  <c r="AA472" i="16"/>
  <c r="L472" i="33" s="1"/>
  <c r="O472" i="33" s="1"/>
  <c r="AA123" i="17"/>
  <c r="AA131" i="17"/>
  <c r="AA126" i="17"/>
  <c r="AA267" i="16"/>
  <c r="AG267" i="16" s="1"/>
  <c r="AA269" i="16"/>
  <c r="AG269" i="16" s="1"/>
  <c r="AA2" i="16"/>
  <c r="L2" i="33" s="1"/>
  <c r="AA62" i="16"/>
  <c r="L62" i="33" s="1"/>
  <c r="O62" i="33" s="1"/>
  <c r="AA3" i="16"/>
  <c r="L3" i="33" s="1"/>
  <c r="O3" i="33" s="1"/>
  <c r="AA71" i="16"/>
  <c r="L71" i="33" s="1"/>
  <c r="O71" i="33" s="1"/>
  <c r="AA102" i="16"/>
  <c r="AG102" i="16" s="1"/>
  <c r="AA6" i="17"/>
  <c r="AA7" i="16"/>
  <c r="L7" i="33" s="1"/>
  <c r="O7" i="33" s="1"/>
  <c r="AA12" i="16"/>
  <c r="L12" i="33" s="1"/>
  <c r="O12" i="33" s="1"/>
  <c r="AA104" i="16"/>
  <c r="AG104" i="16" s="1"/>
  <c r="AA33" i="16"/>
  <c r="L33" i="33" s="1"/>
  <c r="O33" i="33" s="1"/>
  <c r="AA105" i="16"/>
  <c r="AG105" i="16" s="1"/>
  <c r="AA303" i="16"/>
  <c r="AG303" i="16" s="1"/>
  <c r="AA144" i="17"/>
  <c r="AA158" i="17"/>
  <c r="AA168" i="17"/>
  <c r="AA183" i="17"/>
  <c r="AA196" i="17"/>
  <c r="AA137" i="17"/>
  <c r="AA153" i="17"/>
  <c r="AA166" i="17"/>
  <c r="AA182" i="17"/>
  <c r="AA199" i="17"/>
  <c r="AA288" i="16"/>
  <c r="AG288" i="16" s="1"/>
  <c r="AA312" i="16"/>
  <c r="AG312" i="16" s="1"/>
  <c r="AA281" i="16"/>
  <c r="AG281" i="16" s="1"/>
  <c r="AA309" i="16"/>
  <c r="AG309" i="16" s="1"/>
  <c r="AA337" i="16"/>
  <c r="AG337" i="16" s="1"/>
  <c r="AA302" i="16"/>
  <c r="AG302" i="16" s="1"/>
  <c r="AA114" i="16"/>
  <c r="AG114" i="16" s="1"/>
  <c r="AA110" i="16"/>
  <c r="AG110" i="16" s="1"/>
  <c r="AA330" i="16"/>
  <c r="AG330" i="16" s="1"/>
  <c r="AA190" i="16"/>
  <c r="L190" i="33" s="1"/>
  <c r="O190" i="33" s="1"/>
  <c r="AA188" i="16"/>
  <c r="L188" i="33" s="1"/>
  <c r="O188" i="33" s="1"/>
  <c r="AA352" i="16"/>
  <c r="L352" i="33" s="1"/>
  <c r="O352" i="33" s="1"/>
  <c r="AA186" i="16"/>
  <c r="L186" i="33" s="1"/>
  <c r="O186" i="33" s="1"/>
  <c r="AA185" i="16"/>
  <c r="L185" i="33" s="1"/>
  <c r="O185" i="33" s="1"/>
  <c r="AA347" i="16"/>
  <c r="L347" i="33" s="1"/>
  <c r="O347" i="33" s="1"/>
  <c r="AA345" i="16"/>
  <c r="L345" i="33" s="1"/>
  <c r="O345" i="33" s="1"/>
  <c r="AA350" i="16"/>
  <c r="L350" i="33" s="1"/>
  <c r="O350" i="33" s="1"/>
  <c r="AA464" i="16"/>
  <c r="L464" i="33" s="1"/>
  <c r="AA471" i="16"/>
  <c r="L471" i="33" s="1"/>
  <c r="O471" i="33" s="1"/>
  <c r="AA470" i="16"/>
  <c r="L470" i="33" s="1"/>
  <c r="O470" i="33" s="1"/>
  <c r="AA10" i="16"/>
  <c r="L10" i="33" s="1"/>
  <c r="O10" i="33" s="1"/>
  <c r="AA70" i="16"/>
  <c r="L70" i="33" s="1"/>
  <c r="O70" i="33" s="1"/>
  <c r="AA11" i="16"/>
  <c r="L11" i="33" s="1"/>
  <c r="O11" i="33" s="1"/>
  <c r="AA99" i="16"/>
  <c r="AG99" i="16" s="1"/>
  <c r="AA8" i="17"/>
  <c r="AA31" i="16"/>
  <c r="L31" i="33" s="1"/>
  <c r="O31" i="33" s="1"/>
  <c r="AA36" i="16"/>
  <c r="L36" i="33" s="1"/>
  <c r="O36" i="33" s="1"/>
  <c r="AA108" i="16"/>
  <c r="AG108" i="16" s="1"/>
  <c r="AA37" i="16"/>
  <c r="L37" i="33" s="1"/>
  <c r="O37" i="33" s="1"/>
  <c r="AA287" i="16"/>
  <c r="AG287" i="16" s="1"/>
  <c r="AA339" i="16"/>
  <c r="AG339" i="16" s="1"/>
  <c r="AA146" i="17"/>
  <c r="AA160" i="17"/>
  <c r="AA173" i="17"/>
  <c r="AA187" i="17"/>
  <c r="AA198" i="17"/>
  <c r="AA141" i="17"/>
  <c r="AA155" i="17"/>
  <c r="AA172" i="17"/>
  <c r="AA188" i="17"/>
  <c r="AA283" i="16"/>
  <c r="AG283" i="16" s="1"/>
  <c r="AA292" i="16"/>
  <c r="AG292" i="16" s="1"/>
  <c r="AA324" i="16"/>
  <c r="AG324" i="16" s="1"/>
  <c r="AA289" i="16"/>
  <c r="AG289" i="16" s="1"/>
  <c r="AA313" i="16"/>
  <c r="AG313" i="16" s="1"/>
  <c r="AA278" i="16"/>
  <c r="AG278" i="16" s="1"/>
  <c r="AA306" i="16"/>
  <c r="AG306" i="16" s="1"/>
  <c r="AA334" i="16"/>
  <c r="AG334" i="16" s="1"/>
  <c r="AA117" i="16"/>
  <c r="AG117" i="16" s="1"/>
  <c r="AA343" i="16"/>
  <c r="L343" i="33" s="1"/>
  <c r="AA346" i="16"/>
  <c r="L346" i="33" s="1"/>
  <c r="O346" i="33" s="1"/>
  <c r="AA473" i="16"/>
  <c r="L473" i="33" s="1"/>
  <c r="O473" i="33" s="1"/>
  <c r="AA465" i="16"/>
  <c r="L465" i="33" s="1"/>
  <c r="O465" i="33" s="1"/>
  <c r="AA466" i="16"/>
  <c r="L466" i="33" s="1"/>
  <c r="O466" i="33" s="1"/>
  <c r="AA183" i="16"/>
  <c r="L183" i="33" s="1"/>
  <c r="O183" i="33" s="1"/>
  <c r="AA187" i="16"/>
  <c r="L187" i="33" s="1"/>
  <c r="O187" i="33" s="1"/>
  <c r="AA191" i="16"/>
  <c r="L191" i="33" s="1"/>
  <c r="O191" i="33" s="1"/>
  <c r="AA189" i="16"/>
  <c r="L189" i="33" s="1"/>
  <c r="O189" i="33" s="1"/>
  <c r="AA344" i="16"/>
  <c r="L344" i="33" s="1"/>
  <c r="O344" i="33" s="1"/>
  <c r="AA349" i="16"/>
  <c r="L349" i="33" s="1"/>
  <c r="O349" i="33" s="1"/>
  <c r="AA354" i="16"/>
  <c r="L354" i="33" s="1"/>
  <c r="O354" i="33" s="1"/>
  <c r="AA469" i="16"/>
  <c r="L469" i="33" s="1"/>
  <c r="O469" i="33" s="1"/>
  <c r="AA467" i="16"/>
  <c r="L467" i="33" s="1"/>
  <c r="O467" i="33" s="1"/>
  <c r="AA474" i="16"/>
  <c r="L474" i="33" s="1"/>
  <c r="O474" i="33" s="1"/>
  <c r="AA26" i="16"/>
  <c r="L26" i="33" s="1"/>
  <c r="O26" i="33" s="1"/>
  <c r="AA98" i="16"/>
  <c r="AG98" i="16" s="1"/>
  <c r="AA27" i="16"/>
  <c r="L27" i="33" s="1"/>
  <c r="O27" i="33" s="1"/>
  <c r="AA107" i="16"/>
  <c r="AG107" i="16" s="1"/>
  <c r="AA3" i="17"/>
  <c r="AA10" i="17"/>
  <c r="AA67" i="16"/>
  <c r="L67" i="33" s="1"/>
  <c r="O67" i="33" s="1"/>
  <c r="AA64" i="16"/>
  <c r="L64" i="33" s="1"/>
  <c r="O64" i="33" s="1"/>
  <c r="AA5" i="16"/>
  <c r="L5" i="33" s="1"/>
  <c r="O5" i="33" s="1"/>
  <c r="AA73" i="16"/>
  <c r="AA319" i="16"/>
  <c r="AG319" i="16" s="1"/>
  <c r="AA136" i="17"/>
  <c r="AA150" i="17"/>
  <c r="AA165" i="17"/>
  <c r="AA175" i="17"/>
  <c r="AA189" i="17"/>
  <c r="AA311" i="16"/>
  <c r="AG311" i="16" s="1"/>
  <c r="AA145" i="17"/>
  <c r="AA157" i="17"/>
  <c r="AA176" i="17"/>
  <c r="AA190" i="17"/>
  <c r="AA315" i="16"/>
  <c r="AG315" i="16" s="1"/>
  <c r="AA304" i="16"/>
  <c r="AG304" i="16" s="1"/>
  <c r="AA328" i="16"/>
  <c r="AG328" i="16" s="1"/>
  <c r="AA293" i="16"/>
  <c r="AG293" i="16" s="1"/>
  <c r="AA325" i="16"/>
  <c r="AG325" i="16" s="1"/>
  <c r="AA286" i="16"/>
  <c r="AG286" i="16" s="1"/>
  <c r="AA310" i="16"/>
  <c r="AG310" i="16" s="1"/>
  <c r="AA342" i="16"/>
  <c r="AG342" i="16" s="1"/>
  <c r="AA22" i="17"/>
  <c r="AA148" i="16"/>
  <c r="AG148" i="16" s="1"/>
  <c r="AA462" i="16"/>
  <c r="AG462" i="16" s="1"/>
  <c r="AA227" i="16"/>
  <c r="L227" i="33" s="1"/>
  <c r="O227" i="33" s="1"/>
  <c r="AA204" i="16"/>
  <c r="L204" i="33" s="1"/>
  <c r="O204" i="33" s="1"/>
  <c r="AA201" i="16"/>
  <c r="L201" i="33" s="1"/>
  <c r="O201" i="33" s="1"/>
  <c r="AA238" i="16"/>
  <c r="AG238" i="16" s="1"/>
  <c r="AA88" i="17"/>
  <c r="AA92" i="17"/>
  <c r="AA96" i="17"/>
  <c r="AA236" i="16"/>
  <c r="AG236" i="16" s="1"/>
  <c r="AA241" i="16"/>
  <c r="AG241" i="16" s="1"/>
  <c r="AA368" i="16"/>
  <c r="L368" i="33" s="1"/>
  <c r="O368" i="33" s="1"/>
  <c r="AA373" i="16"/>
  <c r="L373" i="33" s="1"/>
  <c r="O373" i="33" s="1"/>
  <c r="AA378" i="16"/>
  <c r="L378" i="33" s="1"/>
  <c r="O378" i="33" s="1"/>
  <c r="AA195" i="16"/>
  <c r="L195" i="33" s="1"/>
  <c r="O195" i="33" s="1"/>
  <c r="AA223" i="16"/>
  <c r="L223" i="33" s="1"/>
  <c r="O223" i="33" s="1"/>
  <c r="AA202" i="16"/>
  <c r="L202" i="33" s="1"/>
  <c r="O202" i="33" s="1"/>
  <c r="AA203" i="16"/>
  <c r="L203" i="33" s="1"/>
  <c r="O203" i="33" s="1"/>
  <c r="AA198" i="16"/>
  <c r="L198" i="33" s="1"/>
  <c r="O198" i="33" s="1"/>
  <c r="AA199" i="16"/>
  <c r="L199" i="33" s="1"/>
  <c r="O199" i="33" s="1"/>
  <c r="AA86" i="17"/>
  <c r="AA208" i="16"/>
  <c r="L208" i="33" s="1"/>
  <c r="O208" i="33" s="1"/>
  <c r="AA224" i="16"/>
  <c r="L224" i="33" s="1"/>
  <c r="O224" i="33" s="1"/>
  <c r="AA205" i="16"/>
  <c r="L205" i="33" s="1"/>
  <c r="O205" i="33" s="1"/>
  <c r="AA221" i="16"/>
  <c r="L221" i="33" s="1"/>
  <c r="O221" i="33" s="1"/>
  <c r="AA415" i="16"/>
  <c r="L415" i="33" s="1"/>
  <c r="O415" i="33" s="1"/>
  <c r="AA451" i="16"/>
  <c r="AA435" i="16"/>
  <c r="L435" i="33" s="1"/>
  <c r="O435" i="33" s="1"/>
  <c r="AA439" i="16"/>
  <c r="L439" i="33" s="1"/>
  <c r="O439" i="33" s="1"/>
  <c r="AA427" i="16"/>
  <c r="L427" i="33" s="1"/>
  <c r="O427" i="33" s="1"/>
  <c r="AA392" i="16"/>
  <c r="L392" i="33" s="1"/>
  <c r="O392" i="33" s="1"/>
  <c r="AA416" i="16"/>
  <c r="L416" i="33" s="1"/>
  <c r="O416" i="33" s="1"/>
  <c r="AA436" i="16"/>
  <c r="L436" i="33" s="1"/>
  <c r="O436" i="33" s="1"/>
  <c r="AA385" i="16"/>
  <c r="L385" i="33" s="1"/>
  <c r="O385" i="33" s="1"/>
  <c r="AA405" i="16"/>
  <c r="L405" i="33" s="1"/>
  <c r="O405" i="33" s="1"/>
  <c r="AA425" i="16"/>
  <c r="L425" i="33" s="1"/>
  <c r="O425" i="33" s="1"/>
  <c r="AA449" i="16"/>
  <c r="L449" i="33" s="1"/>
  <c r="O449" i="33" s="1"/>
  <c r="AA398" i="16"/>
  <c r="L398" i="33" s="1"/>
  <c r="O398" i="33" s="1"/>
  <c r="AA418" i="16"/>
  <c r="L418" i="33" s="1"/>
  <c r="O418" i="33" s="1"/>
  <c r="AA438" i="16"/>
  <c r="L438" i="33" s="1"/>
  <c r="O438" i="33" s="1"/>
  <c r="AA234" i="16"/>
  <c r="AG234" i="16" s="1"/>
  <c r="AA231" i="16"/>
  <c r="AG231" i="16" s="1"/>
  <c r="AA89" i="17"/>
  <c r="AA93" i="17"/>
  <c r="AA97" i="17"/>
  <c r="AA240" i="16"/>
  <c r="AG240" i="16" s="1"/>
  <c r="AA367" i="16"/>
  <c r="L367" i="33" s="1"/>
  <c r="O367" i="33" s="1"/>
  <c r="AA372" i="16"/>
  <c r="L372" i="33" s="1"/>
  <c r="O372" i="33" s="1"/>
  <c r="AA377" i="16"/>
  <c r="L377" i="33" s="1"/>
  <c r="O377" i="33" s="1"/>
  <c r="AA455" i="16"/>
  <c r="AG455" i="16" s="1"/>
  <c r="AA452" i="16"/>
  <c r="AG452" i="16" s="1"/>
  <c r="AA194" i="16"/>
  <c r="AA222" i="16"/>
  <c r="L222" i="33" s="1"/>
  <c r="O222" i="33" s="1"/>
  <c r="AA220" i="16"/>
  <c r="L220" i="33" s="1"/>
  <c r="O220" i="33" s="1"/>
  <c r="AA217" i="16"/>
  <c r="L217" i="33" s="1"/>
  <c r="O217" i="33" s="1"/>
  <c r="AA218" i="16"/>
  <c r="L218" i="33" s="1"/>
  <c r="O218" i="33" s="1"/>
  <c r="AA211" i="16"/>
  <c r="L211" i="33" s="1"/>
  <c r="O211" i="33" s="1"/>
  <c r="AA206" i="16"/>
  <c r="L206" i="33" s="1"/>
  <c r="O206" i="33" s="1"/>
  <c r="AA207" i="16"/>
  <c r="L207" i="33" s="1"/>
  <c r="O207" i="33" s="1"/>
  <c r="AA196" i="16"/>
  <c r="L196" i="33" s="1"/>
  <c r="O196" i="33" s="1"/>
  <c r="AA212" i="16"/>
  <c r="L212" i="33" s="1"/>
  <c r="O212" i="33" s="1"/>
  <c r="AA228" i="16"/>
  <c r="L228" i="33" s="1"/>
  <c r="O228" i="33" s="1"/>
  <c r="AA209" i="16"/>
  <c r="L209" i="33" s="1"/>
  <c r="O209" i="33" s="1"/>
  <c r="AA225" i="16"/>
  <c r="L225" i="33" s="1"/>
  <c r="O225" i="33" s="1"/>
  <c r="AA420" i="16"/>
  <c r="L420" i="33" s="1"/>
  <c r="O420" i="33" s="1"/>
  <c r="AA440" i="16"/>
  <c r="L440" i="33" s="1"/>
  <c r="O440" i="33" s="1"/>
  <c r="AA389" i="16"/>
  <c r="L389" i="33" s="1"/>
  <c r="O389" i="33" s="1"/>
  <c r="AA409" i="16"/>
  <c r="L409" i="33" s="1"/>
  <c r="O409" i="33" s="1"/>
  <c r="AA433" i="16"/>
  <c r="L433" i="33" s="1"/>
  <c r="O433" i="33" s="1"/>
  <c r="AA382" i="16"/>
  <c r="L382" i="33" s="1"/>
  <c r="O382" i="33" s="1"/>
  <c r="AA402" i="16"/>
  <c r="L402" i="33" s="1"/>
  <c r="O402" i="33" s="1"/>
  <c r="AA422" i="16"/>
  <c r="L422" i="33" s="1"/>
  <c r="O422" i="33" s="1"/>
  <c r="AA446" i="16"/>
  <c r="L446" i="33" s="1"/>
  <c r="O446" i="33" s="1"/>
  <c r="AA235" i="16"/>
  <c r="AG235" i="16" s="1"/>
  <c r="AA239" i="16"/>
  <c r="AG239" i="16" s="1"/>
  <c r="AA90" i="17"/>
  <c r="AA94" i="17"/>
  <c r="AA98" i="17"/>
  <c r="AA233" i="16"/>
  <c r="AG233" i="16" s="1"/>
  <c r="AA371" i="16"/>
  <c r="L371" i="33" s="1"/>
  <c r="O371" i="33" s="1"/>
  <c r="AA376" i="16"/>
  <c r="L376" i="33" s="1"/>
  <c r="O376" i="33" s="1"/>
  <c r="AA370" i="16"/>
  <c r="L370" i="33" s="1"/>
  <c r="O370" i="33" s="1"/>
  <c r="AA463" i="16"/>
  <c r="AG463" i="16" s="1"/>
  <c r="AA454" i="16"/>
  <c r="AG454" i="16" s="1"/>
  <c r="AA53" i="17"/>
  <c r="AA153" i="16"/>
  <c r="AG153" i="16" s="1"/>
  <c r="AA111" i="16"/>
  <c r="AG111" i="16" s="1"/>
  <c r="AA15" i="17"/>
  <c r="AA150" i="16"/>
  <c r="AG150" i="16" s="1"/>
  <c r="AA112" i="16"/>
  <c r="AG112" i="16" s="1"/>
  <c r="AA56" i="17"/>
  <c r="AA57" i="17"/>
  <c r="AA14" i="17"/>
  <c r="AA115" i="16"/>
  <c r="AG115" i="16" s="1"/>
  <c r="AA52" i="17"/>
  <c r="AA21" i="17"/>
  <c r="AA116" i="16"/>
  <c r="AG116" i="16" s="1"/>
  <c r="AA6" i="16"/>
  <c r="L6" i="33" s="1"/>
  <c r="O6" i="33" s="1"/>
  <c r="AA2" i="17"/>
  <c r="AA7" i="17"/>
  <c r="AA12" i="17"/>
  <c r="AA28" i="16"/>
  <c r="L28" i="33" s="1"/>
  <c r="O28" i="33" s="1"/>
  <c r="AA100" i="16"/>
  <c r="AG100" i="16" s="1"/>
  <c r="AA9" i="16"/>
  <c r="L9" i="33" s="1"/>
  <c r="O9" i="33" s="1"/>
  <c r="AA65" i="16"/>
  <c r="L65" i="33" s="1"/>
  <c r="O65" i="33" s="1"/>
  <c r="AA335" i="16"/>
  <c r="AG335" i="16" s="1"/>
  <c r="AA142" i="17"/>
  <c r="AA152" i="17"/>
  <c r="AA162" i="17"/>
  <c r="AA171" i="17"/>
  <c r="AA181" i="17"/>
  <c r="AA191" i="17"/>
  <c r="AA295" i="16"/>
  <c r="AG295" i="16" s="1"/>
  <c r="AA139" i="17"/>
  <c r="AA149" i="17"/>
  <c r="AA161" i="17"/>
  <c r="AA174" i="17"/>
  <c r="AA184" i="17"/>
  <c r="AA197" i="17"/>
  <c r="AA331" i="16"/>
  <c r="AG331" i="16" s="1"/>
  <c r="AA296" i="16"/>
  <c r="AG296" i="16" s="1"/>
  <c r="AA320" i="16"/>
  <c r="AG320" i="16" s="1"/>
  <c r="AA340" i="16"/>
  <c r="AG340" i="16" s="1"/>
  <c r="AA297" i="16"/>
  <c r="AG297" i="16" s="1"/>
  <c r="AA321" i="16"/>
  <c r="AG321" i="16" s="1"/>
  <c r="AA341" i="16"/>
  <c r="AG341" i="16" s="1"/>
  <c r="AA294" i="16"/>
  <c r="AG294" i="16" s="1"/>
  <c r="AA318" i="16"/>
  <c r="AG318" i="16" s="1"/>
  <c r="AA338" i="16"/>
  <c r="AG338" i="16" s="1"/>
  <c r="AA453" i="16"/>
  <c r="AG453" i="16" s="1"/>
  <c r="AA206" i="17"/>
  <c r="AA24" i="17"/>
  <c r="AA121" i="16"/>
  <c r="AG121" i="16" s="1"/>
  <c r="AA51" i="17"/>
  <c r="AA155" i="16"/>
  <c r="AG155" i="16" s="1"/>
  <c r="AA146" i="16"/>
  <c r="AG146" i="16" s="1"/>
  <c r="AA50" i="17"/>
  <c r="AA156" i="16"/>
  <c r="AG156" i="16" s="1"/>
  <c r="AA205" i="17"/>
  <c r="AA203" i="17"/>
  <c r="AA461" i="16"/>
  <c r="AG461" i="16" s="1"/>
  <c r="AA460" i="16"/>
  <c r="AG460" i="16" s="1"/>
  <c r="AA458" i="16"/>
  <c r="AG458" i="16" s="1"/>
  <c r="AA16" i="17"/>
  <c r="AA113" i="16"/>
  <c r="AG113" i="16" s="1"/>
  <c r="AA157" i="16"/>
  <c r="AG157" i="16" s="1"/>
  <c r="AA55" i="17"/>
  <c r="AA151" i="16"/>
  <c r="AG151" i="16" s="1"/>
  <c r="AA60" i="17"/>
  <c r="AA154" i="16"/>
  <c r="AG154" i="16" s="1"/>
  <c r="AA58" i="17"/>
  <c r="AA152" i="16"/>
  <c r="AG152" i="16" s="1"/>
  <c r="AA209" i="17"/>
  <c r="AA207" i="17"/>
  <c r="AA204" i="17"/>
  <c r="AA202" i="17"/>
  <c r="AA210" i="17"/>
  <c r="AA456" i="16"/>
  <c r="AG456" i="16" s="1"/>
  <c r="AA200" i="17"/>
  <c r="AA211" i="17"/>
  <c r="AA459" i="16"/>
  <c r="AG459" i="16" s="1"/>
  <c r="AA201" i="17"/>
  <c r="AA442" i="16"/>
  <c r="L442" i="33" s="1"/>
  <c r="O442" i="33" s="1"/>
  <c r="AA426" i="16"/>
  <c r="L426" i="33" s="1"/>
  <c r="O426" i="33" s="1"/>
  <c r="AA410" i="16"/>
  <c r="L410" i="33" s="1"/>
  <c r="O410" i="33" s="1"/>
  <c r="AA394" i="16"/>
  <c r="L394" i="33" s="1"/>
  <c r="O394" i="33" s="1"/>
  <c r="AA445" i="16"/>
  <c r="L445" i="33" s="1"/>
  <c r="O445" i="33" s="1"/>
  <c r="AA429" i="16"/>
  <c r="L429" i="33" s="1"/>
  <c r="O429" i="33" s="1"/>
  <c r="AA413" i="16"/>
  <c r="L413" i="33" s="1"/>
  <c r="O413" i="33" s="1"/>
  <c r="AA397" i="16"/>
  <c r="L397" i="33" s="1"/>
  <c r="O397" i="33" s="1"/>
  <c r="AA381" i="16"/>
  <c r="L381" i="33" s="1"/>
  <c r="O381" i="33" s="1"/>
  <c r="AA444" i="16"/>
  <c r="L444" i="33" s="1"/>
  <c r="O444" i="33" s="1"/>
  <c r="AA428" i="16"/>
  <c r="L428" i="33" s="1"/>
  <c r="O428" i="33" s="1"/>
  <c r="AA412" i="16"/>
  <c r="L412" i="33" s="1"/>
  <c r="O412" i="33" s="1"/>
  <c r="AA396" i="16"/>
  <c r="L396" i="33" s="1"/>
  <c r="O396" i="33" s="1"/>
  <c r="AA380" i="16"/>
  <c r="L380" i="33" s="1"/>
  <c r="O380" i="33" s="1"/>
  <c r="AA63" i="16"/>
  <c r="L63" i="33" s="1"/>
  <c r="O63" i="33" s="1"/>
  <c r="AA66" i="16"/>
  <c r="L66" i="33" s="1"/>
  <c r="O66" i="33" s="1"/>
  <c r="AA5" i="17"/>
  <c r="AA9" i="17"/>
  <c r="AA13" i="17"/>
  <c r="AA103" i="16"/>
  <c r="AG103" i="16" s="1"/>
  <c r="AA4" i="16"/>
  <c r="L4" i="33" s="1"/>
  <c r="O4" i="33" s="1"/>
  <c r="AA32" i="16"/>
  <c r="L32" i="33" s="1"/>
  <c r="O32" i="33" s="1"/>
  <c r="AA72" i="16"/>
  <c r="L72" i="33" s="1"/>
  <c r="O72" i="33" s="1"/>
  <c r="AA29" i="16"/>
  <c r="L29" i="33" s="1"/>
  <c r="O29" i="33" s="1"/>
  <c r="AA69" i="16"/>
  <c r="L69" i="33" s="1"/>
  <c r="O69" i="33" s="1"/>
  <c r="AA109" i="16"/>
  <c r="AG109" i="16" s="1"/>
  <c r="AA291" i="16"/>
  <c r="AG291" i="16" s="1"/>
  <c r="AA307" i="16"/>
  <c r="AG307" i="16" s="1"/>
  <c r="AA140" i="17"/>
  <c r="AA148" i="17"/>
  <c r="AA156" i="17"/>
  <c r="AA164" i="17"/>
  <c r="AA169" i="17"/>
  <c r="AA177" i="17"/>
  <c r="AA185" i="17"/>
  <c r="AA193" i="17"/>
  <c r="AA279" i="16"/>
  <c r="AG279" i="16" s="1"/>
  <c r="AA135" i="17"/>
  <c r="AA143" i="17"/>
  <c r="AA151" i="17"/>
  <c r="AA159" i="17"/>
  <c r="AA170" i="17"/>
  <c r="AA178" i="17"/>
  <c r="AA186" i="17"/>
  <c r="AA194" i="17"/>
  <c r="AA299" i="16"/>
  <c r="AG299" i="16" s="1"/>
  <c r="AA284" i="16"/>
  <c r="AG284" i="16" s="1"/>
  <c r="AA300" i="16"/>
  <c r="AG300" i="16" s="1"/>
  <c r="AA316" i="16"/>
  <c r="AG316" i="16" s="1"/>
  <c r="AA332" i="16"/>
  <c r="AG332" i="16" s="1"/>
  <c r="AA285" i="16"/>
  <c r="AG285" i="16" s="1"/>
  <c r="AA301" i="16"/>
  <c r="AG301" i="16" s="1"/>
  <c r="AA317" i="16"/>
  <c r="AG317" i="16" s="1"/>
  <c r="AA333" i="16"/>
  <c r="AG333" i="16" s="1"/>
  <c r="AA282" i="16"/>
  <c r="AG282" i="16" s="1"/>
  <c r="AA298" i="16"/>
  <c r="AG298" i="16" s="1"/>
  <c r="AA314" i="16"/>
  <c r="AG314" i="16" s="1"/>
  <c r="AA19" i="17"/>
  <c r="AA20" i="17"/>
  <c r="AA61" i="17"/>
  <c r="AA149" i="16"/>
  <c r="AG149" i="16" s="1"/>
  <c r="AA18" i="17"/>
  <c r="AA59" i="17"/>
  <c r="AA147" i="16"/>
  <c r="AG147" i="16" s="1"/>
  <c r="AA23" i="17"/>
  <c r="AA118" i="16"/>
  <c r="AG118" i="16" s="1"/>
  <c r="AA17" i="17"/>
  <c r="AA54" i="17"/>
  <c r="AA120" i="16"/>
  <c r="AG120" i="16" s="1"/>
  <c r="AG187" i="16"/>
  <c r="AG351" i="16"/>
  <c r="AG468" i="16"/>
  <c r="AG383" i="16"/>
  <c r="AG423" i="16"/>
  <c r="AG424" i="16"/>
  <c r="AG441" i="16"/>
  <c r="AG406" i="16"/>
  <c r="AG30" i="16"/>
  <c r="AG182" i="16"/>
  <c r="AG184" i="16"/>
  <c r="AG192" i="16"/>
  <c r="AG199" i="16"/>
  <c r="AG359" i="16"/>
  <c r="AG364" i="16"/>
  <c r="AG358" i="16"/>
  <c r="AG439" i="16"/>
  <c r="AG411" i="16"/>
  <c r="AG360" i="16"/>
  <c r="AG353" i="16"/>
  <c r="AG35" i="16"/>
  <c r="AG193" i="16"/>
  <c r="AG225" i="16"/>
  <c r="AG363" i="16"/>
  <c r="AG362" i="16"/>
  <c r="AG399" i="16"/>
  <c r="AG384" i="16"/>
  <c r="AG400" i="16"/>
  <c r="AG448" i="16"/>
  <c r="AG401" i="16"/>
  <c r="AG417" i="16"/>
  <c r="AG414" i="16"/>
  <c r="AG430" i="16"/>
  <c r="AG34" i="16"/>
  <c r="AG68" i="16"/>
  <c r="AG375" i="16"/>
  <c r="AG369" i="16"/>
  <c r="AG365" i="16"/>
  <c r="AG348" i="16"/>
  <c r="AG419" i="16"/>
  <c r="AG395" i="16"/>
  <c r="AG408" i="16"/>
  <c r="AG8" i="16"/>
  <c r="AG185" i="16"/>
  <c r="AG210" i="16"/>
  <c r="AG219" i="16"/>
  <c r="AG214" i="16"/>
  <c r="AG216" i="16"/>
  <c r="AG197" i="16"/>
  <c r="AG229" i="16"/>
  <c r="AG356" i="16"/>
  <c r="AG361" i="16"/>
  <c r="AG366" i="16"/>
  <c r="AG407" i="16"/>
  <c r="AG388" i="16"/>
  <c r="AG404" i="16"/>
  <c r="AG386" i="16"/>
  <c r="AG27" i="16"/>
  <c r="AG13" i="16"/>
  <c r="X5" i="13"/>
  <c r="W44" i="13"/>
  <c r="AM57" i="6"/>
  <c r="AM55" i="9"/>
  <c r="AM55" i="8"/>
  <c r="AM55" i="7"/>
  <c r="X5" i="12"/>
  <c r="W44" i="12"/>
  <c r="AA46" i="12"/>
  <c r="AA46" i="11"/>
  <c r="AA46" i="13"/>
  <c r="AA46" i="10"/>
  <c r="AG421" i="16" l="1"/>
  <c r="AG391" i="16"/>
  <c r="AG215" i="16"/>
  <c r="AG387" i="16"/>
  <c r="AG33" i="16"/>
  <c r="AG357" i="16"/>
  <c r="AG355" i="16"/>
  <c r="AG450" i="16"/>
  <c r="AG432" i="16"/>
  <c r="J7" i="38"/>
  <c r="B15" i="38"/>
  <c r="B14" i="38"/>
  <c r="AG431" i="16"/>
  <c r="AG202" i="16"/>
  <c r="AG374" i="16"/>
  <c r="AG436" i="16"/>
  <c r="AG211" i="16"/>
  <c r="AG377" i="16"/>
  <c r="L7" i="38"/>
  <c r="L13" i="38" s="1"/>
  <c r="J13" i="38"/>
  <c r="L9" i="38"/>
  <c r="J15" i="38"/>
  <c r="J14" i="38"/>
  <c r="AG213" i="16"/>
  <c r="AG403" i="16"/>
  <c r="AC10" i="33"/>
  <c r="T12" i="33"/>
  <c r="O464" i="33"/>
  <c r="W12" i="33" s="1"/>
  <c r="L273" i="33"/>
  <c r="O273" i="33" s="1"/>
  <c r="L270" i="33"/>
  <c r="O270" i="33" s="1"/>
  <c r="L265" i="33"/>
  <c r="O265" i="33" s="1"/>
  <c r="L262" i="33"/>
  <c r="O262" i="33" s="1"/>
  <c r="L275" i="33"/>
  <c r="O275" i="33" s="1"/>
  <c r="L272" i="33"/>
  <c r="O272" i="33" s="1"/>
  <c r="L267" i="33"/>
  <c r="O267" i="33" s="1"/>
  <c r="L264" i="33"/>
  <c r="O264" i="33" s="1"/>
  <c r="L259" i="33"/>
  <c r="O259" i="33" s="1"/>
  <c r="L257" i="33"/>
  <c r="O257" i="33" s="1"/>
  <c r="L255" i="33"/>
  <c r="O255" i="33" s="1"/>
  <c r="L253" i="33"/>
  <c r="O253" i="33" s="1"/>
  <c r="L251" i="33"/>
  <c r="O251" i="33" s="1"/>
  <c r="L249" i="33"/>
  <c r="O249" i="33" s="1"/>
  <c r="L247" i="33"/>
  <c r="O247" i="33" s="1"/>
  <c r="L245" i="33"/>
  <c r="O245" i="33" s="1"/>
  <c r="L243" i="33"/>
  <c r="O243" i="33" s="1"/>
  <c r="L241" i="33"/>
  <c r="O241" i="33" s="1"/>
  <c r="L239" i="33"/>
  <c r="O239" i="33" s="1"/>
  <c r="L237" i="33"/>
  <c r="O237" i="33" s="1"/>
  <c r="L235" i="33"/>
  <c r="O235" i="33" s="1"/>
  <c r="L233" i="33"/>
  <c r="O233" i="33" s="1"/>
  <c r="L231" i="33"/>
  <c r="O231" i="33" s="1"/>
  <c r="L277" i="33"/>
  <c r="O277" i="33" s="1"/>
  <c r="L274" i="33"/>
  <c r="O274" i="33" s="1"/>
  <c r="L269" i="33"/>
  <c r="O269" i="33" s="1"/>
  <c r="L266" i="33"/>
  <c r="O266" i="33" s="1"/>
  <c r="L261" i="33"/>
  <c r="O261" i="33" s="1"/>
  <c r="L268" i="33"/>
  <c r="O268" i="33" s="1"/>
  <c r="L258" i="33"/>
  <c r="O258" i="33" s="1"/>
  <c r="L250" i="33"/>
  <c r="O250" i="33" s="1"/>
  <c r="L242" i="33"/>
  <c r="O242" i="33" s="1"/>
  <c r="L234" i="33"/>
  <c r="O234" i="33" s="1"/>
  <c r="L276" i="33"/>
  <c r="O276" i="33" s="1"/>
  <c r="L256" i="33"/>
  <c r="O256" i="33" s="1"/>
  <c r="L248" i="33"/>
  <c r="O248" i="33" s="1"/>
  <c r="L240" i="33"/>
  <c r="O240" i="33" s="1"/>
  <c r="L232" i="33"/>
  <c r="O232" i="33" s="1"/>
  <c r="L254" i="33"/>
  <c r="O254" i="33" s="1"/>
  <c r="L238" i="33"/>
  <c r="O238" i="33" s="1"/>
  <c r="L271" i="33"/>
  <c r="O271" i="33" s="1"/>
  <c r="L252" i="33"/>
  <c r="O252" i="33" s="1"/>
  <c r="L236" i="33"/>
  <c r="O236" i="33" s="1"/>
  <c r="L263" i="33"/>
  <c r="O263" i="33" s="1"/>
  <c r="L246" i="33"/>
  <c r="O246" i="33" s="1"/>
  <c r="L230" i="33"/>
  <c r="O230" i="33" s="1"/>
  <c r="L244" i="33"/>
  <c r="O244" i="33" s="1"/>
  <c r="L260" i="33"/>
  <c r="O260" i="33" s="1"/>
  <c r="AG6" i="16"/>
  <c r="L342" i="33"/>
  <c r="O342" i="33" s="1"/>
  <c r="L339" i="33"/>
  <c r="O339" i="33" s="1"/>
  <c r="L340" i="33"/>
  <c r="O340" i="33" s="1"/>
  <c r="L338" i="33"/>
  <c r="O338" i="33" s="1"/>
  <c r="L336" i="33"/>
  <c r="O336" i="33" s="1"/>
  <c r="L334" i="33"/>
  <c r="O334" i="33" s="1"/>
  <c r="L332" i="33"/>
  <c r="O332" i="33" s="1"/>
  <c r="L330" i="33"/>
  <c r="O330" i="33" s="1"/>
  <c r="L328" i="33"/>
  <c r="O328" i="33" s="1"/>
  <c r="L326" i="33"/>
  <c r="O326" i="33" s="1"/>
  <c r="L324" i="33"/>
  <c r="O324" i="33" s="1"/>
  <c r="L322" i="33"/>
  <c r="O322" i="33" s="1"/>
  <c r="L320" i="33"/>
  <c r="O320" i="33" s="1"/>
  <c r="L318" i="33"/>
  <c r="O318" i="33" s="1"/>
  <c r="L316" i="33"/>
  <c r="O316" i="33" s="1"/>
  <c r="L314" i="33"/>
  <c r="O314" i="33" s="1"/>
  <c r="L312" i="33"/>
  <c r="O312" i="33" s="1"/>
  <c r="L310" i="33"/>
  <c r="O310" i="33" s="1"/>
  <c r="L308" i="33"/>
  <c r="O308" i="33" s="1"/>
  <c r="L306" i="33"/>
  <c r="O306" i="33" s="1"/>
  <c r="L304" i="33"/>
  <c r="O304" i="33" s="1"/>
  <c r="L302" i="33"/>
  <c r="O302" i="33" s="1"/>
  <c r="L300" i="33"/>
  <c r="O300" i="33" s="1"/>
  <c r="L298" i="33"/>
  <c r="O298" i="33" s="1"/>
  <c r="L296" i="33"/>
  <c r="O296" i="33" s="1"/>
  <c r="L294" i="33"/>
  <c r="O294" i="33" s="1"/>
  <c r="L292" i="33"/>
  <c r="O292" i="33" s="1"/>
  <c r="L290" i="33"/>
  <c r="O290" i="33" s="1"/>
  <c r="L288" i="33"/>
  <c r="O288" i="33" s="1"/>
  <c r="L286" i="33"/>
  <c r="O286" i="33" s="1"/>
  <c r="L284" i="33"/>
  <c r="O284" i="33" s="1"/>
  <c r="L282" i="33"/>
  <c r="O282" i="33" s="1"/>
  <c r="L280" i="33"/>
  <c r="O280" i="33" s="1"/>
  <c r="L278" i="33"/>
  <c r="L335" i="33"/>
  <c r="O335" i="33" s="1"/>
  <c r="L331" i="33"/>
  <c r="O331" i="33" s="1"/>
  <c r="L327" i="33"/>
  <c r="O327" i="33" s="1"/>
  <c r="L323" i="33"/>
  <c r="O323" i="33" s="1"/>
  <c r="L319" i="33"/>
  <c r="O319" i="33" s="1"/>
  <c r="L315" i="33"/>
  <c r="O315" i="33" s="1"/>
  <c r="L311" i="33"/>
  <c r="O311" i="33" s="1"/>
  <c r="L307" i="33"/>
  <c r="O307" i="33" s="1"/>
  <c r="L303" i="33"/>
  <c r="O303" i="33" s="1"/>
  <c r="L299" i="33"/>
  <c r="O299" i="33" s="1"/>
  <c r="L295" i="33"/>
  <c r="O295" i="33" s="1"/>
  <c r="L291" i="33"/>
  <c r="O291" i="33" s="1"/>
  <c r="L287" i="33"/>
  <c r="O287" i="33" s="1"/>
  <c r="L341" i="33"/>
  <c r="O341" i="33" s="1"/>
  <c r="L337" i="33"/>
  <c r="O337" i="33" s="1"/>
  <c r="L333" i="33"/>
  <c r="O333" i="33" s="1"/>
  <c r="L329" i="33"/>
  <c r="O329" i="33" s="1"/>
  <c r="L325" i="33"/>
  <c r="O325" i="33" s="1"/>
  <c r="L321" i="33"/>
  <c r="O321" i="33" s="1"/>
  <c r="L317" i="33"/>
  <c r="O317" i="33" s="1"/>
  <c r="L313" i="33"/>
  <c r="O313" i="33" s="1"/>
  <c r="L309" i="33"/>
  <c r="O309" i="33" s="1"/>
  <c r="L305" i="33"/>
  <c r="O305" i="33" s="1"/>
  <c r="L301" i="33"/>
  <c r="O301" i="33" s="1"/>
  <c r="L297" i="33"/>
  <c r="O297" i="33" s="1"/>
  <c r="L293" i="33"/>
  <c r="O293" i="33" s="1"/>
  <c r="L289" i="33"/>
  <c r="O289" i="33" s="1"/>
  <c r="L285" i="33"/>
  <c r="O285" i="33" s="1"/>
  <c r="L281" i="33"/>
  <c r="O281" i="33" s="1"/>
  <c r="L194" i="33"/>
  <c r="O194" i="33" s="1"/>
  <c r="L283" i="33"/>
  <c r="O283" i="33" s="1"/>
  <c r="L279" i="33"/>
  <c r="O279" i="33" s="1"/>
  <c r="O2" i="33"/>
  <c r="AG393" i="16"/>
  <c r="L463" i="33"/>
  <c r="O463" i="33" s="1"/>
  <c r="L459" i="33"/>
  <c r="O459" i="33" s="1"/>
  <c r="L455" i="33"/>
  <c r="O455" i="33" s="1"/>
  <c r="L460" i="33"/>
  <c r="O460" i="33" s="1"/>
  <c r="L456" i="33"/>
  <c r="O456" i="33" s="1"/>
  <c r="L452" i="33"/>
  <c r="O452" i="33" s="1"/>
  <c r="L461" i="33"/>
  <c r="O461" i="33" s="1"/>
  <c r="L457" i="33"/>
  <c r="O457" i="33" s="1"/>
  <c r="L453" i="33"/>
  <c r="O453" i="33" s="1"/>
  <c r="L451" i="33"/>
  <c r="O451" i="33" s="1"/>
  <c r="L462" i="33"/>
  <c r="O462" i="33" s="1"/>
  <c r="L458" i="33"/>
  <c r="O458" i="33" s="1"/>
  <c r="L454" i="33"/>
  <c r="O454" i="33" s="1"/>
  <c r="L154" i="33"/>
  <c r="O154" i="33" s="1"/>
  <c r="L150" i="33"/>
  <c r="O150" i="33" s="1"/>
  <c r="L146" i="33"/>
  <c r="O146" i="33" s="1"/>
  <c r="L118" i="33"/>
  <c r="O118" i="33" s="1"/>
  <c r="L114" i="33"/>
  <c r="O114" i="33" s="1"/>
  <c r="L110" i="33"/>
  <c r="O110" i="33" s="1"/>
  <c r="L106" i="33"/>
  <c r="O106" i="33" s="1"/>
  <c r="L102" i="33"/>
  <c r="O102" i="33" s="1"/>
  <c r="L98" i="33"/>
  <c r="O98" i="33" s="1"/>
  <c r="L151" i="33"/>
  <c r="O151" i="33" s="1"/>
  <c r="L120" i="33"/>
  <c r="O120" i="33" s="1"/>
  <c r="L117" i="33"/>
  <c r="O117" i="33" s="1"/>
  <c r="L112" i="33"/>
  <c r="O112" i="33" s="1"/>
  <c r="L109" i="33"/>
  <c r="O109" i="33" s="1"/>
  <c r="L104" i="33"/>
  <c r="O104" i="33" s="1"/>
  <c r="L101" i="33"/>
  <c r="O101" i="33" s="1"/>
  <c r="L157" i="33"/>
  <c r="O157" i="33" s="1"/>
  <c r="L152" i="33"/>
  <c r="O152" i="33" s="1"/>
  <c r="L149" i="33"/>
  <c r="O149" i="33" s="1"/>
  <c r="L115" i="33"/>
  <c r="O115" i="33" s="1"/>
  <c r="L107" i="33"/>
  <c r="O107" i="33" s="1"/>
  <c r="L99" i="33"/>
  <c r="O99" i="33" s="1"/>
  <c r="L155" i="33"/>
  <c r="O155" i="33" s="1"/>
  <c r="L147" i="33"/>
  <c r="O147" i="33" s="1"/>
  <c r="L121" i="33"/>
  <c r="O121" i="33" s="1"/>
  <c r="L116" i="33"/>
  <c r="O116" i="33" s="1"/>
  <c r="L113" i="33"/>
  <c r="O113" i="33" s="1"/>
  <c r="L108" i="33"/>
  <c r="O108" i="33" s="1"/>
  <c r="L105" i="33"/>
  <c r="O105" i="33" s="1"/>
  <c r="L100" i="33"/>
  <c r="O100" i="33" s="1"/>
  <c r="L156" i="33"/>
  <c r="O156" i="33" s="1"/>
  <c r="L148" i="33"/>
  <c r="O148" i="33" s="1"/>
  <c r="L119" i="33"/>
  <c r="O119" i="33" s="1"/>
  <c r="L103" i="33"/>
  <c r="O103" i="33" s="1"/>
  <c r="L111" i="33"/>
  <c r="O111" i="33" s="1"/>
  <c r="L153" i="33"/>
  <c r="O153" i="33" s="1"/>
  <c r="L73" i="33"/>
  <c r="O73" i="33" s="1"/>
  <c r="O343" i="33"/>
  <c r="AG437" i="16"/>
  <c r="AG443" i="16"/>
  <c r="AG200" i="16"/>
  <c r="AG226" i="16"/>
  <c r="AG447" i="16"/>
  <c r="AG390" i="16"/>
  <c r="AG465" i="16"/>
  <c r="AG434" i="16"/>
  <c r="AG379" i="16"/>
  <c r="AG394" i="16"/>
  <c r="AG420" i="16"/>
  <c r="AG474" i="16"/>
  <c r="AG433" i="16"/>
  <c r="AG70" i="16"/>
  <c r="AG64" i="16"/>
  <c r="AG373" i="16"/>
  <c r="AG62" i="16"/>
  <c r="AG349" i="16"/>
  <c r="AG31" i="16"/>
  <c r="AG475" i="16"/>
  <c r="AG446" i="16"/>
  <c r="AG266" i="16"/>
  <c r="AG201" i="16"/>
  <c r="AG473" i="16"/>
  <c r="AG221" i="16"/>
  <c r="AG464" i="16"/>
  <c r="AG190" i="16"/>
  <c r="AG376" i="16"/>
  <c r="AG222" i="16"/>
  <c r="AG66" i="16"/>
  <c r="AG345" i="16"/>
  <c r="AG367" i="16"/>
  <c r="AG378" i="16"/>
  <c r="AG440" i="16"/>
  <c r="AG63" i="16"/>
  <c r="AG354" i="16"/>
  <c r="AG347" i="16"/>
  <c r="AG3" i="16"/>
  <c r="AG36" i="16"/>
  <c r="AG11" i="16"/>
  <c r="AG5" i="16"/>
  <c r="AG7" i="16"/>
  <c r="AG449" i="16"/>
  <c r="AG385" i="16"/>
  <c r="AG471" i="16"/>
  <c r="AG212" i="16"/>
  <c r="AG188" i="16"/>
  <c r="AG472" i="16"/>
  <c r="AG191" i="16"/>
  <c r="AG26" i="16"/>
  <c r="AG415" i="16"/>
  <c r="AG203" i="16"/>
  <c r="AG73" i="16"/>
  <c r="AG12" i="16"/>
  <c r="AG451" i="16"/>
  <c r="AG227" i="16"/>
  <c r="AG9" i="16"/>
  <c r="AG207" i="16"/>
  <c r="AG189" i="16"/>
  <c r="AG352" i="16"/>
  <c r="AG4" i="16"/>
  <c r="AG402" i="16"/>
  <c r="AG418" i="16"/>
  <c r="AG470" i="16"/>
  <c r="AG195" i="16"/>
  <c r="AG198" i="16"/>
  <c r="AG405" i="16"/>
  <c r="AG469" i="16"/>
  <c r="AG209" i="16"/>
  <c r="AG466" i="16"/>
  <c r="AG343" i="16"/>
  <c r="AG389" i="16"/>
  <c r="AG217" i="16"/>
  <c r="AG71" i="16"/>
  <c r="AG392" i="16"/>
  <c r="AG224" i="16"/>
  <c r="AG183" i="16"/>
  <c r="AG37" i="16"/>
  <c r="AG416" i="16"/>
  <c r="AG409" i="16"/>
  <c r="AG223" i="16"/>
  <c r="AG371" i="16"/>
  <c r="AG397" i="16"/>
  <c r="AG435" i="16"/>
  <c r="AG194" i="16"/>
  <c r="AG368" i="16"/>
  <c r="AG2" i="16"/>
  <c r="AG467" i="16"/>
  <c r="AG344" i="16"/>
  <c r="AG186" i="16"/>
  <c r="AG422" i="16"/>
  <c r="AG350" i="16"/>
  <c r="AG218" i="16"/>
  <c r="AG412" i="16"/>
  <c r="AG205" i="16"/>
  <c r="AG10" i="16"/>
  <c r="AG65" i="16"/>
  <c r="AG29" i="16"/>
  <c r="AG425" i="16"/>
  <c r="AG204" i="16"/>
  <c r="AG196" i="16"/>
  <c r="AG372" i="16"/>
  <c r="AG438" i="16"/>
  <c r="AG67" i="16"/>
  <c r="AG346" i="16"/>
  <c r="AG445" i="16"/>
  <c r="AG69" i="16"/>
  <c r="AG228" i="16"/>
  <c r="AG206" i="16"/>
  <c r="AG208" i="16"/>
  <c r="AG398" i="16"/>
  <c r="AG427" i="16"/>
  <c r="AG370" i="16"/>
  <c r="AG428" i="16"/>
  <c r="AG220" i="16"/>
  <c r="AG382" i="16"/>
  <c r="AG396" i="16"/>
  <c r="AG28" i="16"/>
  <c r="AG442" i="16"/>
  <c r="AG381" i="16"/>
  <c r="AG72" i="16"/>
  <c r="AG413" i="16"/>
  <c r="AG32" i="16"/>
  <c r="AG380" i="16"/>
  <c r="AG444" i="16"/>
  <c r="AG429" i="16"/>
  <c r="AG426" i="16"/>
  <c r="AG410" i="16"/>
  <c r="AP4" i="16"/>
  <c r="AQ4" i="16" s="1"/>
  <c r="X44" i="12"/>
  <c r="AA5" i="12"/>
  <c r="AA44" i="12" s="1"/>
  <c r="X44" i="13"/>
  <c r="AA5" i="13"/>
  <c r="G5" i="40" l="1"/>
  <c r="G10" i="40"/>
  <c r="L15" i="38"/>
  <c r="L14" i="38"/>
  <c r="W11" i="33"/>
  <c r="T11" i="33"/>
  <c r="W9" i="33"/>
  <c r="AC12" i="33"/>
  <c r="AC9" i="33"/>
  <c r="Z12" i="33"/>
  <c r="AC11" i="33"/>
  <c r="T9" i="33"/>
  <c r="T10" i="33"/>
  <c r="O278" i="33"/>
  <c r="W10" i="33" s="1"/>
  <c r="AP6" i="16"/>
  <c r="AQ6" i="16" s="1"/>
  <c r="AP5" i="16"/>
  <c r="AQ5" i="16" s="1"/>
  <c r="AP3" i="16"/>
  <c r="AQ3" i="16" s="1"/>
  <c r="AA180" i="16"/>
  <c r="AA176" i="16"/>
  <c r="AA172" i="16"/>
  <c r="AA144" i="16"/>
  <c r="AG144" i="16" s="1"/>
  <c r="AA140" i="16"/>
  <c r="AG140" i="16" s="1"/>
  <c r="AA136" i="16"/>
  <c r="AG136" i="16" s="1"/>
  <c r="AA84" i="17"/>
  <c r="AA80" i="17"/>
  <c r="AA76" i="17"/>
  <c r="AA46" i="17"/>
  <c r="AA42" i="17"/>
  <c r="AA38" i="17"/>
  <c r="AA178" i="16"/>
  <c r="AG178" i="16" s="1"/>
  <c r="AA174" i="16"/>
  <c r="AG174" i="16" s="1"/>
  <c r="AA138" i="16"/>
  <c r="AG138" i="16" s="1"/>
  <c r="AA82" i="17"/>
  <c r="AA74" i="17"/>
  <c r="AA179" i="16"/>
  <c r="AA175" i="16"/>
  <c r="AG175" i="16" s="1"/>
  <c r="AA171" i="16"/>
  <c r="AG171" i="16" s="1"/>
  <c r="AA143" i="16"/>
  <c r="AG143" i="16" s="1"/>
  <c r="AA139" i="16"/>
  <c r="AG139" i="16" s="1"/>
  <c r="AA135" i="16"/>
  <c r="AG135" i="16" s="1"/>
  <c r="AA85" i="17"/>
  <c r="AA81" i="17"/>
  <c r="AA77" i="17"/>
  <c r="AA47" i="17"/>
  <c r="AA43" i="17"/>
  <c r="AA39" i="17"/>
  <c r="AA181" i="16"/>
  <c r="AG181" i="16" s="1"/>
  <c r="AA177" i="16"/>
  <c r="AG177" i="16" s="1"/>
  <c r="AA173" i="16"/>
  <c r="AG173" i="16" s="1"/>
  <c r="AA145" i="16"/>
  <c r="AA141" i="16"/>
  <c r="AA137" i="16"/>
  <c r="AA83" i="17"/>
  <c r="AA79" i="17"/>
  <c r="AA75" i="17"/>
  <c r="AA49" i="17"/>
  <c r="AA45" i="17"/>
  <c r="AA41" i="17"/>
  <c r="AA170" i="16"/>
  <c r="AG170" i="16" s="1"/>
  <c r="AA142" i="16"/>
  <c r="AG142" i="16" s="1"/>
  <c r="AA134" i="16"/>
  <c r="AG134" i="16" s="1"/>
  <c r="AA78" i="17"/>
  <c r="AA48" i="17"/>
  <c r="AA44" i="17"/>
  <c r="AA40" i="17"/>
  <c r="AA44" i="13"/>
  <c r="AG145" i="16"/>
  <c r="AG141" i="16"/>
  <c r="AG137" i="16"/>
  <c r="AA97" i="16"/>
  <c r="AA93" i="16"/>
  <c r="L93" i="33" s="1"/>
  <c r="O93" i="33" s="1"/>
  <c r="AA89" i="16"/>
  <c r="L89" i="33" s="1"/>
  <c r="O89" i="33" s="1"/>
  <c r="AA61" i="16"/>
  <c r="L61" i="33" s="1"/>
  <c r="O61" i="33" s="1"/>
  <c r="AA57" i="16"/>
  <c r="L57" i="33" s="1"/>
  <c r="O57" i="33" s="1"/>
  <c r="AA53" i="16"/>
  <c r="L53" i="33" s="1"/>
  <c r="O53" i="33" s="1"/>
  <c r="AA25" i="16"/>
  <c r="L25" i="33" s="1"/>
  <c r="O25" i="33" s="1"/>
  <c r="AA21" i="16"/>
  <c r="L21" i="33" s="1"/>
  <c r="O21" i="33" s="1"/>
  <c r="AA17" i="16"/>
  <c r="L17" i="33" s="1"/>
  <c r="O17" i="33" s="1"/>
  <c r="AG180" i="16"/>
  <c r="AG176" i="16"/>
  <c r="AG172" i="16"/>
  <c r="AA96" i="16"/>
  <c r="L96" i="33" s="1"/>
  <c r="O96" i="33" s="1"/>
  <c r="AA92" i="16"/>
  <c r="L92" i="33" s="1"/>
  <c r="O92" i="33" s="1"/>
  <c r="AA88" i="16"/>
  <c r="L88" i="33" s="1"/>
  <c r="O88" i="33" s="1"/>
  <c r="AA60" i="16"/>
  <c r="L60" i="33" s="1"/>
  <c r="O60" i="33" s="1"/>
  <c r="AA56" i="16"/>
  <c r="L56" i="33" s="1"/>
  <c r="O56" i="33" s="1"/>
  <c r="AA52" i="16"/>
  <c r="L52" i="33" s="1"/>
  <c r="O52" i="33" s="1"/>
  <c r="AA24" i="16"/>
  <c r="L24" i="33" s="1"/>
  <c r="O24" i="33" s="1"/>
  <c r="AA20" i="16"/>
  <c r="L20" i="33" s="1"/>
  <c r="O20" i="33" s="1"/>
  <c r="AA16" i="16"/>
  <c r="L16" i="33" s="1"/>
  <c r="O16" i="33" s="1"/>
  <c r="AA95" i="16"/>
  <c r="L95" i="33" s="1"/>
  <c r="O95" i="33" s="1"/>
  <c r="AA87" i="16"/>
  <c r="L87" i="33" s="1"/>
  <c r="O87" i="33" s="1"/>
  <c r="AA59" i="16"/>
  <c r="L59" i="33" s="1"/>
  <c r="O59" i="33" s="1"/>
  <c r="AA51" i="16"/>
  <c r="L51" i="33" s="1"/>
  <c r="O51" i="33" s="1"/>
  <c r="AA23" i="16"/>
  <c r="L23" i="33" s="1"/>
  <c r="O23" i="33" s="1"/>
  <c r="AA15" i="16"/>
  <c r="L15" i="33" s="1"/>
  <c r="O15" i="33" s="1"/>
  <c r="AA94" i="16"/>
  <c r="L94" i="33" s="1"/>
  <c r="O94" i="33" s="1"/>
  <c r="AA86" i="16"/>
  <c r="L86" i="33" s="1"/>
  <c r="O86" i="33" s="1"/>
  <c r="AA58" i="16"/>
  <c r="L58" i="33" s="1"/>
  <c r="O58" i="33" s="1"/>
  <c r="AA50" i="16"/>
  <c r="L50" i="33" s="1"/>
  <c r="O50" i="33" s="1"/>
  <c r="AA22" i="16"/>
  <c r="L22" i="33" s="1"/>
  <c r="O22" i="33" s="1"/>
  <c r="AA14" i="16"/>
  <c r="L14" i="33" s="1"/>
  <c r="AG179" i="16"/>
  <c r="AA91" i="16"/>
  <c r="L91" i="33" s="1"/>
  <c r="O91" i="33" s="1"/>
  <c r="AA55" i="16"/>
  <c r="L55" i="33" s="1"/>
  <c r="O55" i="33" s="1"/>
  <c r="AA19" i="16"/>
  <c r="L19" i="33" s="1"/>
  <c r="O19" i="33" s="1"/>
  <c r="AA90" i="16"/>
  <c r="L90" i="33" s="1"/>
  <c r="O90" i="33" s="1"/>
  <c r="AA54" i="16"/>
  <c r="L54" i="33" s="1"/>
  <c r="O54" i="33" s="1"/>
  <c r="AA18" i="16"/>
  <c r="L18" i="33" s="1"/>
  <c r="O18" i="33" s="1"/>
  <c r="Z11" i="33" l="1"/>
  <c r="Z9" i="33"/>
  <c r="AH9" i="33" s="1"/>
  <c r="AH12" i="33"/>
  <c r="L181" i="33"/>
  <c r="O181" i="33" s="1"/>
  <c r="L177" i="33"/>
  <c r="O177" i="33" s="1"/>
  <c r="L173" i="33"/>
  <c r="O173" i="33" s="1"/>
  <c r="L178" i="33"/>
  <c r="O178" i="33" s="1"/>
  <c r="L174" i="33"/>
  <c r="O174" i="33" s="1"/>
  <c r="L170" i="33"/>
  <c r="O170" i="33" s="1"/>
  <c r="L142" i="33"/>
  <c r="O142" i="33" s="1"/>
  <c r="L138" i="33"/>
  <c r="O138" i="33" s="1"/>
  <c r="L134" i="33"/>
  <c r="O134" i="33" s="1"/>
  <c r="L179" i="33"/>
  <c r="O179" i="33" s="1"/>
  <c r="L175" i="33"/>
  <c r="O175" i="33" s="1"/>
  <c r="L171" i="33"/>
  <c r="O171" i="33" s="1"/>
  <c r="L143" i="33"/>
  <c r="O143" i="33" s="1"/>
  <c r="L135" i="33"/>
  <c r="O135" i="33" s="1"/>
  <c r="L144" i="33"/>
  <c r="O144" i="33" s="1"/>
  <c r="L141" i="33"/>
  <c r="O141" i="33" s="1"/>
  <c r="L136" i="33"/>
  <c r="O136" i="33" s="1"/>
  <c r="L180" i="33"/>
  <c r="O180" i="33" s="1"/>
  <c r="L176" i="33"/>
  <c r="O176" i="33" s="1"/>
  <c r="L172" i="33"/>
  <c r="O172" i="33" s="1"/>
  <c r="L139" i="33"/>
  <c r="O139" i="33" s="1"/>
  <c r="L140" i="33"/>
  <c r="O140" i="33" s="1"/>
  <c r="L145" i="33"/>
  <c r="O145" i="33" s="1"/>
  <c r="L137" i="33"/>
  <c r="O137" i="33" s="1"/>
  <c r="L97" i="33"/>
  <c r="O97" i="33" s="1"/>
  <c r="Z10" i="33"/>
  <c r="AH10" i="33" s="1"/>
  <c r="O14" i="33"/>
  <c r="W7" i="33" s="1"/>
  <c r="AH11" i="33"/>
  <c r="AP8" i="16"/>
  <c r="AQ8" i="16" s="1"/>
  <c r="AG51" i="16"/>
  <c r="AG54" i="16"/>
  <c r="AG14" i="16"/>
  <c r="AG86" i="16"/>
  <c r="AG59" i="16"/>
  <c r="AG52" i="16"/>
  <c r="AG92" i="16"/>
  <c r="AG17" i="16"/>
  <c r="AG57" i="16"/>
  <c r="AG97" i="16"/>
  <c r="AG18" i="16"/>
  <c r="AG91" i="16"/>
  <c r="AG58" i="16"/>
  <c r="AG88" i="16"/>
  <c r="AG53" i="16"/>
  <c r="AG90" i="16"/>
  <c r="AG19" i="16"/>
  <c r="AG22" i="16"/>
  <c r="AG94" i="16"/>
  <c r="AG15" i="16"/>
  <c r="AG87" i="16"/>
  <c r="AG16" i="16"/>
  <c r="AG56" i="16"/>
  <c r="AG96" i="16"/>
  <c r="AG21" i="16"/>
  <c r="AG61" i="16"/>
  <c r="AG24" i="16"/>
  <c r="AG93" i="16"/>
  <c r="AG55" i="16"/>
  <c r="AG50" i="16"/>
  <c r="AG23" i="16"/>
  <c r="AG95" i="16"/>
  <c r="AG20" i="16"/>
  <c r="AG60" i="16"/>
  <c r="AG25" i="16"/>
  <c r="AG89" i="16"/>
  <c r="AC7" i="33" l="1"/>
  <c r="T7" i="33"/>
  <c r="Z7" i="33" s="1"/>
  <c r="AP2" i="16"/>
  <c r="AP7" i="16" s="1"/>
  <c r="AH7" i="33" l="1"/>
  <c r="AQ2" i="16"/>
  <c r="AQ7" i="16"/>
  <c r="AP9" i="16"/>
  <c r="AQ9" i="16" s="1"/>
  <c r="J2" i="33" l="1"/>
  <c r="K2" i="33"/>
  <c r="M2" i="33"/>
  <c r="N2" i="33"/>
  <c r="J3" i="33"/>
  <c r="K3" i="33"/>
  <c r="M3" i="33"/>
  <c r="N3" i="33"/>
  <c r="J4" i="33"/>
  <c r="K4" i="33"/>
  <c r="M4" i="33"/>
  <c r="N4" i="33"/>
  <c r="J5" i="33"/>
  <c r="K5" i="33"/>
  <c r="M5" i="33"/>
  <c r="N5" i="33"/>
  <c r="J6" i="33"/>
  <c r="K6" i="33"/>
  <c r="M6" i="33"/>
  <c r="N6" i="33"/>
  <c r="J7" i="33"/>
  <c r="K7" i="33"/>
  <c r="M7" i="33"/>
  <c r="N7" i="33"/>
  <c r="R7" i="33"/>
  <c r="S7" i="33"/>
  <c r="U7" i="33"/>
  <c r="V7" i="33"/>
  <c r="X7" i="33"/>
  <c r="Y7" i="33"/>
  <c r="AA7" i="33"/>
  <c r="AB7" i="33"/>
  <c r="AD7" i="33"/>
  <c r="AE7" i="33"/>
  <c r="AF7" i="33"/>
  <c r="AG7" i="33"/>
  <c r="AI7" i="33"/>
  <c r="AJ7" i="33"/>
  <c r="J8" i="33"/>
  <c r="K8" i="33"/>
  <c r="M8" i="33"/>
  <c r="N8" i="33"/>
  <c r="J9" i="33"/>
  <c r="K9" i="33"/>
  <c r="M9" i="33"/>
  <c r="N9" i="33"/>
  <c r="S9" i="33"/>
  <c r="V9" i="33"/>
  <c r="Y9" i="33"/>
  <c r="AB9" i="33"/>
  <c r="AE9" i="33"/>
  <c r="AG9" i="33"/>
  <c r="AJ9" i="33"/>
  <c r="J10" i="33"/>
  <c r="K10" i="33"/>
  <c r="M10" i="33"/>
  <c r="N10" i="33"/>
  <c r="S10" i="33"/>
  <c r="V10" i="33"/>
  <c r="Y10" i="33"/>
  <c r="AB10" i="33"/>
  <c r="AE10" i="33"/>
  <c r="AG10" i="33"/>
  <c r="AJ10" i="33"/>
  <c r="J11" i="33"/>
  <c r="K11" i="33"/>
  <c r="M11" i="33"/>
  <c r="N11" i="33"/>
  <c r="S11" i="33"/>
  <c r="V11" i="33"/>
  <c r="Y11" i="33"/>
  <c r="AB11" i="33"/>
  <c r="AE11" i="33"/>
  <c r="AG11" i="33"/>
  <c r="AJ11" i="33"/>
  <c r="J12" i="33"/>
  <c r="K12" i="33"/>
  <c r="M12" i="33"/>
  <c r="N12" i="33"/>
  <c r="S12" i="33"/>
  <c r="V12" i="33"/>
  <c r="Y12" i="33"/>
  <c r="AB12" i="33"/>
  <c r="AG12" i="33"/>
  <c r="AJ12" i="33"/>
  <c r="J13" i="33"/>
  <c r="K13" i="33"/>
  <c r="M13" i="33"/>
  <c r="N13" i="33"/>
  <c r="J14" i="33"/>
  <c r="K14" i="33"/>
  <c r="M14" i="33"/>
  <c r="N14" i="33"/>
  <c r="J15" i="33"/>
  <c r="K15" i="33"/>
  <c r="M15" i="33"/>
  <c r="N15" i="33"/>
  <c r="J16" i="33"/>
  <c r="K16" i="33"/>
  <c r="M16" i="33"/>
  <c r="N16" i="33"/>
  <c r="J17" i="33"/>
  <c r="K17" i="33"/>
  <c r="M17" i="33"/>
  <c r="N17" i="33"/>
  <c r="J18" i="33"/>
  <c r="K18" i="33"/>
  <c r="M18" i="33"/>
  <c r="N18" i="33"/>
  <c r="J19" i="33"/>
  <c r="K19" i="33"/>
  <c r="M19" i="33"/>
  <c r="N19" i="33"/>
  <c r="J20" i="33"/>
  <c r="K20" i="33"/>
  <c r="M20" i="33"/>
  <c r="N20" i="33"/>
  <c r="J21" i="33"/>
  <c r="K21" i="33"/>
  <c r="M21" i="33"/>
  <c r="N21" i="33"/>
  <c r="J22" i="33"/>
  <c r="K22" i="33"/>
  <c r="M22" i="33"/>
  <c r="N22" i="33"/>
  <c r="J23" i="33"/>
  <c r="K23" i="33"/>
  <c r="M23" i="33"/>
  <c r="N23" i="33"/>
  <c r="J24" i="33"/>
  <c r="K24" i="33"/>
  <c r="M24" i="33"/>
  <c r="N24" i="33"/>
  <c r="J25" i="33"/>
  <c r="K25" i="33"/>
  <c r="M25" i="33"/>
  <c r="N25" i="33"/>
  <c r="K26" i="33"/>
  <c r="N26" i="33"/>
  <c r="K27" i="33"/>
  <c r="N27" i="33"/>
  <c r="K28" i="33"/>
  <c r="N28" i="33"/>
  <c r="K29" i="33"/>
  <c r="N29" i="33"/>
  <c r="K30" i="33"/>
  <c r="N30" i="33"/>
  <c r="K31" i="33"/>
  <c r="N31" i="33"/>
  <c r="K32" i="33"/>
  <c r="N32" i="33"/>
  <c r="K33" i="33"/>
  <c r="N33" i="33"/>
  <c r="K34" i="33"/>
  <c r="N34" i="33"/>
  <c r="K35" i="33"/>
  <c r="N35" i="33"/>
  <c r="K36" i="33"/>
  <c r="N36" i="33"/>
  <c r="K37" i="33"/>
  <c r="N37" i="33"/>
  <c r="J38" i="33"/>
  <c r="M38" i="33"/>
  <c r="J39" i="33"/>
  <c r="M39" i="33"/>
  <c r="J40" i="33"/>
  <c r="M40" i="33"/>
  <c r="J41" i="33"/>
  <c r="M41" i="33"/>
  <c r="J42" i="33"/>
  <c r="M42" i="33"/>
  <c r="J43" i="33"/>
  <c r="M43" i="33"/>
  <c r="J44" i="33"/>
  <c r="M44" i="33"/>
  <c r="J45" i="33"/>
  <c r="M45" i="33"/>
  <c r="J46" i="33"/>
  <c r="M46" i="33"/>
  <c r="J47" i="33"/>
  <c r="M47" i="33"/>
  <c r="J48" i="33"/>
  <c r="M48" i="33"/>
  <c r="J49" i="33"/>
  <c r="M49" i="33"/>
  <c r="K50" i="33"/>
  <c r="N50" i="33"/>
  <c r="K51" i="33"/>
  <c r="N51" i="33"/>
  <c r="K52" i="33"/>
  <c r="N52" i="33"/>
  <c r="K53" i="33"/>
  <c r="N53" i="33"/>
  <c r="K54" i="33"/>
  <c r="N54" i="33"/>
  <c r="K55" i="33"/>
  <c r="N55" i="33"/>
  <c r="K56" i="33"/>
  <c r="N56" i="33"/>
  <c r="K57" i="33"/>
  <c r="N57" i="33"/>
  <c r="K58" i="33"/>
  <c r="N58" i="33"/>
  <c r="K59" i="33"/>
  <c r="N59" i="33"/>
  <c r="K60" i="33"/>
  <c r="N60" i="33"/>
  <c r="K61" i="33"/>
  <c r="N61" i="33"/>
  <c r="K62" i="33"/>
  <c r="N62" i="33"/>
  <c r="K63" i="33"/>
  <c r="N63" i="33"/>
  <c r="K64" i="33"/>
  <c r="N64" i="33"/>
  <c r="K65" i="33"/>
  <c r="N65" i="33"/>
  <c r="K66" i="33"/>
  <c r="N66" i="33"/>
  <c r="K67" i="33"/>
  <c r="N67" i="33"/>
  <c r="K68" i="33"/>
  <c r="N68" i="33"/>
  <c r="K69" i="33"/>
  <c r="N69" i="33"/>
  <c r="K70" i="33"/>
  <c r="N70" i="33"/>
  <c r="K71" i="33"/>
  <c r="N71" i="33"/>
  <c r="K72" i="33"/>
  <c r="N72" i="33"/>
  <c r="K73" i="33"/>
  <c r="N73" i="33"/>
  <c r="J74" i="33"/>
  <c r="M74" i="33"/>
  <c r="J75" i="33"/>
  <c r="M75" i="33"/>
  <c r="J76" i="33"/>
  <c r="M76" i="33"/>
  <c r="J77" i="33"/>
  <c r="M77" i="33"/>
  <c r="J78" i="33"/>
  <c r="M78" i="33"/>
  <c r="J79" i="33"/>
  <c r="M79" i="33"/>
  <c r="J80" i="33"/>
  <c r="M80" i="33"/>
  <c r="J81" i="33"/>
  <c r="M81" i="33"/>
  <c r="J82" i="33"/>
  <c r="M82" i="33"/>
  <c r="J83" i="33"/>
  <c r="M83" i="33"/>
  <c r="J84" i="33"/>
  <c r="M84" i="33"/>
  <c r="J85" i="33"/>
  <c r="M85" i="33"/>
  <c r="K86" i="33"/>
  <c r="N86" i="33"/>
  <c r="K87" i="33"/>
  <c r="N87" i="33"/>
  <c r="K88" i="33"/>
  <c r="N88" i="33"/>
  <c r="K89" i="33"/>
  <c r="N89" i="33"/>
  <c r="K90" i="33"/>
  <c r="N90" i="33"/>
  <c r="K91" i="33"/>
  <c r="N91" i="33"/>
  <c r="K92" i="33"/>
  <c r="N92" i="33"/>
  <c r="K93" i="33"/>
  <c r="N93" i="33"/>
  <c r="K94" i="33"/>
  <c r="N94" i="33"/>
  <c r="K95" i="33"/>
  <c r="N95" i="33"/>
  <c r="K96" i="33"/>
  <c r="N96" i="33"/>
  <c r="K97" i="33"/>
  <c r="N97" i="33"/>
  <c r="K98" i="33"/>
  <c r="N98" i="33"/>
  <c r="K99" i="33"/>
  <c r="N99" i="33"/>
  <c r="K100" i="33"/>
  <c r="N100" i="33"/>
  <c r="K101" i="33"/>
  <c r="N101" i="33"/>
  <c r="K102" i="33"/>
  <c r="N102" i="33"/>
  <c r="K103" i="33"/>
  <c r="N103" i="33"/>
  <c r="K104" i="33"/>
  <c r="N104" i="33"/>
  <c r="K105" i="33"/>
  <c r="N105" i="33"/>
  <c r="K106" i="33"/>
  <c r="N106" i="33"/>
  <c r="K107" i="33"/>
  <c r="N107" i="33"/>
  <c r="K108" i="33"/>
  <c r="N108" i="33"/>
  <c r="K109" i="33"/>
  <c r="N109" i="33"/>
  <c r="K110" i="33"/>
  <c r="N110" i="33"/>
  <c r="K111" i="33"/>
  <c r="N111" i="33"/>
  <c r="K112" i="33"/>
  <c r="N112" i="33"/>
  <c r="K113" i="33"/>
  <c r="N113" i="33"/>
  <c r="K114" i="33"/>
  <c r="N114" i="33"/>
  <c r="K115" i="33"/>
  <c r="N115" i="33"/>
  <c r="K116" i="33"/>
  <c r="N116" i="33"/>
  <c r="K117" i="33"/>
  <c r="N117" i="33"/>
  <c r="K118" i="33"/>
  <c r="N118" i="33"/>
  <c r="K119" i="33"/>
  <c r="N119" i="33"/>
  <c r="K120" i="33"/>
  <c r="N120" i="33"/>
  <c r="K121" i="33"/>
  <c r="N121" i="33"/>
  <c r="J122" i="33"/>
  <c r="M122" i="33"/>
  <c r="J123" i="33"/>
  <c r="M123" i="33"/>
  <c r="J124" i="33"/>
  <c r="M124" i="33"/>
  <c r="J125" i="33"/>
  <c r="M125" i="33"/>
  <c r="J126" i="33"/>
  <c r="M126" i="33"/>
  <c r="J127" i="33"/>
  <c r="M127" i="33"/>
  <c r="J128" i="33"/>
  <c r="M128" i="33"/>
  <c r="J129" i="33"/>
  <c r="M129" i="33"/>
  <c r="J130" i="33"/>
  <c r="M130" i="33"/>
  <c r="J131" i="33"/>
  <c r="M131" i="33"/>
  <c r="J132" i="33"/>
  <c r="M132" i="33"/>
  <c r="J133" i="33"/>
  <c r="M133" i="33"/>
  <c r="K134" i="33"/>
  <c r="N134" i="33"/>
  <c r="K135" i="33"/>
  <c r="N135" i="33"/>
  <c r="K136" i="33"/>
  <c r="N136" i="33"/>
  <c r="K137" i="33"/>
  <c r="N137" i="33"/>
  <c r="K138" i="33"/>
  <c r="N138" i="33"/>
  <c r="K139" i="33"/>
  <c r="N139" i="33"/>
  <c r="K140" i="33"/>
  <c r="N140" i="33"/>
  <c r="K141" i="33"/>
  <c r="N141" i="33"/>
  <c r="K142" i="33"/>
  <c r="N142" i="33"/>
  <c r="K143" i="33"/>
  <c r="N143" i="33"/>
  <c r="K144" i="33"/>
  <c r="N144" i="33"/>
  <c r="K145" i="33"/>
  <c r="N145" i="33"/>
  <c r="K146" i="33"/>
  <c r="N146" i="33"/>
  <c r="K147" i="33"/>
  <c r="N147" i="33"/>
  <c r="K148" i="33"/>
  <c r="N148" i="33"/>
  <c r="K149" i="33"/>
  <c r="N149" i="33"/>
  <c r="K150" i="33"/>
  <c r="N150" i="33"/>
  <c r="K151" i="33"/>
  <c r="N151" i="33"/>
  <c r="K152" i="33"/>
  <c r="N152" i="33"/>
  <c r="K153" i="33"/>
  <c r="N153" i="33"/>
  <c r="K154" i="33"/>
  <c r="N154" i="33"/>
  <c r="K155" i="33"/>
  <c r="N155" i="33"/>
  <c r="K156" i="33"/>
  <c r="N156" i="33"/>
  <c r="K157" i="33"/>
  <c r="N157" i="33"/>
  <c r="J158" i="33"/>
  <c r="M158" i="33"/>
  <c r="J159" i="33"/>
  <c r="M159" i="33"/>
  <c r="J160" i="33"/>
  <c r="M160" i="33"/>
  <c r="J161" i="33"/>
  <c r="M161" i="33"/>
  <c r="J162" i="33"/>
  <c r="M162" i="33"/>
  <c r="J163" i="33"/>
  <c r="M163" i="33"/>
  <c r="J164" i="33"/>
  <c r="M164" i="33"/>
  <c r="J165" i="33"/>
  <c r="M165" i="33"/>
  <c r="J166" i="33"/>
  <c r="M166" i="33"/>
  <c r="J167" i="33"/>
  <c r="M167" i="33"/>
  <c r="J168" i="33"/>
  <c r="M168" i="33"/>
  <c r="J169" i="33"/>
  <c r="M169" i="33"/>
  <c r="K170" i="33"/>
  <c r="N170" i="33"/>
  <c r="K171" i="33"/>
  <c r="N171" i="33"/>
  <c r="K172" i="33"/>
  <c r="N172" i="33"/>
  <c r="K173" i="33"/>
  <c r="N173" i="33"/>
  <c r="K174" i="33"/>
  <c r="N174" i="33"/>
  <c r="K175" i="33"/>
  <c r="N175" i="33"/>
  <c r="K176" i="33"/>
  <c r="N176" i="33"/>
  <c r="K177" i="33"/>
  <c r="N177" i="33"/>
  <c r="K178" i="33"/>
  <c r="N178" i="33"/>
  <c r="K179" i="33"/>
  <c r="N179" i="33"/>
  <c r="K180" i="33"/>
  <c r="N180" i="33"/>
  <c r="K181" i="33"/>
  <c r="N181" i="33"/>
  <c r="K182" i="33"/>
  <c r="N182" i="33"/>
  <c r="K183" i="33"/>
  <c r="N183" i="33"/>
  <c r="K184" i="33"/>
  <c r="N184" i="33"/>
  <c r="K185" i="33"/>
  <c r="N185" i="33"/>
  <c r="K186" i="33"/>
  <c r="N186" i="33"/>
  <c r="K187" i="33"/>
  <c r="N187" i="33"/>
  <c r="K188" i="33"/>
  <c r="N188" i="33"/>
  <c r="K189" i="33"/>
  <c r="N189" i="33"/>
  <c r="K190" i="33"/>
  <c r="N190" i="33"/>
  <c r="K191" i="33"/>
  <c r="N191" i="33"/>
  <c r="K192" i="33"/>
  <c r="N192" i="33"/>
  <c r="K193" i="33"/>
  <c r="N193" i="33"/>
  <c r="K194" i="33"/>
  <c r="N194" i="33"/>
  <c r="K195" i="33"/>
  <c r="N195" i="33"/>
  <c r="K196" i="33"/>
  <c r="N196" i="33"/>
  <c r="K197" i="33"/>
  <c r="N197" i="33"/>
  <c r="K198" i="33"/>
  <c r="N198" i="33"/>
  <c r="K199" i="33"/>
  <c r="N199" i="33"/>
  <c r="K200" i="33"/>
  <c r="N200" i="33"/>
  <c r="K201" i="33"/>
  <c r="N201" i="33"/>
  <c r="K202" i="33"/>
  <c r="N202" i="33"/>
  <c r="K203" i="33"/>
  <c r="N203" i="33"/>
  <c r="K204" i="33"/>
  <c r="N204" i="33"/>
  <c r="K205" i="33"/>
  <c r="N205" i="33"/>
  <c r="K206" i="33"/>
  <c r="N206" i="33"/>
  <c r="K207" i="33"/>
  <c r="N207" i="33"/>
  <c r="K208" i="33"/>
  <c r="N208" i="33"/>
  <c r="K209" i="33"/>
  <c r="N209" i="33"/>
  <c r="K210" i="33"/>
  <c r="N210" i="33"/>
  <c r="K211" i="33"/>
  <c r="N211" i="33"/>
  <c r="K212" i="33"/>
  <c r="N212" i="33"/>
  <c r="K213" i="33"/>
  <c r="N213" i="33"/>
  <c r="K214" i="33"/>
  <c r="N214" i="33"/>
  <c r="K215" i="33"/>
  <c r="N215" i="33"/>
  <c r="K216" i="33"/>
  <c r="N216" i="33"/>
  <c r="K217" i="33"/>
  <c r="N217" i="33"/>
  <c r="K218" i="33"/>
  <c r="N218" i="33"/>
  <c r="K219" i="33"/>
  <c r="N219" i="33"/>
  <c r="K220" i="33"/>
  <c r="N220" i="33"/>
  <c r="K221" i="33"/>
  <c r="N221" i="33"/>
  <c r="K222" i="33"/>
  <c r="N222" i="33"/>
  <c r="K223" i="33"/>
  <c r="N223" i="33"/>
  <c r="K224" i="33"/>
  <c r="N224" i="33"/>
  <c r="K225" i="33"/>
  <c r="N225" i="33"/>
  <c r="K226" i="33"/>
  <c r="N226" i="33"/>
  <c r="K227" i="33"/>
  <c r="N227" i="33"/>
  <c r="K228" i="33"/>
  <c r="N228" i="33"/>
  <c r="K229" i="33"/>
  <c r="N229" i="33"/>
  <c r="K230" i="33"/>
  <c r="N230" i="33"/>
  <c r="K231" i="33"/>
  <c r="N231" i="33"/>
  <c r="K232" i="33"/>
  <c r="N232" i="33"/>
  <c r="K233" i="33"/>
  <c r="N233" i="33"/>
  <c r="K234" i="33"/>
  <c r="N234" i="33"/>
  <c r="K235" i="33"/>
  <c r="N235" i="33"/>
  <c r="K236" i="33"/>
  <c r="N236" i="33"/>
  <c r="K237" i="33"/>
  <c r="N237" i="33"/>
  <c r="K238" i="33"/>
  <c r="N238" i="33"/>
  <c r="K239" i="33"/>
  <c r="N239" i="33"/>
  <c r="K240" i="33"/>
  <c r="N240" i="33"/>
  <c r="K241" i="33"/>
  <c r="N241" i="33"/>
  <c r="K242" i="33"/>
  <c r="N242" i="33"/>
  <c r="K243" i="33"/>
  <c r="N243" i="33"/>
  <c r="K244" i="33"/>
  <c r="N244" i="33"/>
  <c r="K245" i="33"/>
  <c r="N245" i="33"/>
  <c r="K246" i="33"/>
  <c r="N246" i="33"/>
  <c r="K247" i="33"/>
  <c r="N247" i="33"/>
  <c r="K248" i="33"/>
  <c r="N248" i="33"/>
  <c r="K249" i="33"/>
  <c r="N249" i="33"/>
  <c r="K250" i="33"/>
  <c r="N250" i="33"/>
  <c r="K251" i="33"/>
  <c r="N251" i="33"/>
  <c r="K252" i="33"/>
  <c r="N252" i="33"/>
  <c r="K253" i="33"/>
  <c r="N253" i="33"/>
  <c r="K254" i="33"/>
  <c r="N254" i="33"/>
  <c r="K255" i="33"/>
  <c r="N255" i="33"/>
  <c r="K256" i="33"/>
  <c r="N256" i="33"/>
  <c r="K257" i="33"/>
  <c r="N257" i="33"/>
  <c r="K258" i="33"/>
  <c r="N258" i="33"/>
  <c r="K259" i="33"/>
  <c r="N259" i="33"/>
  <c r="K260" i="33"/>
  <c r="N260" i="33"/>
  <c r="K261" i="33"/>
  <c r="N261" i="33"/>
  <c r="K262" i="33"/>
  <c r="N262" i="33"/>
  <c r="K263" i="33"/>
  <c r="N263" i="33"/>
  <c r="K264" i="33"/>
  <c r="N264" i="33"/>
  <c r="K265" i="33"/>
  <c r="N265" i="33"/>
  <c r="K266" i="33"/>
  <c r="N266" i="33"/>
  <c r="K267" i="33"/>
  <c r="N267" i="33"/>
  <c r="K268" i="33"/>
  <c r="N268" i="33"/>
  <c r="K269" i="33"/>
  <c r="N269" i="33"/>
  <c r="K270" i="33"/>
  <c r="N270" i="33"/>
  <c r="K271" i="33"/>
  <c r="N271" i="33"/>
  <c r="K272" i="33"/>
  <c r="N272" i="33"/>
  <c r="K273" i="33"/>
  <c r="N273" i="33"/>
  <c r="K274" i="33"/>
  <c r="N274" i="33"/>
  <c r="K275" i="33"/>
  <c r="N275" i="33"/>
  <c r="K276" i="33"/>
  <c r="N276" i="33"/>
  <c r="K277" i="33"/>
  <c r="N277" i="33"/>
  <c r="K278" i="33"/>
  <c r="N278" i="33"/>
  <c r="K279" i="33"/>
  <c r="N279" i="33"/>
  <c r="K280" i="33"/>
  <c r="N280" i="33"/>
  <c r="K281" i="33"/>
  <c r="N281" i="33"/>
  <c r="K282" i="33"/>
  <c r="N282" i="33"/>
  <c r="K283" i="33"/>
  <c r="N283" i="33"/>
  <c r="K284" i="33"/>
  <c r="N284" i="33"/>
  <c r="K285" i="33"/>
  <c r="N285" i="33"/>
  <c r="K286" i="33"/>
  <c r="N286" i="33"/>
  <c r="K287" i="33"/>
  <c r="N287" i="33"/>
  <c r="K288" i="33"/>
  <c r="N288" i="33"/>
  <c r="K289" i="33"/>
  <c r="N289" i="33"/>
  <c r="K290" i="33"/>
  <c r="N290" i="33"/>
  <c r="K291" i="33"/>
  <c r="N291" i="33"/>
  <c r="K292" i="33"/>
  <c r="N292" i="33"/>
  <c r="K293" i="33"/>
  <c r="N293" i="33"/>
  <c r="K294" i="33"/>
  <c r="N294" i="33"/>
  <c r="K295" i="33"/>
  <c r="N295" i="33"/>
  <c r="K296" i="33"/>
  <c r="N296" i="33"/>
  <c r="K297" i="33"/>
  <c r="N297" i="33"/>
  <c r="K298" i="33"/>
  <c r="N298" i="33"/>
  <c r="K299" i="33"/>
  <c r="N299" i="33"/>
  <c r="K300" i="33"/>
  <c r="N300" i="33"/>
  <c r="K301" i="33"/>
  <c r="N301" i="33"/>
  <c r="K302" i="33"/>
  <c r="N302" i="33"/>
  <c r="K303" i="33"/>
  <c r="N303" i="33"/>
  <c r="K304" i="33"/>
  <c r="N304" i="33"/>
  <c r="K305" i="33"/>
  <c r="N305" i="33"/>
  <c r="K306" i="33"/>
  <c r="N306" i="33"/>
  <c r="K307" i="33"/>
  <c r="N307" i="33"/>
  <c r="K308" i="33"/>
  <c r="N308" i="33"/>
  <c r="K309" i="33"/>
  <c r="N309" i="33"/>
  <c r="K310" i="33"/>
  <c r="N310" i="33"/>
  <c r="K311" i="33"/>
  <c r="N311" i="33"/>
  <c r="K312" i="33"/>
  <c r="N312" i="33"/>
  <c r="K313" i="33"/>
  <c r="N313" i="33"/>
  <c r="K314" i="33"/>
  <c r="N314" i="33"/>
  <c r="K315" i="33"/>
  <c r="N315" i="33"/>
  <c r="K316" i="33"/>
  <c r="N316" i="33"/>
  <c r="K317" i="33"/>
  <c r="N317" i="33"/>
  <c r="K318" i="33"/>
  <c r="N318" i="33"/>
  <c r="K319" i="33"/>
  <c r="N319" i="33"/>
  <c r="K320" i="33"/>
  <c r="N320" i="33"/>
  <c r="K321" i="33"/>
  <c r="N321" i="33"/>
  <c r="K322" i="33"/>
  <c r="N322" i="33"/>
  <c r="K323" i="33"/>
  <c r="N323" i="33"/>
  <c r="K324" i="33"/>
  <c r="N324" i="33"/>
  <c r="K325" i="33"/>
  <c r="N325" i="33"/>
  <c r="K326" i="33"/>
  <c r="N326" i="33"/>
  <c r="K327" i="33"/>
  <c r="N327" i="33"/>
  <c r="K328" i="33"/>
  <c r="N328" i="33"/>
  <c r="K329" i="33"/>
  <c r="N329" i="33"/>
  <c r="K330" i="33"/>
  <c r="N330" i="33"/>
  <c r="K331" i="33"/>
  <c r="N331" i="33"/>
  <c r="K332" i="33"/>
  <c r="N332" i="33"/>
  <c r="K333" i="33"/>
  <c r="N333" i="33"/>
  <c r="K334" i="33"/>
  <c r="N334" i="33"/>
  <c r="K335" i="33"/>
  <c r="N335" i="33"/>
  <c r="K336" i="33"/>
  <c r="N336" i="33"/>
  <c r="K337" i="33"/>
  <c r="N337" i="33"/>
  <c r="K338" i="33"/>
  <c r="N338" i="33"/>
  <c r="K339" i="33"/>
  <c r="N339" i="33"/>
  <c r="K340" i="33"/>
  <c r="N340" i="33"/>
  <c r="K341" i="33"/>
  <c r="N341" i="33"/>
  <c r="K342" i="33"/>
  <c r="N342" i="33"/>
  <c r="K343" i="33"/>
  <c r="N343" i="33"/>
  <c r="K344" i="33"/>
  <c r="N344" i="33"/>
  <c r="K345" i="33"/>
  <c r="N345" i="33"/>
  <c r="K346" i="33"/>
  <c r="N346" i="33"/>
  <c r="K347" i="33"/>
  <c r="N347" i="33"/>
  <c r="K348" i="33"/>
  <c r="N348" i="33"/>
  <c r="K349" i="33"/>
  <c r="N349" i="33"/>
  <c r="K350" i="33"/>
  <c r="N350" i="33"/>
  <c r="K351" i="33"/>
  <c r="N351" i="33"/>
  <c r="K352" i="33"/>
  <c r="N352" i="33"/>
  <c r="K353" i="33"/>
  <c r="N353" i="33"/>
  <c r="K354" i="33"/>
  <c r="N354" i="33"/>
  <c r="K355" i="33"/>
  <c r="N355" i="33"/>
  <c r="K356" i="33"/>
  <c r="N356" i="33"/>
  <c r="K357" i="33"/>
  <c r="N357" i="33"/>
  <c r="K358" i="33"/>
  <c r="N358" i="33"/>
  <c r="K359" i="33"/>
  <c r="N359" i="33"/>
  <c r="K360" i="33"/>
  <c r="N360" i="33"/>
  <c r="K361" i="33"/>
  <c r="N361" i="33"/>
  <c r="K362" i="33"/>
  <c r="N362" i="33"/>
  <c r="K363" i="33"/>
  <c r="N363" i="33"/>
  <c r="K364" i="33"/>
  <c r="N364" i="33"/>
  <c r="K365" i="33"/>
  <c r="N365" i="33"/>
  <c r="K366" i="33"/>
  <c r="N366" i="33"/>
  <c r="K367" i="33"/>
  <c r="N367" i="33"/>
  <c r="K368" i="33"/>
  <c r="N368" i="33"/>
  <c r="K369" i="33"/>
  <c r="N369" i="33"/>
  <c r="K370" i="33"/>
  <c r="N370" i="33"/>
  <c r="K371" i="33"/>
  <c r="N371" i="33"/>
  <c r="K372" i="33"/>
  <c r="N372" i="33"/>
  <c r="K373" i="33"/>
  <c r="N373" i="33"/>
  <c r="K374" i="33"/>
  <c r="N374" i="33"/>
  <c r="K375" i="33"/>
  <c r="N375" i="33"/>
  <c r="K376" i="33"/>
  <c r="N376" i="33"/>
  <c r="K377" i="33"/>
  <c r="N377" i="33"/>
  <c r="K378" i="33"/>
  <c r="N378" i="33"/>
  <c r="K379" i="33"/>
  <c r="N379" i="33"/>
  <c r="K380" i="33"/>
  <c r="N380" i="33"/>
  <c r="K381" i="33"/>
  <c r="N381" i="33"/>
  <c r="K382" i="33"/>
  <c r="N382" i="33"/>
  <c r="K383" i="33"/>
  <c r="N383" i="33"/>
  <c r="K384" i="33"/>
  <c r="N384" i="33"/>
  <c r="K385" i="33"/>
  <c r="N385" i="33"/>
  <c r="K386" i="33"/>
  <c r="N386" i="33"/>
  <c r="K387" i="33"/>
  <c r="N387" i="33"/>
  <c r="K388" i="33"/>
  <c r="N388" i="33"/>
  <c r="K389" i="33"/>
  <c r="N389" i="33"/>
  <c r="K390" i="33"/>
  <c r="N390" i="33"/>
  <c r="K391" i="33"/>
  <c r="N391" i="33"/>
  <c r="K392" i="33"/>
  <c r="N392" i="33"/>
  <c r="K393" i="33"/>
  <c r="N393" i="33"/>
  <c r="K394" i="33"/>
  <c r="N394" i="33"/>
  <c r="K395" i="33"/>
  <c r="N395" i="33"/>
  <c r="K396" i="33"/>
  <c r="N396" i="33"/>
  <c r="K397" i="33"/>
  <c r="N397" i="33"/>
  <c r="K398" i="33"/>
  <c r="N398" i="33"/>
  <c r="K399" i="33"/>
  <c r="N399" i="33"/>
  <c r="K400" i="33"/>
  <c r="N400" i="33"/>
  <c r="K401" i="33"/>
  <c r="N401" i="33"/>
  <c r="K402" i="33"/>
  <c r="N402" i="33"/>
  <c r="K403" i="33"/>
  <c r="N403" i="33"/>
  <c r="K404" i="33"/>
  <c r="N404" i="33"/>
  <c r="K405" i="33"/>
  <c r="N405" i="33"/>
  <c r="K406" i="33"/>
  <c r="N406" i="33"/>
  <c r="K407" i="33"/>
  <c r="N407" i="33"/>
  <c r="K408" i="33"/>
  <c r="N408" i="33"/>
  <c r="K409" i="33"/>
  <c r="N409" i="33"/>
  <c r="K410" i="33"/>
  <c r="N410" i="33"/>
  <c r="K411" i="33"/>
  <c r="N411" i="33"/>
  <c r="K412" i="33"/>
  <c r="N412" i="33"/>
  <c r="K413" i="33"/>
  <c r="N413" i="33"/>
  <c r="K414" i="33"/>
  <c r="N414" i="33"/>
  <c r="K415" i="33"/>
  <c r="N415" i="33"/>
  <c r="K416" i="33"/>
  <c r="N416" i="33"/>
  <c r="K417" i="33"/>
  <c r="N417" i="33"/>
  <c r="K418" i="33"/>
  <c r="N418" i="33"/>
  <c r="K419" i="33"/>
  <c r="N419" i="33"/>
  <c r="K420" i="33"/>
  <c r="N420" i="33"/>
  <c r="K421" i="33"/>
  <c r="N421" i="33"/>
  <c r="K422" i="33"/>
  <c r="N422" i="33"/>
  <c r="K423" i="33"/>
  <c r="N423" i="33"/>
  <c r="K424" i="33"/>
  <c r="N424" i="33"/>
  <c r="K425" i="33"/>
  <c r="N425" i="33"/>
  <c r="K426" i="33"/>
  <c r="N426" i="33"/>
  <c r="K427" i="33"/>
  <c r="N427" i="33"/>
  <c r="K428" i="33"/>
  <c r="N428" i="33"/>
  <c r="K429" i="33"/>
  <c r="N429" i="33"/>
  <c r="K430" i="33"/>
  <c r="N430" i="33"/>
  <c r="K431" i="33"/>
  <c r="N431" i="33"/>
  <c r="K432" i="33"/>
  <c r="N432" i="33"/>
  <c r="K433" i="33"/>
  <c r="N433" i="33"/>
  <c r="K434" i="33"/>
  <c r="N434" i="33"/>
  <c r="K435" i="33"/>
  <c r="N435" i="33"/>
  <c r="K436" i="33"/>
  <c r="N436" i="33"/>
  <c r="K437" i="33"/>
  <c r="N437" i="33"/>
  <c r="K438" i="33"/>
  <c r="N438" i="33"/>
  <c r="K439" i="33"/>
  <c r="N439" i="33"/>
  <c r="K440" i="33"/>
  <c r="N440" i="33"/>
  <c r="K441" i="33"/>
  <c r="N441" i="33"/>
  <c r="K442" i="33"/>
  <c r="N442" i="33"/>
  <c r="K443" i="33"/>
  <c r="N443" i="33"/>
  <c r="K444" i="33"/>
  <c r="N444" i="33"/>
  <c r="K445" i="33"/>
  <c r="N445" i="33"/>
  <c r="K446" i="33"/>
  <c r="N446" i="33"/>
  <c r="K447" i="33"/>
  <c r="N447" i="33"/>
  <c r="K448" i="33"/>
  <c r="N448" i="33"/>
  <c r="K449" i="33"/>
  <c r="N449" i="33"/>
  <c r="K450" i="33"/>
  <c r="N450" i="33"/>
  <c r="K451" i="33"/>
  <c r="N451" i="33"/>
  <c r="K452" i="33"/>
  <c r="N452" i="33"/>
  <c r="K453" i="33"/>
  <c r="N453" i="33"/>
  <c r="K454" i="33"/>
  <c r="N454" i="33"/>
  <c r="K455" i="33"/>
  <c r="N455" i="33"/>
  <c r="K456" i="33"/>
  <c r="N456" i="33"/>
  <c r="K457" i="33"/>
  <c r="N457" i="33"/>
  <c r="K458" i="33"/>
  <c r="N458" i="33"/>
  <c r="K459" i="33"/>
  <c r="N459" i="33"/>
  <c r="K460" i="33"/>
  <c r="N460" i="33"/>
  <c r="K461" i="33"/>
  <c r="N461" i="33"/>
  <c r="K462" i="33"/>
  <c r="N462" i="33"/>
  <c r="K463" i="33"/>
  <c r="N463" i="33"/>
  <c r="K464" i="33"/>
  <c r="N464" i="33"/>
  <c r="K465" i="33"/>
  <c r="N465" i="33"/>
  <c r="K466" i="33"/>
  <c r="N466" i="33"/>
  <c r="K467" i="33"/>
  <c r="N467" i="33"/>
  <c r="K468" i="33"/>
  <c r="N468" i="33"/>
  <c r="K469" i="33"/>
  <c r="N469" i="33"/>
  <c r="K470" i="33"/>
  <c r="N470" i="33"/>
  <c r="K471" i="33"/>
  <c r="N471" i="33"/>
  <c r="K472" i="33"/>
  <c r="N472" i="33"/>
  <c r="K473" i="33"/>
  <c r="N473" i="33"/>
  <c r="K474" i="33"/>
  <c r="N474" i="33"/>
  <c r="K475" i="33"/>
  <c r="N475" i="33"/>
  <c r="D47" i="5"/>
  <c r="E47" i="5"/>
  <c r="F47" i="5"/>
  <c r="D48" i="5"/>
  <c r="E48" i="5"/>
  <c r="F48" i="5"/>
  <c r="D50" i="5"/>
  <c r="E50" i="5"/>
  <c r="D52" i="5"/>
  <c r="E52" i="5"/>
  <c r="D53" i="5"/>
  <c r="Y2" i="16"/>
  <c r="Z2" i="16"/>
  <c r="AE2" i="16"/>
  <c r="AF2" i="16"/>
  <c r="AK2" i="16"/>
  <c r="AL2" i="16"/>
  <c r="AU2" i="16"/>
  <c r="AV2" i="16"/>
  <c r="Y3" i="16"/>
  <c r="Z3" i="16"/>
  <c r="AE3" i="16"/>
  <c r="AF3" i="16"/>
  <c r="AK3" i="16"/>
  <c r="AL3" i="16"/>
  <c r="AU3" i="16"/>
  <c r="AV3" i="16"/>
  <c r="Y4" i="16"/>
  <c r="Z4" i="16"/>
  <c r="AE4" i="16"/>
  <c r="AF4" i="16"/>
  <c r="AK4" i="16"/>
  <c r="AL4" i="16"/>
  <c r="AU4" i="16"/>
  <c r="AV4" i="16"/>
  <c r="Y5" i="16"/>
  <c r="Z5" i="16"/>
  <c r="AE5" i="16"/>
  <c r="AF5" i="16"/>
  <c r="AK5" i="16"/>
  <c r="AL5" i="16"/>
  <c r="AU5" i="16"/>
  <c r="AV5" i="16"/>
  <c r="Y6" i="16"/>
  <c r="Z6" i="16"/>
  <c r="AE6" i="16"/>
  <c r="AF6" i="16"/>
  <c r="AK6" i="16"/>
  <c r="AL6" i="16"/>
  <c r="AU6" i="16"/>
  <c r="AV6" i="16"/>
  <c r="Y7" i="16"/>
  <c r="Z7" i="16"/>
  <c r="AE7" i="16"/>
  <c r="AF7" i="16"/>
  <c r="AK7" i="16"/>
  <c r="AL7" i="16"/>
  <c r="AU7" i="16"/>
  <c r="AV7" i="16"/>
  <c r="Y8" i="16"/>
  <c r="Z8" i="16"/>
  <c r="AE8" i="16"/>
  <c r="AF8" i="16"/>
  <c r="AK8" i="16"/>
  <c r="AL8" i="16"/>
  <c r="AU8" i="16"/>
  <c r="AV8" i="16"/>
  <c r="Y9" i="16"/>
  <c r="Z9" i="16"/>
  <c r="AE9" i="16"/>
  <c r="AF9" i="16"/>
  <c r="AK9" i="16"/>
  <c r="AL9" i="16"/>
  <c r="AU9" i="16"/>
  <c r="AV9" i="16"/>
  <c r="Y10" i="16"/>
  <c r="Z10" i="16"/>
  <c r="AE10" i="16"/>
  <c r="AF10" i="16"/>
  <c r="Y11" i="16"/>
  <c r="Z11" i="16"/>
  <c r="AE11" i="16"/>
  <c r="AF11" i="16"/>
  <c r="Y12" i="16"/>
  <c r="Z12" i="16"/>
  <c r="AE12" i="16"/>
  <c r="AF12" i="16"/>
  <c r="Y13" i="16"/>
  <c r="Z13" i="16"/>
  <c r="AE13" i="16"/>
  <c r="AF13" i="16"/>
  <c r="Y14" i="16"/>
  <c r="Z14" i="16"/>
  <c r="AE14" i="16"/>
  <c r="AF14" i="16"/>
  <c r="Y15" i="16"/>
  <c r="Z15" i="16"/>
  <c r="AE15" i="16"/>
  <c r="AF15" i="16"/>
  <c r="Y16" i="16"/>
  <c r="Z16" i="16"/>
  <c r="AE16" i="16"/>
  <c r="AF16" i="16"/>
  <c r="Y17" i="16"/>
  <c r="Z17" i="16"/>
  <c r="AE17" i="16"/>
  <c r="AF17" i="16"/>
  <c r="Y18" i="16"/>
  <c r="Z18" i="16"/>
  <c r="AE18" i="16"/>
  <c r="AF18" i="16"/>
  <c r="Y19" i="16"/>
  <c r="Z19" i="16"/>
  <c r="AE19" i="16"/>
  <c r="AF19" i="16"/>
  <c r="Y20" i="16"/>
  <c r="Z20" i="16"/>
  <c r="AE20" i="16"/>
  <c r="AF20" i="16"/>
  <c r="Y21" i="16"/>
  <c r="Z21" i="16"/>
  <c r="AE21" i="16"/>
  <c r="AF21" i="16"/>
  <c r="Y22" i="16"/>
  <c r="Z22" i="16"/>
  <c r="AE22" i="16"/>
  <c r="AF22" i="16"/>
  <c r="Y23" i="16"/>
  <c r="Z23" i="16"/>
  <c r="AE23" i="16"/>
  <c r="AF23" i="16"/>
  <c r="Y24" i="16"/>
  <c r="Z24" i="16"/>
  <c r="AE24" i="16"/>
  <c r="AF24" i="16"/>
  <c r="Y25" i="16"/>
  <c r="Z25" i="16"/>
  <c r="AE25" i="16"/>
  <c r="AF25" i="16"/>
  <c r="Z26" i="16"/>
  <c r="AF26" i="16"/>
  <c r="Z27" i="16"/>
  <c r="AF27" i="16"/>
  <c r="Z28" i="16"/>
  <c r="AF28" i="16"/>
  <c r="Z29" i="16"/>
  <c r="AF29" i="16"/>
  <c r="Z30" i="16"/>
  <c r="AF30" i="16"/>
  <c r="Z31" i="16"/>
  <c r="AF31" i="16"/>
  <c r="Z32" i="16"/>
  <c r="AF32" i="16"/>
  <c r="Z33" i="16"/>
  <c r="AF33" i="16"/>
  <c r="Z34" i="16"/>
  <c r="AF34" i="16"/>
  <c r="Z35" i="16"/>
  <c r="AF35" i="16"/>
  <c r="Z36" i="16"/>
  <c r="AF36" i="16"/>
  <c r="Z37" i="16"/>
  <c r="AF37" i="16"/>
  <c r="Y38" i="16"/>
  <c r="AE38" i="16"/>
  <c r="Y39" i="16"/>
  <c r="AE39" i="16"/>
  <c r="Y40" i="16"/>
  <c r="AE40" i="16"/>
  <c r="Y41" i="16"/>
  <c r="AE41" i="16"/>
  <c r="Y42" i="16"/>
  <c r="AE42" i="16"/>
  <c r="Y43" i="16"/>
  <c r="AE43" i="16"/>
  <c r="Y44" i="16"/>
  <c r="AE44" i="16"/>
  <c r="Y45" i="16"/>
  <c r="AE45" i="16"/>
  <c r="Y46" i="16"/>
  <c r="AE46" i="16"/>
  <c r="Y47" i="16"/>
  <c r="AE47" i="16"/>
  <c r="Y48" i="16"/>
  <c r="AE48" i="16"/>
  <c r="Y49" i="16"/>
  <c r="AE49" i="16"/>
  <c r="Z50" i="16"/>
  <c r="AF50" i="16"/>
  <c r="Z51" i="16"/>
  <c r="AF51" i="16"/>
  <c r="Z52" i="16"/>
  <c r="AF52" i="16"/>
  <c r="Z53" i="16"/>
  <c r="AF53" i="16"/>
  <c r="Z54" i="16"/>
  <c r="AF54" i="16"/>
  <c r="Z55" i="16"/>
  <c r="AF55" i="16"/>
  <c r="Z56" i="16"/>
  <c r="AF56" i="16"/>
  <c r="Z57" i="16"/>
  <c r="AF57" i="16"/>
  <c r="Z58" i="16"/>
  <c r="AF58" i="16"/>
  <c r="Z59" i="16"/>
  <c r="AF59" i="16"/>
  <c r="Z60" i="16"/>
  <c r="AF60" i="16"/>
  <c r="Z61" i="16"/>
  <c r="AF61" i="16"/>
  <c r="Z62" i="16"/>
  <c r="AF62" i="16"/>
  <c r="Z63" i="16"/>
  <c r="AF63" i="16"/>
  <c r="Z64" i="16"/>
  <c r="AF64" i="16"/>
  <c r="Z65" i="16"/>
  <c r="AF65" i="16"/>
  <c r="Z66" i="16"/>
  <c r="AF66" i="16"/>
  <c r="Z67" i="16"/>
  <c r="AF67" i="16"/>
  <c r="Z68" i="16"/>
  <c r="AF68" i="16"/>
  <c r="Z69" i="16"/>
  <c r="AF69" i="16"/>
  <c r="Z70" i="16"/>
  <c r="AF70" i="16"/>
  <c r="Z71" i="16"/>
  <c r="AF71" i="16"/>
  <c r="Z72" i="16"/>
  <c r="AF72" i="16"/>
  <c r="Z73" i="16"/>
  <c r="AF73" i="16"/>
  <c r="Y74" i="16"/>
  <c r="AE74" i="16"/>
  <c r="Y75" i="16"/>
  <c r="AE75" i="16"/>
  <c r="Y76" i="16"/>
  <c r="AE76" i="16"/>
  <c r="Y77" i="16"/>
  <c r="AE77" i="16"/>
  <c r="Y78" i="16"/>
  <c r="AE78" i="16"/>
  <c r="Y79" i="16"/>
  <c r="AE79" i="16"/>
  <c r="Y80" i="16"/>
  <c r="AE80" i="16"/>
  <c r="Y81" i="16"/>
  <c r="AE81" i="16"/>
  <c r="Y82" i="16"/>
  <c r="AE82" i="16"/>
  <c r="Y83" i="16"/>
  <c r="AE83" i="16"/>
  <c r="Y84" i="16"/>
  <c r="AE84" i="16"/>
  <c r="Y85" i="16"/>
  <c r="AE85" i="16"/>
  <c r="Z86" i="16"/>
  <c r="AF86" i="16"/>
  <c r="Z87" i="16"/>
  <c r="AF87" i="16"/>
  <c r="Z88" i="16"/>
  <c r="AF88" i="16"/>
  <c r="Z89" i="16"/>
  <c r="AF89" i="16"/>
  <c r="Z90" i="16"/>
  <c r="AF90" i="16"/>
  <c r="Z91" i="16"/>
  <c r="AF91" i="16"/>
  <c r="Z92" i="16"/>
  <c r="AF92" i="16"/>
  <c r="Z93" i="16"/>
  <c r="AF93" i="16"/>
  <c r="Z94" i="16"/>
  <c r="AF94" i="16"/>
  <c r="Z95" i="16"/>
  <c r="AF95" i="16"/>
  <c r="Z96" i="16"/>
  <c r="AF96" i="16"/>
  <c r="Z97" i="16"/>
  <c r="AF97" i="16"/>
  <c r="Z98" i="16"/>
  <c r="AF98" i="16"/>
  <c r="Z99" i="16"/>
  <c r="AF99" i="16"/>
  <c r="Z100" i="16"/>
  <c r="AF100" i="16"/>
  <c r="Z101" i="16"/>
  <c r="AF101" i="16"/>
  <c r="Z102" i="16"/>
  <c r="AF102" i="16"/>
  <c r="Z103" i="16"/>
  <c r="AF103" i="16"/>
  <c r="Z104" i="16"/>
  <c r="AF104" i="16"/>
  <c r="Z105" i="16"/>
  <c r="AF105" i="16"/>
  <c r="Z106" i="16"/>
  <c r="AF106" i="16"/>
  <c r="Z107" i="16"/>
  <c r="AF107" i="16"/>
  <c r="Z108" i="16"/>
  <c r="AF108" i="16"/>
  <c r="Z109" i="16"/>
  <c r="AF109" i="16"/>
  <c r="Z110" i="16"/>
  <c r="AF110" i="16"/>
  <c r="Z111" i="16"/>
  <c r="AF111" i="16"/>
  <c r="Z112" i="16"/>
  <c r="AF112" i="16"/>
  <c r="Z113" i="16"/>
  <c r="AF113" i="16"/>
  <c r="Z114" i="16"/>
  <c r="AF114" i="16"/>
  <c r="Z115" i="16"/>
  <c r="AF115" i="16"/>
  <c r="Z116" i="16"/>
  <c r="AF116" i="16"/>
  <c r="Z117" i="16"/>
  <c r="AF117" i="16"/>
  <c r="Z118" i="16"/>
  <c r="AF118" i="16"/>
  <c r="Z119" i="16"/>
  <c r="AF119" i="16"/>
  <c r="Z120" i="16"/>
  <c r="AF120" i="16"/>
  <c r="Z121" i="16"/>
  <c r="AF121" i="16"/>
  <c r="Y122" i="16"/>
  <c r="AE122" i="16"/>
  <c r="Y123" i="16"/>
  <c r="AE123" i="16"/>
  <c r="Y124" i="16"/>
  <c r="AE124" i="16"/>
  <c r="Y125" i="16"/>
  <c r="AE125" i="16"/>
  <c r="Y126" i="16"/>
  <c r="AE126" i="16"/>
  <c r="Y127" i="16"/>
  <c r="AE127" i="16"/>
  <c r="Y128" i="16"/>
  <c r="AE128" i="16"/>
  <c r="Y129" i="16"/>
  <c r="AE129" i="16"/>
  <c r="Y130" i="16"/>
  <c r="AE130" i="16"/>
  <c r="Y131" i="16"/>
  <c r="AE131" i="16"/>
  <c r="Y132" i="16"/>
  <c r="AE132" i="16"/>
  <c r="Y133" i="16"/>
  <c r="AE133" i="16"/>
  <c r="Z134" i="16"/>
  <c r="AF134" i="16"/>
  <c r="Z135" i="16"/>
  <c r="AF135" i="16"/>
  <c r="Z136" i="16"/>
  <c r="AF136" i="16"/>
  <c r="Z137" i="16"/>
  <c r="AF137" i="16"/>
  <c r="Z138" i="16"/>
  <c r="AF138" i="16"/>
  <c r="Z139" i="16"/>
  <c r="AF139" i="16"/>
  <c r="Z140" i="16"/>
  <c r="AF140" i="16"/>
  <c r="Z141" i="16"/>
  <c r="AF141" i="16"/>
  <c r="Z142" i="16"/>
  <c r="AF142" i="16"/>
  <c r="Z143" i="16"/>
  <c r="AF143" i="16"/>
  <c r="Z144" i="16"/>
  <c r="AF144" i="16"/>
  <c r="Z145" i="16"/>
  <c r="AF145" i="16"/>
  <c r="Z146" i="16"/>
  <c r="AF146" i="16"/>
  <c r="Z147" i="16"/>
  <c r="AF147" i="16"/>
  <c r="Z148" i="16"/>
  <c r="AF148" i="16"/>
  <c r="Z149" i="16"/>
  <c r="AF149" i="16"/>
  <c r="Z150" i="16"/>
  <c r="AF150" i="16"/>
  <c r="Z151" i="16"/>
  <c r="AF151" i="16"/>
  <c r="Z152" i="16"/>
  <c r="AF152" i="16"/>
  <c r="Z153" i="16"/>
  <c r="AF153" i="16"/>
  <c r="Z154" i="16"/>
  <c r="AF154" i="16"/>
  <c r="Z155" i="16"/>
  <c r="AF155" i="16"/>
  <c r="Z156" i="16"/>
  <c r="AF156" i="16"/>
  <c r="Z157" i="16"/>
  <c r="AF157" i="16"/>
  <c r="Y158" i="16"/>
  <c r="AE158" i="16"/>
  <c r="Y159" i="16"/>
  <c r="AE159" i="16"/>
  <c r="Y160" i="16"/>
  <c r="AE160" i="16"/>
  <c r="Y161" i="16"/>
  <c r="AE161" i="16"/>
  <c r="Y162" i="16"/>
  <c r="AE162" i="16"/>
  <c r="Y163" i="16"/>
  <c r="AE163" i="16"/>
  <c r="Y164" i="16"/>
  <c r="AE164" i="16"/>
  <c r="Y165" i="16"/>
  <c r="AE165" i="16"/>
  <c r="Y166" i="16"/>
  <c r="AE166" i="16"/>
  <c r="Y167" i="16"/>
  <c r="AE167" i="16"/>
  <c r="Y168" i="16"/>
  <c r="AE168" i="16"/>
  <c r="Y169" i="16"/>
  <c r="AE169" i="16"/>
  <c r="Z170" i="16"/>
  <c r="AF170" i="16"/>
  <c r="Z171" i="16"/>
  <c r="AF171" i="16"/>
  <c r="Z172" i="16"/>
  <c r="AF172" i="16"/>
  <c r="Z173" i="16"/>
  <c r="AF173" i="16"/>
  <c r="Z174" i="16"/>
  <c r="AF174" i="16"/>
  <c r="Z175" i="16"/>
  <c r="AF175" i="16"/>
  <c r="Z176" i="16"/>
  <c r="AF176" i="16"/>
  <c r="Z177" i="16"/>
  <c r="AF177" i="16"/>
  <c r="Z178" i="16"/>
  <c r="AF178" i="16"/>
  <c r="Z179" i="16"/>
  <c r="AF179" i="16"/>
  <c r="Z180" i="16"/>
  <c r="AF180" i="16"/>
  <c r="Z181" i="16"/>
  <c r="AF181" i="16"/>
  <c r="Z182" i="16"/>
  <c r="AF182" i="16"/>
  <c r="Z183" i="16"/>
  <c r="AF183" i="16"/>
  <c r="Z184" i="16"/>
  <c r="AF184" i="16"/>
  <c r="Z185" i="16"/>
  <c r="AF185" i="16"/>
  <c r="Z186" i="16"/>
  <c r="AF186" i="16"/>
  <c r="Z187" i="16"/>
  <c r="AF187" i="16"/>
  <c r="Z188" i="16"/>
  <c r="AF188" i="16"/>
  <c r="Z189" i="16"/>
  <c r="AF189" i="16"/>
  <c r="Z190" i="16"/>
  <c r="AF190" i="16"/>
  <c r="Z191" i="16"/>
  <c r="AF191" i="16"/>
  <c r="Z192" i="16"/>
  <c r="AF192" i="16"/>
  <c r="Z193" i="16"/>
  <c r="AF193" i="16"/>
  <c r="Z194" i="16"/>
  <c r="AF194" i="16"/>
  <c r="Z195" i="16"/>
  <c r="AF195" i="16"/>
  <c r="Z196" i="16"/>
  <c r="AF196" i="16"/>
  <c r="Z197" i="16"/>
  <c r="AF197" i="16"/>
  <c r="Z198" i="16"/>
  <c r="AF198" i="16"/>
  <c r="Z199" i="16"/>
  <c r="AF199" i="16"/>
  <c r="Z200" i="16"/>
  <c r="AF200" i="16"/>
  <c r="Z201" i="16"/>
  <c r="AF201" i="16"/>
  <c r="Z202" i="16"/>
  <c r="AF202" i="16"/>
  <c r="Z203" i="16"/>
  <c r="AF203" i="16"/>
  <c r="Z204" i="16"/>
  <c r="AF204" i="16"/>
  <c r="Z205" i="16"/>
  <c r="AF205" i="16"/>
  <c r="Z206" i="16"/>
  <c r="AF206" i="16"/>
  <c r="Z207" i="16"/>
  <c r="AF207" i="16"/>
  <c r="Z208" i="16"/>
  <c r="AF208" i="16"/>
  <c r="Z209" i="16"/>
  <c r="AF209" i="16"/>
  <c r="Z210" i="16"/>
  <c r="AF210" i="16"/>
  <c r="Z211" i="16"/>
  <c r="AF211" i="16"/>
  <c r="Z212" i="16"/>
  <c r="AF212" i="16"/>
  <c r="Z213" i="16"/>
  <c r="AF213" i="16"/>
  <c r="Z214" i="16"/>
  <c r="AF214" i="16"/>
  <c r="Z215" i="16"/>
  <c r="AF215" i="16"/>
  <c r="Z216" i="16"/>
  <c r="AF216" i="16"/>
  <c r="Z217" i="16"/>
  <c r="AF217" i="16"/>
  <c r="Z218" i="16"/>
  <c r="AF218" i="16"/>
  <c r="Z219" i="16"/>
  <c r="AF219" i="16"/>
  <c r="Z220" i="16"/>
  <c r="AF220" i="16"/>
  <c r="Z221" i="16"/>
  <c r="AF221" i="16"/>
  <c r="Z222" i="16"/>
  <c r="AF222" i="16"/>
  <c r="Z223" i="16"/>
  <c r="AF223" i="16"/>
  <c r="Z224" i="16"/>
  <c r="AF224" i="16"/>
  <c r="Z225" i="16"/>
  <c r="AF225" i="16"/>
  <c r="Z226" i="16"/>
  <c r="AF226" i="16"/>
  <c r="Z227" i="16"/>
  <c r="AF227" i="16"/>
  <c r="Z228" i="16"/>
  <c r="AF228" i="16"/>
  <c r="Z229" i="16"/>
  <c r="AF229" i="16"/>
  <c r="Z230" i="16"/>
  <c r="AF230" i="16"/>
  <c r="Z231" i="16"/>
  <c r="AF231" i="16"/>
  <c r="Z232" i="16"/>
  <c r="AF232" i="16"/>
  <c r="Z233" i="16"/>
  <c r="AF233" i="16"/>
  <c r="Z234" i="16"/>
  <c r="AF234" i="16"/>
  <c r="Z235" i="16"/>
  <c r="AF235" i="16"/>
  <c r="Z236" i="16"/>
  <c r="AF236" i="16"/>
  <c r="Z237" i="16"/>
  <c r="AF237" i="16"/>
  <c r="Z238" i="16"/>
  <c r="AF238" i="16"/>
  <c r="Z239" i="16"/>
  <c r="AF239" i="16"/>
  <c r="Z240" i="16"/>
  <c r="AF240" i="16"/>
  <c r="Z241" i="16"/>
  <c r="AF241" i="16"/>
  <c r="Z242" i="16"/>
  <c r="AF242" i="16"/>
  <c r="Z243" i="16"/>
  <c r="AF243" i="16"/>
  <c r="Z244" i="16"/>
  <c r="AF244" i="16"/>
  <c r="Z245" i="16"/>
  <c r="AF245" i="16"/>
  <c r="Z246" i="16"/>
  <c r="AF246" i="16"/>
  <c r="Z247" i="16"/>
  <c r="AF247" i="16"/>
  <c r="Z248" i="16"/>
  <c r="AF248" i="16"/>
  <c r="Z249" i="16"/>
  <c r="AF249" i="16"/>
  <c r="Z250" i="16"/>
  <c r="AF250" i="16"/>
  <c r="Z251" i="16"/>
  <c r="AF251" i="16"/>
  <c r="Z252" i="16"/>
  <c r="AF252" i="16"/>
  <c r="Z253" i="16"/>
  <c r="AF253" i="16"/>
  <c r="Z254" i="16"/>
  <c r="AF254" i="16"/>
  <c r="Z255" i="16"/>
  <c r="AF255" i="16"/>
  <c r="Z256" i="16"/>
  <c r="AF256" i="16"/>
  <c r="Z257" i="16"/>
  <c r="AF257" i="16"/>
  <c r="Z258" i="16"/>
  <c r="AF258" i="16"/>
  <c r="Z259" i="16"/>
  <c r="AF259" i="16"/>
  <c r="Z260" i="16"/>
  <c r="AF260" i="16"/>
  <c r="Z261" i="16"/>
  <c r="AF261" i="16"/>
  <c r="Z262" i="16"/>
  <c r="AF262" i="16"/>
  <c r="Z263" i="16"/>
  <c r="AF263" i="16"/>
  <c r="Z264" i="16"/>
  <c r="AF264" i="16"/>
  <c r="Z265" i="16"/>
  <c r="AF265" i="16"/>
  <c r="Z266" i="16"/>
  <c r="AF266" i="16"/>
  <c r="Z267" i="16"/>
  <c r="AF267" i="16"/>
  <c r="Z268" i="16"/>
  <c r="AF268" i="16"/>
  <c r="Z269" i="16"/>
  <c r="AF269" i="16"/>
  <c r="Z270" i="16"/>
  <c r="AF270" i="16"/>
  <c r="Z271" i="16"/>
  <c r="AF271" i="16"/>
  <c r="Z272" i="16"/>
  <c r="AF272" i="16"/>
  <c r="Z273" i="16"/>
  <c r="AF273" i="16"/>
  <c r="Z274" i="16"/>
  <c r="AF274" i="16"/>
  <c r="Z275" i="16"/>
  <c r="AF275" i="16"/>
  <c r="Z276" i="16"/>
  <c r="AF276" i="16"/>
  <c r="Z277" i="16"/>
  <c r="AF277" i="16"/>
  <c r="Z278" i="16"/>
  <c r="AF278" i="16"/>
  <c r="Z279" i="16"/>
  <c r="AF279" i="16"/>
  <c r="Z280" i="16"/>
  <c r="AF280" i="16"/>
  <c r="Z281" i="16"/>
  <c r="AF281" i="16"/>
  <c r="Z282" i="16"/>
  <c r="AF282" i="16"/>
  <c r="Z283" i="16"/>
  <c r="AF283" i="16"/>
  <c r="Z284" i="16"/>
  <c r="AF284" i="16"/>
  <c r="Z285" i="16"/>
  <c r="AF285" i="16"/>
  <c r="Z286" i="16"/>
  <c r="AF286" i="16"/>
  <c r="Z287" i="16"/>
  <c r="AF287" i="16"/>
  <c r="Z288" i="16"/>
  <c r="AF288" i="16"/>
  <c r="Z289" i="16"/>
  <c r="AF289" i="16"/>
  <c r="Z290" i="16"/>
  <c r="AF290" i="16"/>
  <c r="Z291" i="16"/>
  <c r="AF291" i="16"/>
  <c r="Z292" i="16"/>
  <c r="AF292" i="16"/>
  <c r="Z293" i="16"/>
  <c r="AF293" i="16"/>
  <c r="Z294" i="16"/>
  <c r="AF294" i="16"/>
  <c r="Z295" i="16"/>
  <c r="AF295" i="16"/>
  <c r="Z296" i="16"/>
  <c r="AF296" i="16"/>
  <c r="Z297" i="16"/>
  <c r="AF297" i="16"/>
  <c r="Z298" i="16"/>
  <c r="AF298" i="16"/>
  <c r="Z299" i="16"/>
  <c r="AF299" i="16"/>
  <c r="Z300" i="16"/>
  <c r="AF300" i="16"/>
  <c r="Z301" i="16"/>
  <c r="AF301" i="16"/>
  <c r="Z302" i="16"/>
  <c r="AF302" i="16"/>
  <c r="Z303" i="16"/>
  <c r="AF303" i="16"/>
  <c r="Z304" i="16"/>
  <c r="AF304" i="16"/>
  <c r="Z305" i="16"/>
  <c r="AF305" i="16"/>
  <c r="Z306" i="16"/>
  <c r="AF306" i="16"/>
  <c r="Z307" i="16"/>
  <c r="AF307" i="16"/>
  <c r="Z308" i="16"/>
  <c r="AF308" i="16"/>
  <c r="Z309" i="16"/>
  <c r="AF309" i="16"/>
  <c r="Z310" i="16"/>
  <c r="AF310" i="16"/>
  <c r="Z311" i="16"/>
  <c r="AF311" i="16"/>
  <c r="Z312" i="16"/>
  <c r="AF312" i="16"/>
  <c r="Z313" i="16"/>
  <c r="AF313" i="16"/>
  <c r="Z314" i="16"/>
  <c r="AF314" i="16"/>
  <c r="Z315" i="16"/>
  <c r="AF315" i="16"/>
  <c r="Z316" i="16"/>
  <c r="AF316" i="16"/>
  <c r="Z317" i="16"/>
  <c r="AF317" i="16"/>
  <c r="Z318" i="16"/>
  <c r="AF318" i="16"/>
  <c r="Z319" i="16"/>
  <c r="AF319" i="16"/>
  <c r="Z320" i="16"/>
  <c r="AF320" i="16"/>
  <c r="Z321" i="16"/>
  <c r="AF321" i="16"/>
  <c r="Z322" i="16"/>
  <c r="AF322" i="16"/>
  <c r="Z323" i="16"/>
  <c r="AF323" i="16"/>
  <c r="Z324" i="16"/>
  <c r="AF324" i="16"/>
  <c r="Z325" i="16"/>
  <c r="AF325" i="16"/>
  <c r="Z326" i="16"/>
  <c r="AF326" i="16"/>
  <c r="Z327" i="16"/>
  <c r="AF327" i="16"/>
  <c r="Z328" i="16"/>
  <c r="AF328" i="16"/>
  <c r="Z329" i="16"/>
  <c r="AF329" i="16"/>
  <c r="Z330" i="16"/>
  <c r="AF330" i="16"/>
  <c r="Z331" i="16"/>
  <c r="AF331" i="16"/>
  <c r="Z332" i="16"/>
  <c r="AF332" i="16"/>
  <c r="Z333" i="16"/>
  <c r="AF333" i="16"/>
  <c r="Z334" i="16"/>
  <c r="AF334" i="16"/>
  <c r="Z335" i="16"/>
  <c r="AF335" i="16"/>
  <c r="Z336" i="16"/>
  <c r="AF336" i="16"/>
  <c r="Z337" i="16"/>
  <c r="AF337" i="16"/>
  <c r="Z338" i="16"/>
  <c r="AF338" i="16"/>
  <c r="Z339" i="16"/>
  <c r="AF339" i="16"/>
  <c r="Z340" i="16"/>
  <c r="AF340" i="16"/>
  <c r="Z341" i="16"/>
  <c r="AF341" i="16"/>
  <c r="Z342" i="16"/>
  <c r="AF342" i="16"/>
  <c r="Z343" i="16"/>
  <c r="AF343" i="16"/>
  <c r="Z344" i="16"/>
  <c r="AF344" i="16"/>
  <c r="Z345" i="16"/>
  <c r="AF345" i="16"/>
  <c r="Z346" i="16"/>
  <c r="AF346" i="16"/>
  <c r="Z347" i="16"/>
  <c r="AF347" i="16"/>
  <c r="Z348" i="16"/>
  <c r="AF348" i="16"/>
  <c r="Z349" i="16"/>
  <c r="AF349" i="16"/>
  <c r="Z350" i="16"/>
  <c r="AF350" i="16"/>
  <c r="Z351" i="16"/>
  <c r="AF351" i="16"/>
  <c r="Z352" i="16"/>
  <c r="AF352" i="16"/>
  <c r="Z353" i="16"/>
  <c r="AF353" i="16"/>
  <c r="Z354" i="16"/>
  <c r="AF354" i="16"/>
  <c r="Z355" i="16"/>
  <c r="AF355" i="16"/>
  <c r="Z356" i="16"/>
  <c r="AF356" i="16"/>
  <c r="Z357" i="16"/>
  <c r="AF357" i="16"/>
  <c r="Z358" i="16"/>
  <c r="AF358" i="16"/>
  <c r="Z359" i="16"/>
  <c r="AF359" i="16"/>
  <c r="Z360" i="16"/>
  <c r="AF360" i="16"/>
  <c r="Z361" i="16"/>
  <c r="AF361" i="16"/>
  <c r="Z362" i="16"/>
  <c r="AF362" i="16"/>
  <c r="Z363" i="16"/>
  <c r="AF363" i="16"/>
  <c r="Z364" i="16"/>
  <c r="AF364" i="16"/>
  <c r="Z365" i="16"/>
  <c r="AF365" i="16"/>
  <c r="Z366" i="16"/>
  <c r="AF366" i="16"/>
  <c r="Z367" i="16"/>
  <c r="AF367" i="16"/>
  <c r="Z368" i="16"/>
  <c r="AF368" i="16"/>
  <c r="Z369" i="16"/>
  <c r="AF369" i="16"/>
  <c r="Z370" i="16"/>
  <c r="AF370" i="16"/>
  <c r="Z371" i="16"/>
  <c r="AF371" i="16"/>
  <c r="Z372" i="16"/>
  <c r="AF372" i="16"/>
  <c r="Z373" i="16"/>
  <c r="AF373" i="16"/>
  <c r="Z374" i="16"/>
  <c r="AF374" i="16"/>
  <c r="Z375" i="16"/>
  <c r="AF375" i="16"/>
  <c r="Z376" i="16"/>
  <c r="AF376" i="16"/>
  <c r="Z377" i="16"/>
  <c r="AF377" i="16"/>
  <c r="Z378" i="16"/>
  <c r="AF378" i="16"/>
  <c r="Z379" i="16"/>
  <c r="AF379" i="16"/>
  <c r="Z380" i="16"/>
  <c r="AF380" i="16"/>
  <c r="Z381" i="16"/>
  <c r="AF381" i="16"/>
  <c r="Z382" i="16"/>
  <c r="AF382" i="16"/>
  <c r="Z383" i="16"/>
  <c r="AF383" i="16"/>
  <c r="Z384" i="16"/>
  <c r="AF384" i="16"/>
  <c r="Z385" i="16"/>
  <c r="AF385" i="16"/>
  <c r="Z386" i="16"/>
  <c r="AF386" i="16"/>
  <c r="Z387" i="16"/>
  <c r="AF387" i="16"/>
  <c r="Z388" i="16"/>
  <c r="AF388" i="16"/>
  <c r="Z389" i="16"/>
  <c r="AF389" i="16"/>
  <c r="Z390" i="16"/>
  <c r="AF390" i="16"/>
  <c r="Z391" i="16"/>
  <c r="AF391" i="16"/>
  <c r="Z392" i="16"/>
  <c r="AF392" i="16"/>
  <c r="Z393" i="16"/>
  <c r="AF393" i="16"/>
  <c r="Z394" i="16"/>
  <c r="AF394" i="16"/>
  <c r="Z395" i="16"/>
  <c r="AF395" i="16"/>
  <c r="Z396" i="16"/>
  <c r="AF396" i="16"/>
  <c r="Z397" i="16"/>
  <c r="AF397" i="16"/>
  <c r="Z398" i="16"/>
  <c r="AF398" i="16"/>
  <c r="Z399" i="16"/>
  <c r="AF399" i="16"/>
  <c r="Z400" i="16"/>
  <c r="AF400" i="16"/>
  <c r="Z401" i="16"/>
  <c r="AF401" i="16"/>
  <c r="Z402" i="16"/>
  <c r="AF402" i="16"/>
  <c r="Z403" i="16"/>
  <c r="AF403" i="16"/>
  <c r="Z404" i="16"/>
  <c r="AF404" i="16"/>
  <c r="Z405" i="16"/>
  <c r="AF405" i="16"/>
  <c r="Z406" i="16"/>
  <c r="AF406" i="16"/>
  <c r="Z407" i="16"/>
  <c r="AF407" i="16"/>
  <c r="Z408" i="16"/>
  <c r="AF408" i="16"/>
  <c r="Z409" i="16"/>
  <c r="AF409" i="16"/>
  <c r="Z410" i="16"/>
  <c r="AF410" i="16"/>
  <c r="Z411" i="16"/>
  <c r="AF411" i="16"/>
  <c r="Z412" i="16"/>
  <c r="AF412" i="16"/>
  <c r="Z413" i="16"/>
  <c r="AF413" i="16"/>
  <c r="Z414" i="16"/>
  <c r="AF414" i="16"/>
  <c r="Z415" i="16"/>
  <c r="AF415" i="16"/>
  <c r="Z416" i="16"/>
  <c r="AF416" i="16"/>
  <c r="Z417" i="16"/>
  <c r="AF417" i="16"/>
  <c r="Z418" i="16"/>
  <c r="AF418" i="16"/>
  <c r="Z419" i="16"/>
  <c r="AF419" i="16"/>
  <c r="Z420" i="16"/>
  <c r="AF420" i="16"/>
  <c r="Z421" i="16"/>
  <c r="AF421" i="16"/>
  <c r="Z422" i="16"/>
  <c r="AF422" i="16"/>
  <c r="Z423" i="16"/>
  <c r="AF423" i="16"/>
  <c r="Z424" i="16"/>
  <c r="AF424" i="16"/>
  <c r="Z425" i="16"/>
  <c r="AF425" i="16"/>
  <c r="Z426" i="16"/>
  <c r="AF426" i="16"/>
  <c r="Z427" i="16"/>
  <c r="AF427" i="16"/>
  <c r="Z428" i="16"/>
  <c r="AF428" i="16"/>
  <c r="Z429" i="16"/>
  <c r="AF429" i="16"/>
  <c r="Z430" i="16"/>
  <c r="AF430" i="16"/>
  <c r="Z431" i="16"/>
  <c r="AF431" i="16"/>
  <c r="Z432" i="16"/>
  <c r="AF432" i="16"/>
  <c r="Z433" i="16"/>
  <c r="AF433" i="16"/>
  <c r="Z434" i="16"/>
  <c r="AF434" i="16"/>
  <c r="Z435" i="16"/>
  <c r="AF435" i="16"/>
  <c r="Z436" i="16"/>
  <c r="AF436" i="16"/>
  <c r="Z437" i="16"/>
  <c r="AF437" i="16"/>
  <c r="Z438" i="16"/>
  <c r="AF438" i="16"/>
  <c r="Z439" i="16"/>
  <c r="AF439" i="16"/>
  <c r="Z440" i="16"/>
  <c r="AF440" i="16"/>
  <c r="Z441" i="16"/>
  <c r="AF441" i="16"/>
  <c r="Z442" i="16"/>
  <c r="AF442" i="16"/>
  <c r="Z443" i="16"/>
  <c r="AF443" i="16"/>
  <c r="Z444" i="16"/>
  <c r="AF444" i="16"/>
  <c r="Z445" i="16"/>
  <c r="AF445" i="16"/>
  <c r="Z446" i="16"/>
  <c r="AF446" i="16"/>
  <c r="Z447" i="16"/>
  <c r="AF447" i="16"/>
  <c r="Z448" i="16"/>
  <c r="AF448" i="16"/>
  <c r="Z449" i="16"/>
  <c r="AF449" i="16"/>
  <c r="Z450" i="16"/>
  <c r="AF450" i="16"/>
  <c r="Z451" i="16"/>
  <c r="AF451" i="16"/>
  <c r="Z452" i="16"/>
  <c r="AF452" i="16"/>
  <c r="Z453" i="16"/>
  <c r="AF453" i="16"/>
  <c r="Z454" i="16"/>
  <c r="AF454" i="16"/>
  <c r="Z455" i="16"/>
  <c r="AF455" i="16"/>
  <c r="Z456" i="16"/>
  <c r="AF456" i="16"/>
  <c r="Z457" i="16"/>
  <c r="AF457" i="16"/>
  <c r="Z458" i="16"/>
  <c r="AF458" i="16"/>
  <c r="Z459" i="16"/>
  <c r="AF459" i="16"/>
  <c r="Z460" i="16"/>
  <c r="AF460" i="16"/>
  <c r="Z461" i="16"/>
  <c r="AF461" i="16"/>
  <c r="Z462" i="16"/>
  <c r="AF462" i="16"/>
  <c r="Z463" i="16"/>
  <c r="AF463" i="16"/>
  <c r="Z464" i="16"/>
  <c r="AF464" i="16"/>
  <c r="Z465" i="16"/>
  <c r="AF465" i="16"/>
  <c r="Z466" i="16"/>
  <c r="AF466" i="16"/>
  <c r="Z467" i="16"/>
  <c r="AF467" i="16"/>
  <c r="Z468" i="16"/>
  <c r="AF468" i="16"/>
  <c r="Z469" i="16"/>
  <c r="AF469" i="16"/>
  <c r="Z470" i="16"/>
  <c r="AF470" i="16"/>
  <c r="Z471" i="16"/>
  <c r="AF471" i="16"/>
  <c r="Z472" i="16"/>
  <c r="AF472" i="16"/>
  <c r="Z473" i="16"/>
  <c r="AF473" i="16"/>
  <c r="Z474" i="16"/>
  <c r="AF474" i="16"/>
  <c r="Z475" i="16"/>
  <c r="AF475" i="16"/>
  <c r="D7" i="37"/>
  <c r="R7" i="37"/>
  <c r="S7" i="37"/>
  <c r="V7" i="37"/>
  <c r="W7" i="37"/>
  <c r="X7" i="37"/>
  <c r="D9" i="37"/>
  <c r="R9" i="37"/>
  <c r="S9" i="37"/>
  <c r="V9" i="37"/>
  <c r="W9" i="37"/>
  <c r="X9" i="37"/>
  <c r="D11" i="37"/>
  <c r="R11" i="37"/>
  <c r="S11" i="37"/>
  <c r="V11" i="37"/>
  <c r="W11" i="37"/>
  <c r="X11" i="37"/>
  <c r="D13" i="37"/>
  <c r="R13" i="37"/>
  <c r="S13" i="37"/>
  <c r="V13" i="37"/>
  <c r="W13" i="37"/>
  <c r="X13" i="37"/>
  <c r="D14" i="37"/>
  <c r="R14" i="37"/>
  <c r="S14" i="37"/>
  <c r="V14" i="37"/>
  <c r="W14" i="37"/>
  <c r="X14" i="37"/>
  <c r="D15" i="37"/>
  <c r="R15" i="37"/>
  <c r="S15" i="37"/>
  <c r="V15" i="37"/>
  <c r="W15" i="37"/>
  <c r="X15" i="37"/>
  <c r="Z2" i="17"/>
  <c r="AE2" i="17"/>
  <c r="Z3" i="17"/>
  <c r="AE3" i="17"/>
  <c r="Z4" i="17"/>
  <c r="AE4" i="17"/>
  <c r="Z5" i="17"/>
  <c r="AE5" i="17"/>
  <c r="AJ5" i="17"/>
  <c r="Z6" i="17"/>
  <c r="AE6" i="17"/>
  <c r="AJ6" i="17"/>
  <c r="Z7" i="17"/>
  <c r="AE7" i="17"/>
  <c r="AJ7" i="17"/>
  <c r="Z8" i="17"/>
  <c r="AE8" i="17"/>
  <c r="AJ8" i="17"/>
  <c r="Z9" i="17"/>
  <c r="AE9" i="17"/>
  <c r="Z10" i="17"/>
  <c r="AE10" i="17"/>
  <c r="Z11" i="17"/>
  <c r="AE11" i="17"/>
  <c r="Z12" i="17"/>
  <c r="AE12" i="17"/>
  <c r="Z13" i="17"/>
  <c r="AE13" i="17"/>
  <c r="Z14" i="17"/>
  <c r="AE14" i="17"/>
  <c r="Z15" i="17"/>
  <c r="AE15" i="17"/>
  <c r="Z16" i="17"/>
  <c r="AE16" i="17"/>
  <c r="Z17" i="17"/>
  <c r="AE17" i="17"/>
  <c r="Z18" i="17"/>
  <c r="AE18" i="17"/>
  <c r="Z19" i="17"/>
  <c r="AE19" i="17"/>
  <c r="Z20" i="17"/>
  <c r="AE20" i="17"/>
  <c r="Z21" i="17"/>
  <c r="AE21" i="17"/>
  <c r="Z22" i="17"/>
  <c r="AE22" i="17"/>
  <c r="Z23" i="17"/>
  <c r="AE23" i="17"/>
  <c r="Z24" i="17"/>
  <c r="AE24" i="17"/>
  <c r="Z25" i="17"/>
  <c r="AE25" i="17"/>
  <c r="Y26" i="17"/>
  <c r="AD26" i="17"/>
  <c r="Y27" i="17"/>
  <c r="AD27" i="17"/>
  <c r="Y28" i="17"/>
  <c r="AD28" i="17"/>
  <c r="Y29" i="17"/>
  <c r="AD29" i="17"/>
  <c r="Y30" i="17"/>
  <c r="AD30" i="17"/>
  <c r="Y31" i="17"/>
  <c r="AD31" i="17"/>
  <c r="Y32" i="17"/>
  <c r="AD32" i="17"/>
  <c r="Y33" i="17"/>
  <c r="AD33" i="17"/>
  <c r="Y34" i="17"/>
  <c r="AD34" i="17"/>
  <c r="Y35" i="17"/>
  <c r="AD35" i="17"/>
  <c r="Y36" i="17"/>
  <c r="AD36" i="17"/>
  <c r="Y37" i="17"/>
  <c r="AD37" i="17"/>
  <c r="Z38" i="17"/>
  <c r="AE38" i="17"/>
  <c r="Z39" i="17"/>
  <c r="AE39" i="17"/>
  <c r="Z40" i="17"/>
  <c r="AE40" i="17"/>
  <c r="Z41" i="17"/>
  <c r="AE41" i="17"/>
  <c r="Z42" i="17"/>
  <c r="AE42" i="17"/>
  <c r="Z43" i="17"/>
  <c r="AE43" i="17"/>
  <c r="Z44" i="17"/>
  <c r="AE44" i="17"/>
  <c r="Z45" i="17"/>
  <c r="AE45" i="17"/>
  <c r="Z46" i="17"/>
  <c r="AE46" i="17"/>
  <c r="Z47" i="17"/>
  <c r="AE47" i="17"/>
  <c r="Z48" i="17"/>
  <c r="AE48" i="17"/>
  <c r="Z49" i="17"/>
  <c r="AE49" i="17"/>
  <c r="Z50" i="17"/>
  <c r="AE50" i="17"/>
  <c r="Z51" i="17"/>
  <c r="AE51" i="17"/>
  <c r="Z52" i="17"/>
  <c r="AE52" i="17"/>
  <c r="Z53" i="17"/>
  <c r="AE53" i="17"/>
  <c r="Z54" i="17"/>
  <c r="AE54" i="17"/>
  <c r="Z55" i="17"/>
  <c r="AE55" i="17"/>
  <c r="Z56" i="17"/>
  <c r="AE56" i="17"/>
  <c r="Z57" i="17"/>
  <c r="AE57" i="17"/>
  <c r="Z58" i="17"/>
  <c r="AE58" i="17"/>
  <c r="Z59" i="17"/>
  <c r="AE59" i="17"/>
  <c r="Z60" i="17"/>
  <c r="AE60" i="17"/>
  <c r="Z61" i="17"/>
  <c r="AE61" i="17"/>
  <c r="Y62" i="17"/>
  <c r="AD62" i="17"/>
  <c r="Y63" i="17"/>
  <c r="AD63" i="17"/>
  <c r="Y64" i="17"/>
  <c r="AD64" i="17"/>
  <c r="Y65" i="17"/>
  <c r="AD65" i="17"/>
  <c r="Y66" i="17"/>
  <c r="AD66" i="17"/>
  <c r="Y67" i="17"/>
  <c r="AD67" i="17"/>
  <c r="Y68" i="17"/>
  <c r="AD68" i="17"/>
  <c r="Y69" i="17"/>
  <c r="AD69" i="17"/>
  <c r="Y70" i="17"/>
  <c r="AD70" i="17"/>
  <c r="Y71" i="17"/>
  <c r="AD71" i="17"/>
  <c r="Y72" i="17"/>
  <c r="AD72" i="17"/>
  <c r="Y73" i="17"/>
  <c r="AD73" i="17"/>
  <c r="Z74" i="17"/>
  <c r="AE74" i="17"/>
  <c r="Z75" i="17"/>
  <c r="AE75" i="17"/>
  <c r="Z76" i="17"/>
  <c r="AE76" i="17"/>
  <c r="Z77" i="17"/>
  <c r="AE77" i="17"/>
  <c r="Z78" i="17"/>
  <c r="AE78" i="17"/>
  <c r="Z79" i="17"/>
  <c r="AE79" i="17"/>
  <c r="Z80" i="17"/>
  <c r="AE80" i="17"/>
  <c r="Z81" i="17"/>
  <c r="AE81" i="17"/>
  <c r="Z82" i="17"/>
  <c r="AE82" i="17"/>
  <c r="Z83" i="17"/>
  <c r="AE83" i="17"/>
  <c r="Z84" i="17"/>
  <c r="AE84" i="17"/>
  <c r="Z85" i="17"/>
  <c r="AE85" i="17"/>
  <c r="Z86" i="17"/>
  <c r="AE86" i="17"/>
  <c r="Z87" i="17"/>
  <c r="AE87" i="17"/>
  <c r="Z88" i="17"/>
  <c r="AE88" i="17"/>
  <c r="Z89" i="17"/>
  <c r="AE89" i="17"/>
  <c r="Z90" i="17"/>
  <c r="AE90" i="17"/>
  <c r="Z91" i="17"/>
  <c r="AE91" i="17"/>
  <c r="Z92" i="17"/>
  <c r="AE92" i="17"/>
  <c r="Z93" i="17"/>
  <c r="AE93" i="17"/>
  <c r="Z94" i="17"/>
  <c r="AE94" i="17"/>
  <c r="Z95" i="17"/>
  <c r="AE95" i="17"/>
  <c r="Z96" i="17"/>
  <c r="AE96" i="17"/>
  <c r="Z97" i="17"/>
  <c r="AE97" i="17"/>
  <c r="Z98" i="17"/>
  <c r="AE98" i="17"/>
  <c r="Z99" i="17"/>
  <c r="AE99" i="17"/>
  <c r="Z100" i="17"/>
  <c r="AE100" i="17"/>
  <c r="Z101" i="17"/>
  <c r="AE101" i="17"/>
  <c r="Z102" i="17"/>
  <c r="AE102" i="17"/>
  <c r="Z103" i="17"/>
  <c r="AE103" i="17"/>
  <c r="Z104" i="17"/>
  <c r="AE104" i="17"/>
  <c r="Z105" i="17"/>
  <c r="AE105" i="17"/>
  <c r="Z106" i="17"/>
  <c r="AE106" i="17"/>
  <c r="Z107" i="17"/>
  <c r="AE107" i="17"/>
  <c r="Z108" i="17"/>
  <c r="AE108" i="17"/>
  <c r="Z109" i="17"/>
  <c r="AE109" i="17"/>
  <c r="Z110" i="17"/>
  <c r="AE110" i="17"/>
  <c r="Z111" i="17"/>
  <c r="AE111" i="17"/>
  <c r="Z112" i="17"/>
  <c r="AE112" i="17"/>
  <c r="Z113" i="17"/>
  <c r="AE113" i="17"/>
  <c r="Z114" i="17"/>
  <c r="AE114" i="17"/>
  <c r="Z115" i="17"/>
  <c r="AE115" i="17"/>
  <c r="Z116" i="17"/>
  <c r="AE116" i="17"/>
  <c r="Z117" i="17"/>
  <c r="AE117" i="17"/>
  <c r="Z118" i="17"/>
  <c r="AE118" i="17"/>
  <c r="Z119" i="17"/>
  <c r="AE119" i="17"/>
  <c r="Z120" i="17"/>
  <c r="AE120" i="17"/>
  <c r="Z121" i="17"/>
  <c r="AE121" i="17"/>
  <c r="Z122" i="17"/>
  <c r="AE122" i="17"/>
  <c r="Z123" i="17"/>
  <c r="AE123" i="17"/>
  <c r="Z124" i="17"/>
  <c r="AE124" i="17"/>
  <c r="Z125" i="17"/>
  <c r="AE125" i="17"/>
  <c r="Z126" i="17"/>
  <c r="AE126" i="17"/>
  <c r="Z127" i="17"/>
  <c r="AE127" i="17"/>
  <c r="Z128" i="17"/>
  <c r="AE128" i="17"/>
  <c r="Z129" i="17"/>
  <c r="AE129" i="17"/>
  <c r="Z130" i="17"/>
  <c r="AE130" i="17"/>
  <c r="Z131" i="17"/>
  <c r="AE131" i="17"/>
  <c r="Z132" i="17"/>
  <c r="AE132" i="17"/>
  <c r="Z133" i="17"/>
  <c r="AE133" i="17"/>
  <c r="Z134" i="17"/>
  <c r="AE134" i="17"/>
  <c r="Z135" i="17"/>
  <c r="AE135" i="17"/>
  <c r="Z136" i="17"/>
  <c r="AE136" i="17"/>
  <c r="Z137" i="17"/>
  <c r="AE137" i="17"/>
  <c r="Z138" i="17"/>
  <c r="AE138" i="17"/>
  <c r="Z139" i="17"/>
  <c r="AE139" i="17"/>
  <c r="Z140" i="17"/>
  <c r="AE140" i="17"/>
  <c r="Z141" i="17"/>
  <c r="AE141" i="17"/>
  <c r="Z142" i="17"/>
  <c r="AE142" i="17"/>
  <c r="Z143" i="17"/>
  <c r="AE143" i="17"/>
  <c r="Z144" i="17"/>
  <c r="AE144" i="17"/>
  <c r="Z145" i="17"/>
  <c r="AE145" i="17"/>
  <c r="Z146" i="17"/>
  <c r="AE146" i="17"/>
  <c r="Z147" i="17"/>
  <c r="AE147" i="17"/>
  <c r="Z148" i="17"/>
  <c r="AE148" i="17"/>
  <c r="Z149" i="17"/>
  <c r="AE149" i="17"/>
  <c r="Z150" i="17"/>
  <c r="AE150" i="17"/>
  <c r="Z151" i="17"/>
  <c r="AE151" i="17"/>
  <c r="Z152" i="17"/>
  <c r="AE152" i="17"/>
  <c r="Z153" i="17"/>
  <c r="AE153" i="17"/>
  <c r="Z154" i="17"/>
  <c r="AE154" i="17"/>
  <c r="Z155" i="17"/>
  <c r="AE155" i="17"/>
  <c r="Z156" i="17"/>
  <c r="AE156" i="17"/>
  <c r="Z157" i="17"/>
  <c r="AE157" i="17"/>
  <c r="Z158" i="17"/>
  <c r="AE158" i="17"/>
  <c r="Z159" i="17"/>
  <c r="AE159" i="17"/>
  <c r="Z160" i="17"/>
  <c r="AE160" i="17"/>
  <c r="Z161" i="17"/>
  <c r="AE161" i="17"/>
  <c r="Z162" i="17"/>
  <c r="AE162" i="17"/>
  <c r="Z163" i="17"/>
  <c r="AE163" i="17"/>
  <c r="Z164" i="17"/>
  <c r="AE164" i="17"/>
  <c r="Z165" i="17"/>
  <c r="AE165" i="17"/>
  <c r="Z166" i="17"/>
  <c r="AE166" i="17"/>
  <c r="Z167" i="17"/>
  <c r="AE167" i="17"/>
  <c r="Z168" i="17"/>
  <c r="AE168" i="17"/>
  <c r="Z169" i="17"/>
  <c r="AE169" i="17"/>
  <c r="Z170" i="17"/>
  <c r="AE170" i="17"/>
  <c r="Z171" i="17"/>
  <c r="AE171" i="17"/>
  <c r="Z172" i="17"/>
  <c r="AE172" i="17"/>
  <c r="Z173" i="17"/>
  <c r="AE173" i="17"/>
  <c r="Z174" i="17"/>
  <c r="AE174" i="17"/>
  <c r="Z175" i="17"/>
  <c r="AE175" i="17"/>
  <c r="Z176" i="17"/>
  <c r="AE176" i="17"/>
  <c r="Z177" i="17"/>
  <c r="AE177" i="17"/>
  <c r="Z178" i="17"/>
  <c r="AE178" i="17"/>
  <c r="Z179" i="17"/>
  <c r="AE179" i="17"/>
  <c r="Z180" i="17"/>
  <c r="AE180" i="17"/>
  <c r="Z181" i="17"/>
  <c r="AE181" i="17"/>
  <c r="Z182" i="17"/>
  <c r="AE182" i="17"/>
  <c r="Z183" i="17"/>
  <c r="AE183" i="17"/>
  <c r="Z184" i="17"/>
  <c r="AE184" i="17"/>
  <c r="Z185" i="17"/>
  <c r="AE185" i="17"/>
  <c r="Z186" i="17"/>
  <c r="AE186" i="17"/>
  <c r="Z187" i="17"/>
  <c r="AE187" i="17"/>
  <c r="Z188" i="17"/>
  <c r="AE188" i="17"/>
  <c r="Z189" i="17"/>
  <c r="AE189" i="17"/>
  <c r="Z190" i="17"/>
  <c r="AE190" i="17"/>
  <c r="Z191" i="17"/>
  <c r="AE191" i="17"/>
  <c r="Z192" i="17"/>
  <c r="AE192" i="17"/>
  <c r="Z193" i="17"/>
  <c r="AE193" i="17"/>
  <c r="Z194" i="17"/>
  <c r="AE194" i="17"/>
  <c r="Z195" i="17"/>
  <c r="AE195" i="17"/>
  <c r="Z196" i="17"/>
  <c r="AE196" i="17"/>
  <c r="Z197" i="17"/>
  <c r="AE197" i="17"/>
  <c r="Z198" i="17"/>
  <c r="AE198" i="17"/>
  <c r="Z199" i="17"/>
  <c r="AE199" i="17"/>
  <c r="Z200" i="17"/>
  <c r="AE200" i="17"/>
  <c r="Z201" i="17"/>
  <c r="AE201" i="17"/>
  <c r="Z202" i="17"/>
  <c r="AE202" i="17"/>
  <c r="Z203" i="17"/>
  <c r="AE203" i="17"/>
  <c r="Z204" i="17"/>
  <c r="AE204" i="17"/>
  <c r="Z205" i="17"/>
  <c r="AE205" i="17"/>
  <c r="Z206" i="17"/>
  <c r="AE206" i="17"/>
  <c r="Z207" i="17"/>
  <c r="AE207" i="17"/>
  <c r="Z208" i="17"/>
  <c r="AE208" i="17"/>
  <c r="Z209" i="17"/>
  <c r="AE209" i="17"/>
  <c r="Z210" i="17"/>
  <c r="AE210" i="17"/>
  <c r="Z211" i="17"/>
  <c r="AE211" i="17"/>
  <c r="E5" i="40"/>
  <c r="F5" i="40"/>
  <c r="H5" i="40"/>
  <c r="I5" i="40"/>
  <c r="R5" i="40"/>
  <c r="U5" i="40"/>
  <c r="E6" i="40"/>
  <c r="F6" i="40"/>
  <c r="H6" i="40"/>
  <c r="I6" i="40"/>
  <c r="R6" i="40"/>
  <c r="U6" i="40"/>
  <c r="E7" i="40"/>
  <c r="F7" i="40"/>
  <c r="H7" i="40"/>
  <c r="I7" i="40"/>
  <c r="R7" i="40"/>
  <c r="U7" i="40"/>
  <c r="E8" i="40"/>
  <c r="F8" i="40"/>
  <c r="H8" i="40"/>
  <c r="I8" i="40"/>
  <c r="R8" i="40"/>
  <c r="U8" i="40"/>
  <c r="E9" i="40"/>
  <c r="H9" i="40"/>
  <c r="R9" i="40"/>
  <c r="U9" i="40"/>
  <c r="F10" i="40"/>
  <c r="I10" i="40"/>
  <c r="R10" i="40"/>
  <c r="U10" i="40"/>
  <c r="F11" i="40"/>
  <c r="I11" i="40"/>
  <c r="R11" i="40"/>
  <c r="U11" i="40"/>
  <c r="E12" i="40"/>
  <c r="H12" i="40"/>
  <c r="R12" i="40"/>
  <c r="U12" i="40"/>
  <c r="F13" i="40"/>
  <c r="I13" i="40"/>
  <c r="R13" i="40"/>
  <c r="U13" i="40"/>
  <c r="F14" i="40"/>
  <c r="I14" i="40"/>
  <c r="R14" i="40"/>
  <c r="U14" i="40"/>
  <c r="E15" i="40"/>
  <c r="H15" i="40"/>
  <c r="R15" i="40"/>
  <c r="U15" i="40"/>
  <c r="R16" i="40"/>
  <c r="U16" i="40"/>
  <c r="R17" i="40"/>
  <c r="U17" i="40"/>
  <c r="R18" i="40"/>
  <c r="U18" i="40"/>
  <c r="R19" i="40"/>
  <c r="U19" i="40"/>
  <c r="R20" i="40"/>
  <c r="U20" i="40"/>
  <c r="R21" i="40"/>
  <c r="U21" i="40"/>
  <c r="R22" i="40"/>
  <c r="U22" i="40"/>
  <c r="R23" i="40"/>
  <c r="U23" i="40"/>
  <c r="R24" i="40"/>
  <c r="U24" i="40"/>
  <c r="R25" i="40"/>
  <c r="U25" i="40"/>
  <c r="R26" i="40"/>
  <c r="U26" i="40"/>
  <c r="R27" i="40"/>
  <c r="U27" i="40"/>
  <c r="R28" i="40"/>
  <c r="U28" i="40"/>
  <c r="R29" i="40"/>
  <c r="U29" i="40"/>
  <c r="R30" i="40"/>
  <c r="U30" i="40"/>
  <c r="R31" i="40"/>
  <c r="U31" i="40"/>
  <c r="R32" i="40"/>
  <c r="U32" i="40"/>
  <c r="R33" i="40"/>
  <c r="U33" i="40"/>
  <c r="Q34" i="40"/>
  <c r="T34" i="40"/>
  <c r="Q35" i="40"/>
  <c r="T35" i="40"/>
  <c r="N7" i="6"/>
  <c r="AJ7" i="6"/>
  <c r="AK7" i="6"/>
  <c r="N8" i="6"/>
  <c r="AJ8" i="6"/>
  <c r="AK8" i="6"/>
  <c r="N11" i="6"/>
  <c r="AJ11" i="6"/>
  <c r="AK11" i="6"/>
  <c r="N12" i="6"/>
  <c r="AJ12" i="6"/>
  <c r="AK12" i="6"/>
  <c r="N13" i="6"/>
  <c r="AJ13" i="6"/>
  <c r="AK13" i="6"/>
  <c r="N14" i="6"/>
  <c r="AJ14" i="6"/>
  <c r="AK14" i="6"/>
  <c r="N17" i="6"/>
  <c r="AJ17" i="6"/>
  <c r="AK17" i="6"/>
  <c r="N18" i="6"/>
  <c r="AJ18" i="6"/>
  <c r="AK18" i="6"/>
  <c r="N19" i="6"/>
  <c r="AJ19" i="6"/>
  <c r="AK19" i="6"/>
  <c r="N20" i="6"/>
  <c r="AJ20" i="6"/>
  <c r="AK20" i="6"/>
  <c r="N21" i="6"/>
  <c r="AJ21" i="6"/>
  <c r="AK21" i="6"/>
  <c r="N22" i="6"/>
  <c r="AJ22" i="6"/>
  <c r="AK22" i="6"/>
  <c r="N23" i="6"/>
  <c r="AJ23" i="6"/>
  <c r="AK23" i="6"/>
  <c r="N24" i="6"/>
  <c r="AJ24" i="6"/>
  <c r="AK24" i="6"/>
  <c r="N25" i="6"/>
  <c r="AJ25" i="6"/>
  <c r="AK25" i="6"/>
  <c r="N26" i="6"/>
  <c r="AJ26" i="6"/>
  <c r="AK26" i="6"/>
  <c r="N27" i="6"/>
  <c r="AJ27" i="6"/>
  <c r="AK27" i="6"/>
  <c r="N28" i="6"/>
  <c r="AJ28" i="6"/>
  <c r="AK28" i="6"/>
  <c r="N29" i="6"/>
  <c r="AJ29" i="6"/>
  <c r="AK29" i="6"/>
  <c r="N30" i="6"/>
  <c r="AJ30" i="6"/>
  <c r="AK30" i="6"/>
  <c r="N31" i="6"/>
  <c r="AJ31" i="6"/>
  <c r="AK31" i="6"/>
  <c r="N32" i="6"/>
  <c r="AJ32" i="6"/>
  <c r="AK32" i="6"/>
  <c r="N33" i="6"/>
  <c r="AJ33" i="6"/>
  <c r="AK33" i="6"/>
  <c r="N34" i="6"/>
  <c r="AJ34" i="6"/>
  <c r="AK34" i="6"/>
  <c r="N35" i="6"/>
  <c r="AJ35" i="6"/>
  <c r="AK35" i="6"/>
  <c r="N36" i="6"/>
  <c r="AJ36" i="6"/>
  <c r="AK36" i="6"/>
  <c r="N37" i="6"/>
  <c r="AJ37" i="6"/>
  <c r="AK37" i="6"/>
  <c r="N38" i="6"/>
  <c r="AJ38" i="6"/>
  <c r="AK38" i="6"/>
  <c r="N39" i="6"/>
  <c r="AJ39" i="6"/>
  <c r="AK39" i="6"/>
  <c r="N40" i="6"/>
  <c r="AJ40" i="6"/>
  <c r="AK40" i="6"/>
  <c r="N41" i="6"/>
  <c r="AJ41" i="6"/>
  <c r="AK41" i="6"/>
  <c r="N42" i="6"/>
  <c r="AJ42" i="6"/>
  <c r="AK42" i="6"/>
  <c r="N43" i="6"/>
  <c r="AJ43" i="6"/>
  <c r="AK43" i="6"/>
  <c r="N44" i="6"/>
  <c r="AJ44" i="6"/>
  <c r="AK44" i="6"/>
  <c r="N45" i="6"/>
  <c r="AJ45" i="6"/>
  <c r="AK45" i="6"/>
  <c r="N46" i="6"/>
  <c r="AJ46" i="6"/>
  <c r="AK46" i="6"/>
  <c r="N47" i="6"/>
  <c r="AJ47" i="6"/>
  <c r="AK47" i="6"/>
  <c r="N48" i="6"/>
  <c r="AJ48" i="6"/>
  <c r="AK48" i="6"/>
  <c r="N49" i="6"/>
  <c r="AJ49" i="6"/>
  <c r="AK49" i="6"/>
  <c r="N50" i="6"/>
  <c r="AJ50" i="6"/>
  <c r="AK50" i="6"/>
  <c r="N51" i="6"/>
  <c r="AJ51" i="6"/>
  <c r="AK51" i="6"/>
  <c r="N55" i="6"/>
  <c r="AJ55" i="6"/>
  <c r="AK55" i="6"/>
  <c r="N60" i="6"/>
  <c r="AJ60" i="6"/>
  <c r="AK60" i="6"/>
  <c r="L63" i="6"/>
  <c r="N63" i="6"/>
  <c r="L64" i="6"/>
  <c r="N64" i="6"/>
  <c r="N65" i="6"/>
  <c r="L66" i="6"/>
  <c r="L67" i="6"/>
  <c r="L68" i="6"/>
  <c r="L69" i="6"/>
  <c r="L70" i="6"/>
  <c r="N5" i="35"/>
  <c r="AB5" i="35"/>
  <c r="AC5" i="35"/>
  <c r="AF5" i="35"/>
  <c r="AG5" i="35"/>
  <c r="N6" i="35"/>
  <c r="AB6" i="35"/>
  <c r="AC6" i="35"/>
  <c r="AF6" i="35"/>
  <c r="AG6" i="35"/>
  <c r="N7" i="35"/>
  <c r="AB7" i="35"/>
  <c r="AC7" i="35"/>
  <c r="AF7" i="35"/>
  <c r="AG7" i="35"/>
  <c r="N8" i="35"/>
  <c r="AB8" i="35"/>
  <c r="AC8" i="35"/>
  <c r="AF8" i="35"/>
  <c r="AG8" i="35"/>
  <c r="N9" i="35"/>
  <c r="AB9" i="35"/>
  <c r="AC9" i="35"/>
  <c r="AF9" i="35"/>
  <c r="AG9" i="35"/>
  <c r="N10" i="35"/>
  <c r="AB10" i="35"/>
  <c r="AC10" i="35"/>
  <c r="AF10" i="35"/>
  <c r="AG10" i="35"/>
  <c r="N11" i="35"/>
  <c r="AB11" i="35"/>
  <c r="AC11" i="35"/>
  <c r="AF11" i="35"/>
  <c r="AG11" i="35"/>
  <c r="N12" i="35"/>
  <c r="AB12" i="35"/>
  <c r="AC12" i="35"/>
  <c r="AF12" i="35"/>
  <c r="AG12" i="35"/>
  <c r="N13" i="35"/>
  <c r="AB13" i="35"/>
  <c r="AC13" i="35"/>
  <c r="AF13" i="35"/>
  <c r="AG13" i="35"/>
  <c r="N14" i="35"/>
  <c r="AB14" i="35"/>
  <c r="AC14" i="35"/>
  <c r="AF14" i="35"/>
  <c r="AG14" i="35"/>
  <c r="N15" i="35"/>
  <c r="AB15" i="35"/>
  <c r="AC15" i="35"/>
  <c r="AF15" i="35"/>
  <c r="AG15" i="35"/>
  <c r="N16" i="35"/>
  <c r="AB16" i="35"/>
  <c r="AC16" i="35"/>
  <c r="AF16" i="35"/>
  <c r="AG16" i="35"/>
  <c r="N17" i="35"/>
  <c r="AB17" i="35"/>
  <c r="AC17" i="35"/>
  <c r="AF17" i="35"/>
  <c r="AG17" i="35"/>
  <c r="N18" i="35"/>
  <c r="AB18" i="35"/>
  <c r="AC18" i="35"/>
  <c r="AF18" i="35"/>
  <c r="AG18" i="35"/>
  <c r="N19" i="35"/>
  <c r="AB19" i="35"/>
  <c r="AC19" i="35"/>
  <c r="AF19" i="35"/>
  <c r="AG19" i="35"/>
  <c r="N20" i="35"/>
  <c r="AB20" i="35"/>
  <c r="AC20" i="35"/>
  <c r="AF20" i="35"/>
  <c r="AG20" i="35"/>
  <c r="N21" i="35"/>
  <c r="AB21" i="35"/>
  <c r="AC21" i="35"/>
  <c r="AF21" i="35"/>
  <c r="AG21" i="35"/>
  <c r="N22" i="35"/>
  <c r="AB22" i="35"/>
  <c r="AC22" i="35"/>
  <c r="AF22" i="35"/>
  <c r="AG22" i="35"/>
  <c r="N23" i="35"/>
  <c r="AB23" i="35"/>
  <c r="AC23" i="35"/>
  <c r="AF23" i="35"/>
  <c r="AG23" i="35"/>
  <c r="N24" i="35"/>
  <c r="AB24" i="35"/>
  <c r="AC24" i="35"/>
  <c r="AF24" i="35"/>
  <c r="AG24" i="35"/>
  <c r="N25" i="35"/>
  <c r="AB25" i="35"/>
  <c r="AC25" i="35"/>
  <c r="AF25" i="35"/>
  <c r="AG25" i="35"/>
  <c r="N26" i="35"/>
  <c r="AB26" i="35"/>
  <c r="AC26" i="35"/>
  <c r="AF26" i="35"/>
  <c r="AG26" i="35"/>
  <c r="N27" i="35"/>
  <c r="AB27" i="35"/>
  <c r="AC27" i="35"/>
  <c r="AF27" i="35"/>
  <c r="AG27" i="35"/>
  <c r="N28" i="35"/>
  <c r="AB28" i="35"/>
  <c r="AC28" i="35"/>
  <c r="AF28" i="35"/>
  <c r="AG28" i="35"/>
  <c r="N29" i="35"/>
  <c r="AB29" i="35"/>
  <c r="AC29" i="35"/>
  <c r="AF29" i="35"/>
  <c r="AG29" i="35"/>
  <c r="N30" i="35"/>
  <c r="AB30" i="35"/>
  <c r="AC30" i="35"/>
  <c r="AF30" i="35"/>
  <c r="AG30" i="35"/>
  <c r="N31" i="35"/>
  <c r="AB31" i="35"/>
  <c r="AC31" i="35"/>
  <c r="AF31" i="35"/>
  <c r="AG31" i="35"/>
  <c r="N32" i="35"/>
  <c r="AB32" i="35"/>
  <c r="AC32" i="35"/>
  <c r="AF32" i="35"/>
  <c r="AG32" i="35"/>
  <c r="N33" i="35"/>
  <c r="AB33" i="35"/>
  <c r="AC33" i="35"/>
  <c r="AF33" i="35"/>
  <c r="AG33" i="35"/>
  <c r="N34" i="35"/>
  <c r="AB34" i="35"/>
  <c r="AC34" i="35"/>
  <c r="AF34" i="35"/>
  <c r="AG34" i="35"/>
  <c r="N35" i="35"/>
  <c r="AB35" i="35"/>
  <c r="AC35" i="35"/>
  <c r="AF35" i="35"/>
  <c r="AG35" i="35"/>
  <c r="N36" i="35"/>
  <c r="AB36" i="35"/>
  <c r="AC36" i="35"/>
  <c r="AF36" i="35"/>
  <c r="AG36" i="35"/>
  <c r="N37" i="35"/>
  <c r="AB37" i="35"/>
  <c r="AC37" i="35"/>
  <c r="AF37" i="35"/>
  <c r="AG37" i="35"/>
  <c r="N38" i="35"/>
  <c r="AB38" i="35"/>
  <c r="AC38" i="35"/>
  <c r="AF38" i="35"/>
  <c r="AG38" i="35"/>
  <c r="N39" i="35"/>
  <c r="AB39" i="35"/>
  <c r="AC39" i="35"/>
  <c r="AF39" i="35"/>
  <c r="AG39" i="35"/>
  <c r="N40" i="35"/>
  <c r="AB40" i="35"/>
  <c r="AC40" i="35"/>
  <c r="AF40" i="35"/>
  <c r="AG40" i="35"/>
  <c r="N41" i="35"/>
  <c r="AB41" i="35"/>
  <c r="AC41" i="35"/>
  <c r="AF41" i="35"/>
  <c r="AG41" i="35"/>
  <c r="N42" i="35"/>
  <c r="AB42" i="35"/>
  <c r="AC42" i="35"/>
  <c r="AF42" i="35"/>
  <c r="AG42" i="35"/>
  <c r="N43" i="35"/>
  <c r="AB43" i="35"/>
  <c r="AC43" i="35"/>
  <c r="AF43" i="35"/>
  <c r="AG43" i="35"/>
  <c r="N44" i="35"/>
  <c r="AB44" i="35"/>
  <c r="AC44" i="35"/>
  <c r="AF44" i="35"/>
  <c r="AG44" i="35"/>
  <c r="N45" i="35"/>
  <c r="AB45" i="35"/>
  <c r="AC45" i="35"/>
  <c r="AF45" i="35"/>
  <c r="AG45" i="35"/>
  <c r="N46" i="35"/>
  <c r="AB46" i="35"/>
  <c r="AC46" i="35"/>
  <c r="AF46" i="35"/>
  <c r="AG46" i="35"/>
  <c r="N47" i="35"/>
  <c r="AB47" i="35"/>
  <c r="AC47" i="35"/>
  <c r="AF47" i="35"/>
  <c r="AG47" i="35"/>
  <c r="N48" i="35"/>
  <c r="AB48" i="35"/>
  <c r="AC48" i="35"/>
  <c r="AF48" i="35"/>
  <c r="AG48" i="35"/>
  <c r="N49" i="35"/>
  <c r="AB49" i="35"/>
  <c r="AC49" i="35"/>
  <c r="AF49" i="35"/>
  <c r="AG49" i="35"/>
  <c r="N50" i="35"/>
  <c r="AB50" i="35"/>
  <c r="AC50" i="35"/>
  <c r="AF50" i="35"/>
  <c r="AG50" i="35"/>
  <c r="N51" i="35"/>
  <c r="AB51" i="35"/>
  <c r="AC51" i="35"/>
  <c r="AF51" i="35"/>
  <c r="AG51" i="35"/>
  <c r="N57" i="35"/>
  <c r="AB57" i="35"/>
  <c r="AC57" i="35"/>
  <c r="AF57" i="35"/>
  <c r="AG57" i="35"/>
  <c r="N58" i="35"/>
  <c r="AB58" i="35"/>
  <c r="AC58" i="35"/>
  <c r="AF58" i="35"/>
  <c r="AG58" i="35"/>
  <c r="N59" i="35"/>
  <c r="AB59" i="35"/>
  <c r="AC59" i="35"/>
  <c r="AF59" i="35"/>
  <c r="AG59" i="35"/>
  <c r="N60" i="35"/>
  <c r="AB60" i="35"/>
  <c r="AC60" i="35"/>
  <c r="AF60" i="35"/>
  <c r="AG60" i="35"/>
  <c r="N61" i="35"/>
  <c r="AB61" i="35"/>
  <c r="AC61" i="35"/>
  <c r="AF61" i="35"/>
  <c r="AG61" i="35"/>
  <c r="N62" i="35"/>
  <c r="AB62" i="35"/>
  <c r="AC62" i="35"/>
  <c r="AF62" i="35"/>
  <c r="AG62" i="35"/>
  <c r="N63" i="35"/>
  <c r="AB63" i="35"/>
  <c r="AC63" i="35"/>
  <c r="AF63" i="35"/>
  <c r="AG63" i="35"/>
  <c r="N64" i="35"/>
  <c r="AB64" i="35"/>
  <c r="AC64" i="35"/>
  <c r="AF64" i="35"/>
  <c r="AG64" i="35"/>
  <c r="N65" i="35"/>
  <c r="AB65" i="35"/>
  <c r="AC65" i="35"/>
  <c r="AF65" i="35"/>
  <c r="AG65" i="35"/>
  <c r="N66" i="35"/>
  <c r="AB66" i="35"/>
  <c r="AC66" i="35"/>
  <c r="AF66" i="35"/>
  <c r="AG66" i="35"/>
  <c r="N67" i="35"/>
  <c r="AB67" i="35"/>
  <c r="AC67" i="35"/>
  <c r="AF67" i="35"/>
  <c r="AG67" i="35"/>
  <c r="N68" i="35"/>
  <c r="AB68" i="35"/>
  <c r="AC68" i="35"/>
  <c r="AF68" i="35"/>
  <c r="AG68" i="35"/>
  <c r="N69" i="35"/>
  <c r="AB69" i="35"/>
  <c r="AC69" i="35"/>
  <c r="AF69" i="35"/>
  <c r="AG69" i="35"/>
  <c r="N70" i="35"/>
  <c r="AB70" i="35"/>
  <c r="AC70" i="35"/>
  <c r="AF70" i="35"/>
  <c r="AG70" i="35"/>
  <c r="N71" i="35"/>
  <c r="AB71" i="35"/>
  <c r="AC71" i="35"/>
  <c r="AF71" i="35"/>
  <c r="AG71" i="35"/>
  <c r="N72" i="35"/>
  <c r="AB72" i="35"/>
  <c r="AC72" i="35"/>
  <c r="AF72" i="35"/>
  <c r="AG72" i="35"/>
  <c r="N73" i="35"/>
  <c r="AB73" i="35"/>
  <c r="AC73" i="35"/>
  <c r="AF73" i="35"/>
  <c r="AG73" i="35"/>
  <c r="N74" i="35"/>
  <c r="AB74" i="35"/>
  <c r="AC74" i="35"/>
  <c r="AF74" i="35"/>
  <c r="AG74" i="35"/>
  <c r="N75" i="35"/>
  <c r="AB75" i="35"/>
  <c r="AC75" i="35"/>
  <c r="AF75" i="35"/>
  <c r="AG75" i="35"/>
  <c r="N76" i="35"/>
  <c r="AB76" i="35"/>
  <c r="AC76" i="35"/>
  <c r="AF76" i="35"/>
  <c r="AG76" i="35"/>
  <c r="N77" i="35"/>
  <c r="AB77" i="35"/>
  <c r="AC77" i="35"/>
  <c r="AF77" i="35"/>
  <c r="AG77" i="35"/>
  <c r="N78" i="35"/>
  <c r="AB78" i="35"/>
  <c r="AC78" i="35"/>
  <c r="AF78" i="35"/>
  <c r="AG78" i="35"/>
  <c r="N79" i="35"/>
  <c r="AB79" i="35"/>
  <c r="AC79" i="35"/>
  <c r="AF79" i="35"/>
  <c r="AG79" i="35"/>
  <c r="N80" i="35"/>
  <c r="AB80" i="35"/>
  <c r="AC80" i="35"/>
  <c r="AF80" i="35"/>
  <c r="AG80" i="35"/>
  <c r="N81" i="35"/>
  <c r="AB81" i="35"/>
  <c r="AC81" i="35"/>
  <c r="AF81" i="35"/>
  <c r="AG81" i="35"/>
  <c r="N82" i="35"/>
  <c r="AB82" i="35"/>
  <c r="AC82" i="35"/>
  <c r="AF82" i="35"/>
  <c r="AG82" i="35"/>
  <c r="N83" i="35"/>
  <c r="AB83" i="35"/>
  <c r="AC83" i="35"/>
  <c r="AF83" i="35"/>
  <c r="AG83" i="35"/>
  <c r="N84" i="35"/>
  <c r="AB84" i="35"/>
  <c r="AC84" i="35"/>
  <c r="AF84" i="35"/>
  <c r="AG84" i="35"/>
  <c r="N85" i="35"/>
  <c r="AB85" i="35"/>
  <c r="AC85" i="35"/>
  <c r="AF85" i="35"/>
  <c r="AG85" i="35"/>
  <c r="N86" i="35"/>
  <c r="AB86" i="35"/>
  <c r="AC86" i="35"/>
  <c r="AF86" i="35"/>
  <c r="AG86" i="35"/>
  <c r="N87" i="35"/>
  <c r="AB87" i="35"/>
  <c r="AC87" i="35"/>
  <c r="AF87" i="35"/>
  <c r="AG87" i="35"/>
  <c r="N88" i="35"/>
  <c r="AB88" i="35"/>
  <c r="AC88" i="35"/>
  <c r="AF88" i="35"/>
  <c r="AG88" i="35"/>
  <c r="N89" i="35"/>
  <c r="AB89" i="35"/>
  <c r="AC89" i="35"/>
  <c r="AF89" i="35"/>
  <c r="AG89" i="35"/>
  <c r="N90" i="35"/>
  <c r="AB90" i="35"/>
  <c r="AC90" i="35"/>
  <c r="AF90" i="35"/>
  <c r="AG90" i="35"/>
  <c r="N91" i="35"/>
  <c r="AB91" i="35"/>
  <c r="AC91" i="35"/>
  <c r="AF91" i="35"/>
  <c r="AG91" i="35"/>
  <c r="N92" i="35"/>
  <c r="AB92" i="35"/>
  <c r="AC92" i="35"/>
  <c r="AF92" i="35"/>
  <c r="AG92" i="35"/>
  <c r="N93" i="35"/>
  <c r="AB93" i="35"/>
  <c r="AC93" i="35"/>
  <c r="AF93" i="35"/>
  <c r="AG93" i="35"/>
  <c r="N94" i="35"/>
  <c r="AB94" i="35"/>
  <c r="AC94" i="35"/>
  <c r="AF94" i="35"/>
  <c r="AG94" i="35"/>
  <c r="N95" i="35"/>
  <c r="AB95" i="35"/>
  <c r="AC95" i="35"/>
  <c r="AF95" i="35"/>
  <c r="AG95" i="35"/>
  <c r="N96" i="35"/>
  <c r="AB96" i="35"/>
  <c r="AC96" i="35"/>
  <c r="AF96" i="35"/>
  <c r="AG96" i="35"/>
  <c r="N97" i="35"/>
  <c r="AB97" i="35"/>
  <c r="AC97" i="35"/>
  <c r="AF97" i="35"/>
  <c r="AG97" i="35"/>
  <c r="N98" i="35"/>
  <c r="AB98" i="35"/>
  <c r="AC98" i="35"/>
  <c r="AF98" i="35"/>
  <c r="AG98" i="35"/>
  <c r="N99" i="35"/>
  <c r="AB99" i="35"/>
  <c r="AC99" i="35"/>
  <c r="AF99" i="35"/>
  <c r="AG99" i="35"/>
  <c r="N100" i="35"/>
  <c r="AB100" i="35"/>
  <c r="AC100" i="35"/>
  <c r="AF100" i="35"/>
  <c r="AG100" i="35"/>
  <c r="N101" i="35"/>
  <c r="AB101" i="35"/>
  <c r="AC101" i="35"/>
  <c r="AF101" i="35"/>
  <c r="AG101" i="35"/>
  <c r="N102" i="35"/>
  <c r="AB102" i="35"/>
  <c r="AC102" i="35"/>
  <c r="AF102" i="35"/>
  <c r="AG102" i="35"/>
  <c r="N103" i="35"/>
  <c r="AB103" i="35"/>
  <c r="AC103" i="35"/>
  <c r="AF103" i="35"/>
  <c r="AG103" i="35"/>
  <c r="N5" i="7"/>
  <c r="T5" i="7"/>
  <c r="AJ5" i="7"/>
  <c r="AK5" i="7"/>
  <c r="AL5" i="7"/>
  <c r="AM5" i="7"/>
  <c r="N6" i="7"/>
  <c r="T6" i="7"/>
  <c r="AJ6" i="7"/>
  <c r="AK6" i="7"/>
  <c r="AL6" i="7"/>
  <c r="AM6" i="7"/>
  <c r="N7" i="7"/>
  <c r="T7" i="7"/>
  <c r="AJ7" i="7"/>
  <c r="AK7" i="7"/>
  <c r="AL7" i="7"/>
  <c r="AM7" i="7"/>
  <c r="N8" i="7"/>
  <c r="T8" i="7"/>
  <c r="AJ8" i="7"/>
  <c r="AK8" i="7"/>
  <c r="AL8" i="7"/>
  <c r="AM8" i="7"/>
  <c r="N9" i="7"/>
  <c r="T9" i="7"/>
  <c r="AJ9" i="7"/>
  <c r="AK9" i="7"/>
  <c r="AL9" i="7"/>
  <c r="AM9" i="7"/>
  <c r="N10" i="7"/>
  <c r="T10" i="7"/>
  <c r="AJ10" i="7"/>
  <c r="AK10" i="7"/>
  <c r="AL10" i="7"/>
  <c r="AM10" i="7"/>
  <c r="N11" i="7"/>
  <c r="T11" i="7"/>
  <c r="AJ11" i="7"/>
  <c r="AK11" i="7"/>
  <c r="AL11" i="7"/>
  <c r="AM11" i="7"/>
  <c r="N12" i="7"/>
  <c r="T12" i="7"/>
  <c r="AJ12" i="7"/>
  <c r="AK12" i="7"/>
  <c r="AL12" i="7"/>
  <c r="AM12" i="7"/>
  <c r="N13" i="7"/>
  <c r="T13" i="7"/>
  <c r="AJ13" i="7"/>
  <c r="AK13" i="7"/>
  <c r="AL13" i="7"/>
  <c r="AM13" i="7"/>
  <c r="N14" i="7"/>
  <c r="T14" i="7"/>
  <c r="AJ14" i="7"/>
  <c r="AK14" i="7"/>
  <c r="AL14" i="7"/>
  <c r="AM14" i="7"/>
  <c r="N15" i="7"/>
  <c r="T15" i="7"/>
  <c r="AJ15" i="7"/>
  <c r="AK15" i="7"/>
  <c r="AL15" i="7"/>
  <c r="AM15" i="7"/>
  <c r="N16" i="7"/>
  <c r="T16" i="7"/>
  <c r="AJ16" i="7"/>
  <c r="AK16" i="7"/>
  <c r="AL16" i="7"/>
  <c r="AM16" i="7"/>
  <c r="N17" i="7"/>
  <c r="T17" i="7"/>
  <c r="AJ17" i="7"/>
  <c r="AK17" i="7"/>
  <c r="AL17" i="7"/>
  <c r="AM17" i="7"/>
  <c r="N18" i="7"/>
  <c r="T18" i="7"/>
  <c r="AJ18" i="7"/>
  <c r="AK18" i="7"/>
  <c r="AL18" i="7"/>
  <c r="AM18" i="7"/>
  <c r="N19" i="7"/>
  <c r="T19" i="7"/>
  <c r="AJ19" i="7"/>
  <c r="AK19" i="7"/>
  <c r="AL19" i="7"/>
  <c r="AM19" i="7"/>
  <c r="N20" i="7"/>
  <c r="T20" i="7"/>
  <c r="AJ20" i="7"/>
  <c r="AK20" i="7"/>
  <c r="AL20" i="7"/>
  <c r="AM20" i="7"/>
  <c r="N21" i="7"/>
  <c r="T21" i="7"/>
  <c r="AJ21" i="7"/>
  <c r="AK21" i="7"/>
  <c r="AL21" i="7"/>
  <c r="AM21" i="7"/>
  <c r="N22" i="7"/>
  <c r="T22" i="7"/>
  <c r="AJ22" i="7"/>
  <c r="AK22" i="7"/>
  <c r="AL22" i="7"/>
  <c r="AM22" i="7"/>
  <c r="N23" i="7"/>
  <c r="T23" i="7"/>
  <c r="AJ23" i="7"/>
  <c r="AK23" i="7"/>
  <c r="AL23" i="7"/>
  <c r="AM23" i="7"/>
  <c r="N24" i="7"/>
  <c r="T24" i="7"/>
  <c r="AJ24" i="7"/>
  <c r="AK24" i="7"/>
  <c r="AL24" i="7"/>
  <c r="AM24" i="7"/>
  <c r="N25" i="7"/>
  <c r="T25" i="7"/>
  <c r="AJ25" i="7"/>
  <c r="AK25" i="7"/>
  <c r="AL25" i="7"/>
  <c r="AM25" i="7"/>
  <c r="N26" i="7"/>
  <c r="T26" i="7"/>
  <c r="AJ26" i="7"/>
  <c r="AK26" i="7"/>
  <c r="AL26" i="7"/>
  <c r="AM26" i="7"/>
  <c r="N27" i="7"/>
  <c r="T27" i="7"/>
  <c r="AJ27" i="7"/>
  <c r="AK27" i="7"/>
  <c r="AL27" i="7"/>
  <c r="AM27" i="7"/>
  <c r="N28" i="7"/>
  <c r="T28" i="7"/>
  <c r="AJ28" i="7"/>
  <c r="AK28" i="7"/>
  <c r="AL28" i="7"/>
  <c r="AM28" i="7"/>
  <c r="N29" i="7"/>
  <c r="T29" i="7"/>
  <c r="AJ29" i="7"/>
  <c r="AK29" i="7"/>
  <c r="AL29" i="7"/>
  <c r="AM29" i="7"/>
  <c r="N30" i="7"/>
  <c r="T30" i="7"/>
  <c r="AJ30" i="7"/>
  <c r="AK30" i="7"/>
  <c r="AL30" i="7"/>
  <c r="AM30" i="7"/>
  <c r="N31" i="7"/>
  <c r="T31" i="7"/>
  <c r="AJ31" i="7"/>
  <c r="AK31" i="7"/>
  <c r="AL31" i="7"/>
  <c r="AM31" i="7"/>
  <c r="N32" i="7"/>
  <c r="T32" i="7"/>
  <c r="AJ32" i="7"/>
  <c r="AK32" i="7"/>
  <c r="AL32" i="7"/>
  <c r="AM32" i="7"/>
  <c r="N33" i="7"/>
  <c r="T33" i="7"/>
  <c r="AJ33" i="7"/>
  <c r="AK33" i="7"/>
  <c r="AL33" i="7"/>
  <c r="AM33" i="7"/>
  <c r="N34" i="7"/>
  <c r="T34" i="7"/>
  <c r="AJ34" i="7"/>
  <c r="AK34" i="7"/>
  <c r="AL34" i="7"/>
  <c r="AM34" i="7"/>
  <c r="N35" i="7"/>
  <c r="T35" i="7"/>
  <c r="AJ35" i="7"/>
  <c r="AK35" i="7"/>
  <c r="AL35" i="7"/>
  <c r="AM35" i="7"/>
  <c r="N36" i="7"/>
  <c r="T36" i="7"/>
  <c r="AJ36" i="7"/>
  <c r="AK36" i="7"/>
  <c r="AL36" i="7"/>
  <c r="AM36" i="7"/>
  <c r="N37" i="7"/>
  <c r="T37" i="7"/>
  <c r="AJ37" i="7"/>
  <c r="AK37" i="7"/>
  <c r="AL37" i="7"/>
  <c r="AM37" i="7"/>
  <c r="N38" i="7"/>
  <c r="T38" i="7"/>
  <c r="AJ38" i="7"/>
  <c r="AK38" i="7"/>
  <c r="AL38" i="7"/>
  <c r="AM38" i="7"/>
  <c r="N39" i="7"/>
  <c r="T39" i="7"/>
  <c r="AJ39" i="7"/>
  <c r="AK39" i="7"/>
  <c r="AL39" i="7"/>
  <c r="AM39" i="7"/>
  <c r="N40" i="7"/>
  <c r="T40" i="7"/>
  <c r="AJ40" i="7"/>
  <c r="AK40" i="7"/>
  <c r="AL40" i="7"/>
  <c r="AM40" i="7"/>
  <c r="N41" i="7"/>
  <c r="T41" i="7"/>
  <c r="AJ41" i="7"/>
  <c r="AK41" i="7"/>
  <c r="AL41" i="7"/>
  <c r="AM41" i="7"/>
  <c r="N42" i="7"/>
  <c r="T42" i="7"/>
  <c r="AJ42" i="7"/>
  <c r="AK42" i="7"/>
  <c r="AL42" i="7"/>
  <c r="AM42" i="7"/>
  <c r="N43" i="7"/>
  <c r="T43" i="7"/>
  <c r="AJ43" i="7"/>
  <c r="AK43" i="7"/>
  <c r="AL43" i="7"/>
  <c r="AM43" i="7"/>
  <c r="N44" i="7"/>
  <c r="T44" i="7"/>
  <c r="AJ44" i="7"/>
  <c r="AK44" i="7"/>
  <c r="AL44" i="7"/>
  <c r="AM44" i="7"/>
  <c r="N45" i="7"/>
  <c r="T45" i="7"/>
  <c r="AJ45" i="7"/>
  <c r="AK45" i="7"/>
  <c r="AL45" i="7"/>
  <c r="AM45" i="7"/>
  <c r="N46" i="7"/>
  <c r="T46" i="7"/>
  <c r="AJ46" i="7"/>
  <c r="AK46" i="7"/>
  <c r="AL46" i="7"/>
  <c r="AM46" i="7"/>
  <c r="N47" i="7"/>
  <c r="T47" i="7"/>
  <c r="AJ47" i="7"/>
  <c r="AK47" i="7"/>
  <c r="AL47" i="7"/>
  <c r="AM47" i="7"/>
  <c r="N48" i="7"/>
  <c r="T48" i="7"/>
  <c r="AJ48" i="7"/>
  <c r="AK48" i="7"/>
  <c r="AL48" i="7"/>
  <c r="AM48" i="7"/>
  <c r="N49" i="7"/>
  <c r="T49" i="7"/>
  <c r="AJ49" i="7"/>
  <c r="AK49" i="7"/>
  <c r="AL49" i="7"/>
  <c r="AM49" i="7"/>
  <c r="N50" i="7"/>
  <c r="T50" i="7"/>
  <c r="AJ50" i="7"/>
  <c r="AK50" i="7"/>
  <c r="AL50" i="7"/>
  <c r="AM50" i="7"/>
  <c r="N51" i="7"/>
  <c r="T51" i="7"/>
  <c r="AJ51" i="7"/>
  <c r="AK51" i="7"/>
  <c r="AL51" i="7"/>
  <c r="AM51" i="7"/>
  <c r="N53" i="7"/>
  <c r="T53" i="7"/>
  <c r="AJ53" i="7"/>
  <c r="AK53" i="7"/>
  <c r="AL53" i="7"/>
  <c r="AM53" i="7"/>
  <c r="N58" i="7"/>
  <c r="AE58" i="7"/>
  <c r="AF58" i="7"/>
  <c r="AJ58" i="7"/>
  <c r="AK58" i="7"/>
  <c r="N5" i="8"/>
  <c r="T5" i="8"/>
  <c r="AE5" i="8"/>
  <c r="AF5" i="8"/>
  <c r="AG5" i="8"/>
  <c r="AJ5" i="8"/>
  <c r="AK5" i="8"/>
  <c r="AL5" i="8"/>
  <c r="AM5" i="8"/>
  <c r="AO5" i="8"/>
  <c r="AP5" i="8"/>
  <c r="N6" i="8"/>
  <c r="T6" i="8"/>
  <c r="AE6" i="8"/>
  <c r="AF6" i="8"/>
  <c r="AG6" i="8"/>
  <c r="AJ6" i="8"/>
  <c r="AK6" i="8"/>
  <c r="AL6" i="8"/>
  <c r="AM6" i="8"/>
  <c r="AO6" i="8"/>
  <c r="AP6" i="8"/>
  <c r="N7" i="8"/>
  <c r="T7" i="8"/>
  <c r="AE7" i="8"/>
  <c r="AF7" i="8"/>
  <c r="AG7" i="8"/>
  <c r="AJ7" i="8"/>
  <c r="AK7" i="8"/>
  <c r="AL7" i="8"/>
  <c r="AM7" i="8"/>
  <c r="AO7" i="8"/>
  <c r="AP7" i="8"/>
  <c r="N8" i="8"/>
  <c r="T8" i="8"/>
  <c r="AE8" i="8"/>
  <c r="AF8" i="8"/>
  <c r="AG8" i="8"/>
  <c r="AJ8" i="8"/>
  <c r="AK8" i="8"/>
  <c r="AL8" i="8"/>
  <c r="AM8" i="8"/>
  <c r="AO8" i="8"/>
  <c r="AP8" i="8"/>
  <c r="N9" i="8"/>
  <c r="T9" i="8"/>
  <c r="AE9" i="8"/>
  <c r="AF9" i="8"/>
  <c r="AG9" i="8"/>
  <c r="AJ9" i="8"/>
  <c r="AK9" i="8"/>
  <c r="AL9" i="8"/>
  <c r="AM9" i="8"/>
  <c r="AO9" i="8"/>
  <c r="AP9" i="8"/>
  <c r="N10" i="8"/>
  <c r="T10" i="8"/>
  <c r="AE10" i="8"/>
  <c r="AF10" i="8"/>
  <c r="AG10" i="8"/>
  <c r="AJ10" i="8"/>
  <c r="AK10" i="8"/>
  <c r="AL10" i="8"/>
  <c r="AM10" i="8"/>
  <c r="AO10" i="8"/>
  <c r="AP10" i="8"/>
  <c r="N11" i="8"/>
  <c r="T11" i="8"/>
  <c r="AE11" i="8"/>
  <c r="AF11" i="8"/>
  <c r="AG11" i="8"/>
  <c r="AJ11" i="8"/>
  <c r="AK11" i="8"/>
  <c r="AL11" i="8"/>
  <c r="AM11" i="8"/>
  <c r="AO11" i="8"/>
  <c r="AP11" i="8"/>
  <c r="N12" i="8"/>
  <c r="T12" i="8"/>
  <c r="AE12" i="8"/>
  <c r="AF12" i="8"/>
  <c r="AG12" i="8"/>
  <c r="AJ12" i="8"/>
  <c r="AK12" i="8"/>
  <c r="AL12" i="8"/>
  <c r="AM12" i="8"/>
  <c r="AO12" i="8"/>
  <c r="AP12" i="8"/>
  <c r="N13" i="8"/>
  <c r="T13" i="8"/>
  <c r="AE13" i="8"/>
  <c r="AF13" i="8"/>
  <c r="AG13" i="8"/>
  <c r="AJ13" i="8"/>
  <c r="AK13" i="8"/>
  <c r="AL13" i="8"/>
  <c r="AM13" i="8"/>
  <c r="AO13" i="8"/>
  <c r="AP13" i="8"/>
  <c r="N14" i="8"/>
  <c r="T14" i="8"/>
  <c r="AE14" i="8"/>
  <c r="AF14" i="8"/>
  <c r="AG14" i="8"/>
  <c r="AJ14" i="8"/>
  <c r="AK14" i="8"/>
  <c r="AL14" i="8"/>
  <c r="AM14" i="8"/>
  <c r="AO14" i="8"/>
  <c r="AP14" i="8"/>
  <c r="N15" i="8"/>
  <c r="T15" i="8"/>
  <c r="AE15" i="8"/>
  <c r="AF15" i="8"/>
  <c r="AG15" i="8"/>
  <c r="AJ15" i="8"/>
  <c r="AK15" i="8"/>
  <c r="AL15" i="8"/>
  <c r="AM15" i="8"/>
  <c r="AO15" i="8"/>
  <c r="AP15" i="8"/>
  <c r="N16" i="8"/>
  <c r="T16" i="8"/>
  <c r="AE16" i="8"/>
  <c r="AF16" i="8"/>
  <c r="AG16" i="8"/>
  <c r="AJ16" i="8"/>
  <c r="AK16" i="8"/>
  <c r="AL16" i="8"/>
  <c r="AM16" i="8"/>
  <c r="AO16" i="8"/>
  <c r="AP16" i="8"/>
  <c r="N17" i="8"/>
  <c r="T17" i="8"/>
  <c r="AE17" i="8"/>
  <c r="AF17" i="8"/>
  <c r="AG17" i="8"/>
  <c r="AJ17" i="8"/>
  <c r="AK17" i="8"/>
  <c r="AL17" i="8"/>
  <c r="AM17" i="8"/>
  <c r="AO17" i="8"/>
  <c r="AP17" i="8"/>
  <c r="N18" i="8"/>
  <c r="T18" i="8"/>
  <c r="AE18" i="8"/>
  <c r="AF18" i="8"/>
  <c r="AG18" i="8"/>
  <c r="AJ18" i="8"/>
  <c r="AK18" i="8"/>
  <c r="AL18" i="8"/>
  <c r="AM18" i="8"/>
  <c r="AO18" i="8"/>
  <c r="AP18" i="8"/>
  <c r="N19" i="8"/>
  <c r="T19" i="8"/>
  <c r="AE19" i="8"/>
  <c r="AF19" i="8"/>
  <c r="AG19" i="8"/>
  <c r="AJ19" i="8"/>
  <c r="AK19" i="8"/>
  <c r="AL19" i="8"/>
  <c r="AM19" i="8"/>
  <c r="AO19" i="8"/>
  <c r="AP19" i="8"/>
  <c r="N20" i="8"/>
  <c r="T20" i="8"/>
  <c r="AE20" i="8"/>
  <c r="AF20" i="8"/>
  <c r="AG20" i="8"/>
  <c r="AJ20" i="8"/>
  <c r="AK20" i="8"/>
  <c r="AL20" i="8"/>
  <c r="AM20" i="8"/>
  <c r="AO20" i="8"/>
  <c r="AP20" i="8"/>
  <c r="N21" i="8"/>
  <c r="T21" i="8"/>
  <c r="AE21" i="8"/>
  <c r="AF21" i="8"/>
  <c r="AG21" i="8"/>
  <c r="AJ21" i="8"/>
  <c r="AK21" i="8"/>
  <c r="AL21" i="8"/>
  <c r="AM21" i="8"/>
  <c r="AO21" i="8"/>
  <c r="AP21" i="8"/>
  <c r="N22" i="8"/>
  <c r="T22" i="8"/>
  <c r="AE22" i="8"/>
  <c r="AF22" i="8"/>
  <c r="AG22" i="8"/>
  <c r="AJ22" i="8"/>
  <c r="AK22" i="8"/>
  <c r="AL22" i="8"/>
  <c r="AM22" i="8"/>
  <c r="AO22" i="8"/>
  <c r="AP22" i="8"/>
  <c r="N23" i="8"/>
  <c r="T23" i="8"/>
  <c r="AE23" i="8"/>
  <c r="AF23" i="8"/>
  <c r="AG23" i="8"/>
  <c r="AJ23" i="8"/>
  <c r="AK23" i="8"/>
  <c r="AL23" i="8"/>
  <c r="AM23" i="8"/>
  <c r="AO23" i="8"/>
  <c r="AP23" i="8"/>
  <c r="N24" i="8"/>
  <c r="T24" i="8"/>
  <c r="AE24" i="8"/>
  <c r="AF24" i="8"/>
  <c r="AG24" i="8"/>
  <c r="AJ24" i="8"/>
  <c r="AK24" i="8"/>
  <c r="AL24" i="8"/>
  <c r="AM24" i="8"/>
  <c r="AO24" i="8"/>
  <c r="AP24" i="8"/>
  <c r="N25" i="8"/>
  <c r="T25" i="8"/>
  <c r="AE25" i="8"/>
  <c r="AF25" i="8"/>
  <c r="AG25" i="8"/>
  <c r="AJ25" i="8"/>
  <c r="AK25" i="8"/>
  <c r="AL25" i="8"/>
  <c r="AM25" i="8"/>
  <c r="AO25" i="8"/>
  <c r="AP25" i="8"/>
  <c r="N26" i="8"/>
  <c r="T26" i="8"/>
  <c r="AE26" i="8"/>
  <c r="AF26" i="8"/>
  <c r="AG26" i="8"/>
  <c r="AJ26" i="8"/>
  <c r="AK26" i="8"/>
  <c r="AL26" i="8"/>
  <c r="AM26" i="8"/>
  <c r="AO26" i="8"/>
  <c r="AP26" i="8"/>
  <c r="N27" i="8"/>
  <c r="T27" i="8"/>
  <c r="AE27" i="8"/>
  <c r="AF27" i="8"/>
  <c r="AG27" i="8"/>
  <c r="AJ27" i="8"/>
  <c r="AK27" i="8"/>
  <c r="AL27" i="8"/>
  <c r="AM27" i="8"/>
  <c r="AO27" i="8"/>
  <c r="AP27" i="8"/>
  <c r="N28" i="8"/>
  <c r="T28" i="8"/>
  <c r="AE28" i="8"/>
  <c r="AF28" i="8"/>
  <c r="AG28" i="8"/>
  <c r="AJ28" i="8"/>
  <c r="AK28" i="8"/>
  <c r="AL28" i="8"/>
  <c r="AM28" i="8"/>
  <c r="AO28" i="8"/>
  <c r="AP28" i="8"/>
  <c r="N29" i="8"/>
  <c r="T29" i="8"/>
  <c r="AE29" i="8"/>
  <c r="AF29" i="8"/>
  <c r="AG29" i="8"/>
  <c r="AJ29" i="8"/>
  <c r="AK29" i="8"/>
  <c r="AL29" i="8"/>
  <c r="AM29" i="8"/>
  <c r="AO29" i="8"/>
  <c r="AP29" i="8"/>
  <c r="N30" i="8"/>
  <c r="T30" i="8"/>
  <c r="AE30" i="8"/>
  <c r="AF30" i="8"/>
  <c r="AG30" i="8"/>
  <c r="AJ30" i="8"/>
  <c r="AK30" i="8"/>
  <c r="AL30" i="8"/>
  <c r="AM30" i="8"/>
  <c r="AO30" i="8"/>
  <c r="AP30" i="8"/>
  <c r="N31" i="8"/>
  <c r="T31" i="8"/>
  <c r="AE31" i="8"/>
  <c r="AF31" i="8"/>
  <c r="AG31" i="8"/>
  <c r="AJ31" i="8"/>
  <c r="AK31" i="8"/>
  <c r="AL31" i="8"/>
  <c r="AM31" i="8"/>
  <c r="AO31" i="8"/>
  <c r="AP31" i="8"/>
  <c r="N32" i="8"/>
  <c r="T32" i="8"/>
  <c r="AE32" i="8"/>
  <c r="AF32" i="8"/>
  <c r="AG32" i="8"/>
  <c r="AJ32" i="8"/>
  <c r="AK32" i="8"/>
  <c r="AL32" i="8"/>
  <c r="AM32" i="8"/>
  <c r="AO32" i="8"/>
  <c r="AP32" i="8"/>
  <c r="N33" i="8"/>
  <c r="T33" i="8"/>
  <c r="AE33" i="8"/>
  <c r="AF33" i="8"/>
  <c r="AG33" i="8"/>
  <c r="AJ33" i="8"/>
  <c r="AK33" i="8"/>
  <c r="AL33" i="8"/>
  <c r="AM33" i="8"/>
  <c r="AO33" i="8"/>
  <c r="AP33" i="8"/>
  <c r="N34" i="8"/>
  <c r="T34" i="8"/>
  <c r="AE34" i="8"/>
  <c r="AF34" i="8"/>
  <c r="AG34" i="8"/>
  <c r="AJ34" i="8"/>
  <c r="AK34" i="8"/>
  <c r="AL34" i="8"/>
  <c r="AM34" i="8"/>
  <c r="AO34" i="8"/>
  <c r="AP34" i="8"/>
  <c r="N35" i="8"/>
  <c r="T35" i="8"/>
  <c r="AE35" i="8"/>
  <c r="AF35" i="8"/>
  <c r="AG35" i="8"/>
  <c r="AJ35" i="8"/>
  <c r="AK35" i="8"/>
  <c r="AL35" i="8"/>
  <c r="AM35" i="8"/>
  <c r="AO35" i="8"/>
  <c r="AP35" i="8"/>
  <c r="N36" i="8"/>
  <c r="T36" i="8"/>
  <c r="AE36" i="8"/>
  <c r="AF36" i="8"/>
  <c r="AG36" i="8"/>
  <c r="AJ36" i="8"/>
  <c r="AK36" i="8"/>
  <c r="AL36" i="8"/>
  <c r="AM36" i="8"/>
  <c r="AO36" i="8"/>
  <c r="AP36" i="8"/>
  <c r="N37" i="8"/>
  <c r="T37" i="8"/>
  <c r="AE37" i="8"/>
  <c r="AF37" i="8"/>
  <c r="AG37" i="8"/>
  <c r="AJ37" i="8"/>
  <c r="AK37" i="8"/>
  <c r="AL37" i="8"/>
  <c r="AM37" i="8"/>
  <c r="AO37" i="8"/>
  <c r="AP37" i="8"/>
  <c r="N38" i="8"/>
  <c r="T38" i="8"/>
  <c r="AE38" i="8"/>
  <c r="AF38" i="8"/>
  <c r="AG38" i="8"/>
  <c r="AJ38" i="8"/>
  <c r="AK38" i="8"/>
  <c r="AL38" i="8"/>
  <c r="AM38" i="8"/>
  <c r="AO38" i="8"/>
  <c r="AP38" i="8"/>
  <c r="N39" i="8"/>
  <c r="T39" i="8"/>
  <c r="AE39" i="8"/>
  <c r="AF39" i="8"/>
  <c r="AG39" i="8"/>
  <c r="AJ39" i="8"/>
  <c r="AK39" i="8"/>
  <c r="AL39" i="8"/>
  <c r="AM39" i="8"/>
  <c r="AO39" i="8"/>
  <c r="AP39" i="8"/>
  <c r="N40" i="8"/>
  <c r="T40" i="8"/>
  <c r="AE40" i="8"/>
  <c r="AF40" i="8"/>
  <c r="AG40" i="8"/>
  <c r="AJ40" i="8"/>
  <c r="AK40" i="8"/>
  <c r="AL40" i="8"/>
  <c r="AM40" i="8"/>
  <c r="AO40" i="8"/>
  <c r="AP40" i="8"/>
  <c r="N41" i="8"/>
  <c r="T41" i="8"/>
  <c r="AE41" i="8"/>
  <c r="AF41" i="8"/>
  <c r="AG41" i="8"/>
  <c r="AJ41" i="8"/>
  <c r="AK41" i="8"/>
  <c r="AL41" i="8"/>
  <c r="AM41" i="8"/>
  <c r="AO41" i="8"/>
  <c r="AP41" i="8"/>
  <c r="N42" i="8"/>
  <c r="T42" i="8"/>
  <c r="AE42" i="8"/>
  <c r="AF42" i="8"/>
  <c r="AG42" i="8"/>
  <c r="AJ42" i="8"/>
  <c r="AK42" i="8"/>
  <c r="AL42" i="8"/>
  <c r="AM42" i="8"/>
  <c r="AO42" i="8"/>
  <c r="AP42" i="8"/>
  <c r="N43" i="8"/>
  <c r="T43" i="8"/>
  <c r="AE43" i="8"/>
  <c r="AF43" i="8"/>
  <c r="AG43" i="8"/>
  <c r="AJ43" i="8"/>
  <c r="AK43" i="8"/>
  <c r="AL43" i="8"/>
  <c r="AM43" i="8"/>
  <c r="AO43" i="8"/>
  <c r="AP43" i="8"/>
  <c r="N44" i="8"/>
  <c r="T44" i="8"/>
  <c r="AE44" i="8"/>
  <c r="AF44" i="8"/>
  <c r="AG44" i="8"/>
  <c r="AJ44" i="8"/>
  <c r="AK44" i="8"/>
  <c r="AL44" i="8"/>
  <c r="AM44" i="8"/>
  <c r="AO44" i="8"/>
  <c r="AP44" i="8"/>
  <c r="N45" i="8"/>
  <c r="T45" i="8"/>
  <c r="AE45" i="8"/>
  <c r="AF45" i="8"/>
  <c r="AG45" i="8"/>
  <c r="AJ45" i="8"/>
  <c r="AK45" i="8"/>
  <c r="AL45" i="8"/>
  <c r="AM45" i="8"/>
  <c r="AO45" i="8"/>
  <c r="AP45" i="8"/>
  <c r="N46" i="8"/>
  <c r="T46" i="8"/>
  <c r="AE46" i="8"/>
  <c r="AF46" i="8"/>
  <c r="AG46" i="8"/>
  <c r="AJ46" i="8"/>
  <c r="AK46" i="8"/>
  <c r="AL46" i="8"/>
  <c r="AM46" i="8"/>
  <c r="AO46" i="8"/>
  <c r="AP46" i="8"/>
  <c r="N47" i="8"/>
  <c r="T47" i="8"/>
  <c r="AE47" i="8"/>
  <c r="AF47" i="8"/>
  <c r="AG47" i="8"/>
  <c r="AJ47" i="8"/>
  <c r="AK47" i="8"/>
  <c r="AL47" i="8"/>
  <c r="AM47" i="8"/>
  <c r="AO47" i="8"/>
  <c r="AP47" i="8"/>
  <c r="N48" i="8"/>
  <c r="T48" i="8"/>
  <c r="AE48" i="8"/>
  <c r="AF48" i="8"/>
  <c r="AG48" i="8"/>
  <c r="AJ48" i="8"/>
  <c r="AK48" i="8"/>
  <c r="AL48" i="8"/>
  <c r="AM48" i="8"/>
  <c r="AO48" i="8"/>
  <c r="AP48" i="8"/>
  <c r="N49" i="8"/>
  <c r="T49" i="8"/>
  <c r="AE49" i="8"/>
  <c r="AF49" i="8"/>
  <c r="AG49" i="8"/>
  <c r="AJ49" i="8"/>
  <c r="AK49" i="8"/>
  <c r="AL49" i="8"/>
  <c r="AM49" i="8"/>
  <c r="AO49" i="8"/>
  <c r="AP49" i="8"/>
  <c r="N50" i="8"/>
  <c r="T50" i="8"/>
  <c r="AE50" i="8"/>
  <c r="AF50" i="8"/>
  <c r="AG50" i="8"/>
  <c r="AJ50" i="8"/>
  <c r="AK50" i="8"/>
  <c r="AL50" i="8"/>
  <c r="AM50" i="8"/>
  <c r="AO50" i="8"/>
  <c r="AP50" i="8"/>
  <c r="N51" i="8"/>
  <c r="T51" i="8"/>
  <c r="AE51" i="8"/>
  <c r="AF51" i="8"/>
  <c r="AG51" i="8"/>
  <c r="AJ51" i="8"/>
  <c r="AK51" i="8"/>
  <c r="AL51" i="8"/>
  <c r="AM51" i="8"/>
  <c r="AO51" i="8"/>
  <c r="AP51" i="8"/>
  <c r="N53" i="8"/>
  <c r="T53" i="8"/>
  <c r="AE53" i="8"/>
  <c r="AF53" i="8"/>
  <c r="AG53" i="8"/>
  <c r="AJ53" i="8"/>
  <c r="AK53" i="8"/>
  <c r="AL53" i="8"/>
  <c r="AM53" i="8"/>
  <c r="AO53" i="8"/>
  <c r="AP53" i="8"/>
  <c r="AO55" i="8"/>
  <c r="AP55" i="8"/>
  <c r="AE58" i="8"/>
  <c r="AF58" i="8"/>
  <c r="N5" i="9"/>
  <c r="T5" i="9"/>
  <c r="AE5" i="9"/>
  <c r="AF5" i="9"/>
  <c r="AG5" i="9"/>
  <c r="AJ5" i="9"/>
  <c r="AK5" i="9"/>
  <c r="AL5" i="9"/>
  <c r="AM5" i="9"/>
  <c r="AO5" i="9"/>
  <c r="AP5" i="9"/>
  <c r="N6" i="9"/>
  <c r="T6" i="9"/>
  <c r="AE6" i="9"/>
  <c r="AF6" i="9"/>
  <c r="AG6" i="9"/>
  <c r="AJ6" i="9"/>
  <c r="AK6" i="9"/>
  <c r="AL6" i="9"/>
  <c r="AM6" i="9"/>
  <c r="AO6" i="9"/>
  <c r="AP6" i="9"/>
  <c r="N7" i="9"/>
  <c r="T7" i="9"/>
  <c r="AE7" i="9"/>
  <c r="AF7" i="9"/>
  <c r="AG7" i="9"/>
  <c r="AJ7" i="9"/>
  <c r="AK7" i="9"/>
  <c r="AL7" i="9"/>
  <c r="AM7" i="9"/>
  <c r="AO7" i="9"/>
  <c r="AP7" i="9"/>
  <c r="N8" i="9"/>
  <c r="T8" i="9"/>
  <c r="AE8" i="9"/>
  <c r="AF8" i="9"/>
  <c r="AG8" i="9"/>
  <c r="AJ8" i="9"/>
  <c r="AK8" i="9"/>
  <c r="AL8" i="9"/>
  <c r="AM8" i="9"/>
  <c r="AO8" i="9"/>
  <c r="AP8" i="9"/>
  <c r="N9" i="9"/>
  <c r="T9" i="9"/>
  <c r="AE9" i="9"/>
  <c r="AF9" i="9"/>
  <c r="AG9" i="9"/>
  <c r="AJ9" i="9"/>
  <c r="AK9" i="9"/>
  <c r="AL9" i="9"/>
  <c r="AM9" i="9"/>
  <c r="AO9" i="9"/>
  <c r="AP9" i="9"/>
  <c r="N10" i="9"/>
  <c r="T10" i="9"/>
  <c r="AE10" i="9"/>
  <c r="AF10" i="9"/>
  <c r="AG10" i="9"/>
  <c r="AJ10" i="9"/>
  <c r="AK10" i="9"/>
  <c r="AL10" i="9"/>
  <c r="AM10" i="9"/>
  <c r="AO10" i="9"/>
  <c r="AP10" i="9"/>
  <c r="N11" i="9"/>
  <c r="T11" i="9"/>
  <c r="AE11" i="9"/>
  <c r="AF11" i="9"/>
  <c r="AG11" i="9"/>
  <c r="AJ11" i="9"/>
  <c r="AK11" i="9"/>
  <c r="AL11" i="9"/>
  <c r="AM11" i="9"/>
  <c r="AO11" i="9"/>
  <c r="AP11" i="9"/>
  <c r="N12" i="9"/>
  <c r="T12" i="9"/>
  <c r="AE12" i="9"/>
  <c r="AF12" i="9"/>
  <c r="AG12" i="9"/>
  <c r="AJ12" i="9"/>
  <c r="AK12" i="9"/>
  <c r="AL12" i="9"/>
  <c r="AM12" i="9"/>
  <c r="AO12" i="9"/>
  <c r="AP12" i="9"/>
  <c r="N13" i="9"/>
  <c r="T13" i="9"/>
  <c r="AE13" i="9"/>
  <c r="AF13" i="9"/>
  <c r="AG13" i="9"/>
  <c r="AJ13" i="9"/>
  <c r="AK13" i="9"/>
  <c r="AL13" i="9"/>
  <c r="AM13" i="9"/>
  <c r="AO13" i="9"/>
  <c r="AP13" i="9"/>
  <c r="N14" i="9"/>
  <c r="T14" i="9"/>
  <c r="AE14" i="9"/>
  <c r="AF14" i="9"/>
  <c r="AG14" i="9"/>
  <c r="AJ14" i="9"/>
  <c r="AK14" i="9"/>
  <c r="AL14" i="9"/>
  <c r="AM14" i="9"/>
  <c r="AO14" i="9"/>
  <c r="AP14" i="9"/>
  <c r="N15" i="9"/>
  <c r="T15" i="9"/>
  <c r="AE15" i="9"/>
  <c r="AF15" i="9"/>
  <c r="AG15" i="9"/>
  <c r="AJ15" i="9"/>
  <c r="AK15" i="9"/>
  <c r="AL15" i="9"/>
  <c r="AM15" i="9"/>
  <c r="AO15" i="9"/>
  <c r="AP15" i="9"/>
  <c r="N16" i="9"/>
  <c r="T16" i="9"/>
  <c r="AE16" i="9"/>
  <c r="AF16" i="9"/>
  <c r="AG16" i="9"/>
  <c r="AJ16" i="9"/>
  <c r="AK16" i="9"/>
  <c r="AL16" i="9"/>
  <c r="AM16" i="9"/>
  <c r="AO16" i="9"/>
  <c r="AP16" i="9"/>
  <c r="N17" i="9"/>
  <c r="T17" i="9"/>
  <c r="AE17" i="9"/>
  <c r="AF17" i="9"/>
  <c r="AG17" i="9"/>
  <c r="AJ17" i="9"/>
  <c r="AK17" i="9"/>
  <c r="AL17" i="9"/>
  <c r="AM17" i="9"/>
  <c r="AO17" i="9"/>
  <c r="AP17" i="9"/>
  <c r="N18" i="9"/>
  <c r="T18" i="9"/>
  <c r="AE18" i="9"/>
  <c r="AF18" i="9"/>
  <c r="AG18" i="9"/>
  <c r="AJ18" i="9"/>
  <c r="AK18" i="9"/>
  <c r="AL18" i="9"/>
  <c r="AM18" i="9"/>
  <c r="AO18" i="9"/>
  <c r="AP18" i="9"/>
  <c r="N19" i="9"/>
  <c r="T19" i="9"/>
  <c r="AE19" i="9"/>
  <c r="AF19" i="9"/>
  <c r="AG19" i="9"/>
  <c r="AJ19" i="9"/>
  <c r="AK19" i="9"/>
  <c r="AL19" i="9"/>
  <c r="AM19" i="9"/>
  <c r="AO19" i="9"/>
  <c r="AP19" i="9"/>
  <c r="N20" i="9"/>
  <c r="T20" i="9"/>
  <c r="AE20" i="9"/>
  <c r="AF20" i="9"/>
  <c r="AG20" i="9"/>
  <c r="AJ20" i="9"/>
  <c r="AK20" i="9"/>
  <c r="AL20" i="9"/>
  <c r="AM20" i="9"/>
  <c r="AO20" i="9"/>
  <c r="AP20" i="9"/>
  <c r="N21" i="9"/>
  <c r="T21" i="9"/>
  <c r="AE21" i="9"/>
  <c r="AF21" i="9"/>
  <c r="AG21" i="9"/>
  <c r="AJ21" i="9"/>
  <c r="AK21" i="9"/>
  <c r="AL21" i="9"/>
  <c r="AM21" i="9"/>
  <c r="AO21" i="9"/>
  <c r="AP21" i="9"/>
  <c r="N22" i="9"/>
  <c r="T22" i="9"/>
  <c r="AE22" i="9"/>
  <c r="AF22" i="9"/>
  <c r="AG22" i="9"/>
  <c r="AJ22" i="9"/>
  <c r="AK22" i="9"/>
  <c r="AL22" i="9"/>
  <c r="AM22" i="9"/>
  <c r="AO22" i="9"/>
  <c r="AP22" i="9"/>
  <c r="N23" i="9"/>
  <c r="T23" i="9"/>
  <c r="AE23" i="9"/>
  <c r="AF23" i="9"/>
  <c r="AG23" i="9"/>
  <c r="AJ23" i="9"/>
  <c r="AK23" i="9"/>
  <c r="AL23" i="9"/>
  <c r="AM23" i="9"/>
  <c r="AO23" i="9"/>
  <c r="AP23" i="9"/>
  <c r="N24" i="9"/>
  <c r="T24" i="9"/>
  <c r="AE24" i="9"/>
  <c r="AF24" i="9"/>
  <c r="AG24" i="9"/>
  <c r="AJ24" i="9"/>
  <c r="AK24" i="9"/>
  <c r="AL24" i="9"/>
  <c r="AM24" i="9"/>
  <c r="AO24" i="9"/>
  <c r="AP24" i="9"/>
  <c r="N25" i="9"/>
  <c r="T25" i="9"/>
  <c r="AE25" i="9"/>
  <c r="AF25" i="9"/>
  <c r="AG25" i="9"/>
  <c r="AJ25" i="9"/>
  <c r="AK25" i="9"/>
  <c r="AL25" i="9"/>
  <c r="AM25" i="9"/>
  <c r="AO25" i="9"/>
  <c r="AP25" i="9"/>
  <c r="N26" i="9"/>
  <c r="T26" i="9"/>
  <c r="AE26" i="9"/>
  <c r="AF26" i="9"/>
  <c r="AG26" i="9"/>
  <c r="AJ26" i="9"/>
  <c r="AK26" i="9"/>
  <c r="AL26" i="9"/>
  <c r="AM26" i="9"/>
  <c r="AO26" i="9"/>
  <c r="AP26" i="9"/>
  <c r="N27" i="9"/>
  <c r="T27" i="9"/>
  <c r="AE27" i="9"/>
  <c r="AF27" i="9"/>
  <c r="AG27" i="9"/>
  <c r="AJ27" i="9"/>
  <c r="AK27" i="9"/>
  <c r="AL27" i="9"/>
  <c r="AM27" i="9"/>
  <c r="AO27" i="9"/>
  <c r="AP27" i="9"/>
  <c r="N28" i="9"/>
  <c r="T28" i="9"/>
  <c r="AE28" i="9"/>
  <c r="AF28" i="9"/>
  <c r="AG28" i="9"/>
  <c r="AJ28" i="9"/>
  <c r="AK28" i="9"/>
  <c r="AL28" i="9"/>
  <c r="AM28" i="9"/>
  <c r="AO28" i="9"/>
  <c r="AP28" i="9"/>
  <c r="N29" i="9"/>
  <c r="T29" i="9"/>
  <c r="AE29" i="9"/>
  <c r="AF29" i="9"/>
  <c r="AG29" i="9"/>
  <c r="AJ29" i="9"/>
  <c r="AK29" i="9"/>
  <c r="AL29" i="9"/>
  <c r="AM29" i="9"/>
  <c r="AO29" i="9"/>
  <c r="AP29" i="9"/>
  <c r="N30" i="9"/>
  <c r="T30" i="9"/>
  <c r="AE30" i="9"/>
  <c r="AF30" i="9"/>
  <c r="AG30" i="9"/>
  <c r="AJ30" i="9"/>
  <c r="AK30" i="9"/>
  <c r="AL30" i="9"/>
  <c r="AM30" i="9"/>
  <c r="AO30" i="9"/>
  <c r="AP30" i="9"/>
  <c r="N31" i="9"/>
  <c r="T31" i="9"/>
  <c r="AE31" i="9"/>
  <c r="AF31" i="9"/>
  <c r="AG31" i="9"/>
  <c r="AJ31" i="9"/>
  <c r="AK31" i="9"/>
  <c r="AL31" i="9"/>
  <c r="AM31" i="9"/>
  <c r="AO31" i="9"/>
  <c r="AP31" i="9"/>
  <c r="N32" i="9"/>
  <c r="T32" i="9"/>
  <c r="AE32" i="9"/>
  <c r="AF32" i="9"/>
  <c r="AG32" i="9"/>
  <c r="AJ32" i="9"/>
  <c r="AK32" i="9"/>
  <c r="AL32" i="9"/>
  <c r="AM32" i="9"/>
  <c r="AO32" i="9"/>
  <c r="AP32" i="9"/>
  <c r="N33" i="9"/>
  <c r="T33" i="9"/>
  <c r="AE33" i="9"/>
  <c r="AF33" i="9"/>
  <c r="AG33" i="9"/>
  <c r="AJ33" i="9"/>
  <c r="AK33" i="9"/>
  <c r="AL33" i="9"/>
  <c r="AM33" i="9"/>
  <c r="AO33" i="9"/>
  <c r="AP33" i="9"/>
  <c r="N34" i="9"/>
  <c r="T34" i="9"/>
  <c r="AE34" i="9"/>
  <c r="AF34" i="9"/>
  <c r="AG34" i="9"/>
  <c r="AJ34" i="9"/>
  <c r="AK34" i="9"/>
  <c r="AL34" i="9"/>
  <c r="AM34" i="9"/>
  <c r="AO34" i="9"/>
  <c r="AP34" i="9"/>
  <c r="N35" i="9"/>
  <c r="T35" i="9"/>
  <c r="AE35" i="9"/>
  <c r="AF35" i="9"/>
  <c r="AG35" i="9"/>
  <c r="AJ35" i="9"/>
  <c r="AK35" i="9"/>
  <c r="AL35" i="9"/>
  <c r="AM35" i="9"/>
  <c r="AO35" i="9"/>
  <c r="AP35" i="9"/>
  <c r="N36" i="9"/>
  <c r="T36" i="9"/>
  <c r="AE36" i="9"/>
  <c r="AF36" i="9"/>
  <c r="AG36" i="9"/>
  <c r="AJ36" i="9"/>
  <c r="AK36" i="9"/>
  <c r="AL36" i="9"/>
  <c r="AM36" i="9"/>
  <c r="AO36" i="9"/>
  <c r="AP36" i="9"/>
  <c r="N37" i="9"/>
  <c r="T37" i="9"/>
  <c r="AE37" i="9"/>
  <c r="AF37" i="9"/>
  <c r="AG37" i="9"/>
  <c r="AJ37" i="9"/>
  <c r="AK37" i="9"/>
  <c r="AL37" i="9"/>
  <c r="AM37" i="9"/>
  <c r="AO37" i="9"/>
  <c r="AP37" i="9"/>
  <c r="N38" i="9"/>
  <c r="T38" i="9"/>
  <c r="AE38" i="9"/>
  <c r="AF38" i="9"/>
  <c r="AG38" i="9"/>
  <c r="AJ38" i="9"/>
  <c r="AK38" i="9"/>
  <c r="AL38" i="9"/>
  <c r="AM38" i="9"/>
  <c r="AO38" i="9"/>
  <c r="AP38" i="9"/>
  <c r="N39" i="9"/>
  <c r="T39" i="9"/>
  <c r="AE39" i="9"/>
  <c r="AF39" i="9"/>
  <c r="AG39" i="9"/>
  <c r="AJ39" i="9"/>
  <c r="AK39" i="9"/>
  <c r="AL39" i="9"/>
  <c r="AM39" i="9"/>
  <c r="AO39" i="9"/>
  <c r="AP39" i="9"/>
  <c r="N40" i="9"/>
  <c r="T40" i="9"/>
  <c r="AE40" i="9"/>
  <c r="AF40" i="9"/>
  <c r="AG40" i="9"/>
  <c r="AJ40" i="9"/>
  <c r="AK40" i="9"/>
  <c r="AL40" i="9"/>
  <c r="AM40" i="9"/>
  <c r="AO40" i="9"/>
  <c r="AP40" i="9"/>
  <c r="N41" i="9"/>
  <c r="T41" i="9"/>
  <c r="AE41" i="9"/>
  <c r="AF41" i="9"/>
  <c r="AG41" i="9"/>
  <c r="AJ41" i="9"/>
  <c r="AK41" i="9"/>
  <c r="AL41" i="9"/>
  <c r="AM41" i="9"/>
  <c r="AO41" i="9"/>
  <c r="AP41" i="9"/>
  <c r="N42" i="9"/>
  <c r="T42" i="9"/>
  <c r="AE42" i="9"/>
  <c r="AF42" i="9"/>
  <c r="AG42" i="9"/>
  <c r="AJ42" i="9"/>
  <c r="AK42" i="9"/>
  <c r="AL42" i="9"/>
  <c r="AM42" i="9"/>
  <c r="AO42" i="9"/>
  <c r="AP42" i="9"/>
  <c r="N43" i="9"/>
  <c r="T43" i="9"/>
  <c r="AE43" i="9"/>
  <c r="AF43" i="9"/>
  <c r="AG43" i="9"/>
  <c r="AJ43" i="9"/>
  <c r="AK43" i="9"/>
  <c r="AL43" i="9"/>
  <c r="AM43" i="9"/>
  <c r="AO43" i="9"/>
  <c r="AP43" i="9"/>
  <c r="N44" i="9"/>
  <c r="T44" i="9"/>
  <c r="AE44" i="9"/>
  <c r="AF44" i="9"/>
  <c r="AG44" i="9"/>
  <c r="AJ44" i="9"/>
  <c r="AK44" i="9"/>
  <c r="AL44" i="9"/>
  <c r="AM44" i="9"/>
  <c r="AO44" i="9"/>
  <c r="AP44" i="9"/>
  <c r="N45" i="9"/>
  <c r="T45" i="9"/>
  <c r="AE45" i="9"/>
  <c r="AF45" i="9"/>
  <c r="AG45" i="9"/>
  <c r="AJ45" i="9"/>
  <c r="AK45" i="9"/>
  <c r="AL45" i="9"/>
  <c r="AM45" i="9"/>
  <c r="AO45" i="9"/>
  <c r="AP45" i="9"/>
  <c r="N46" i="9"/>
  <c r="T46" i="9"/>
  <c r="AE46" i="9"/>
  <c r="AF46" i="9"/>
  <c r="AG46" i="9"/>
  <c r="AJ46" i="9"/>
  <c r="AK46" i="9"/>
  <c r="AL46" i="9"/>
  <c r="AM46" i="9"/>
  <c r="AO46" i="9"/>
  <c r="AP46" i="9"/>
  <c r="N47" i="9"/>
  <c r="T47" i="9"/>
  <c r="AE47" i="9"/>
  <c r="AF47" i="9"/>
  <c r="AG47" i="9"/>
  <c r="AJ47" i="9"/>
  <c r="AK47" i="9"/>
  <c r="AL47" i="9"/>
  <c r="AM47" i="9"/>
  <c r="AO47" i="9"/>
  <c r="AP47" i="9"/>
  <c r="N48" i="9"/>
  <c r="T48" i="9"/>
  <c r="AE48" i="9"/>
  <c r="AF48" i="9"/>
  <c r="AG48" i="9"/>
  <c r="AJ48" i="9"/>
  <c r="AK48" i="9"/>
  <c r="AL48" i="9"/>
  <c r="AM48" i="9"/>
  <c r="AO48" i="9"/>
  <c r="AP48" i="9"/>
  <c r="N49" i="9"/>
  <c r="T49" i="9"/>
  <c r="AE49" i="9"/>
  <c r="AF49" i="9"/>
  <c r="AG49" i="9"/>
  <c r="AJ49" i="9"/>
  <c r="AK49" i="9"/>
  <c r="AL49" i="9"/>
  <c r="AM49" i="9"/>
  <c r="AO49" i="9"/>
  <c r="AP49" i="9"/>
  <c r="N50" i="9"/>
  <c r="T50" i="9"/>
  <c r="AE50" i="9"/>
  <c r="AF50" i="9"/>
  <c r="AG50" i="9"/>
  <c r="AJ50" i="9"/>
  <c r="AK50" i="9"/>
  <c r="AL50" i="9"/>
  <c r="AM50" i="9"/>
  <c r="AO50" i="9"/>
  <c r="AP50" i="9"/>
  <c r="N51" i="9"/>
  <c r="T51" i="9"/>
  <c r="AE51" i="9"/>
  <c r="AF51" i="9"/>
  <c r="AG51" i="9"/>
  <c r="AJ51" i="9"/>
  <c r="AK51" i="9"/>
  <c r="AL51" i="9"/>
  <c r="AM51" i="9"/>
  <c r="AO51" i="9"/>
  <c r="AP51" i="9"/>
  <c r="N53" i="9"/>
  <c r="T53" i="9"/>
  <c r="AE53" i="9"/>
  <c r="AF53" i="9"/>
  <c r="AG53" i="9"/>
  <c r="AJ53" i="9"/>
  <c r="AK53" i="9"/>
  <c r="AL53" i="9"/>
  <c r="AM53" i="9"/>
  <c r="AO53" i="9"/>
  <c r="AP53" i="9"/>
  <c r="AO55" i="9"/>
  <c r="AP5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6A0552E0-6E1E-445D-B2A0-F33BC2F0F148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6B2A25-FAE4-4084-A2CB-6EAC95E1B301}" name="Conexão" type="7" refreshedVersion="7" background="1" saveData="1"/>
  <connection id="2" xr16:uid="{C2735FA6-9D83-466B-904D-5F12EDFD0384}" name="Conexão1" type="7" refreshedVersion="7" background="1" saveData="1"/>
  <connection id="3" xr16:uid="{C536AF9A-5AEF-4300-8DBA-B5BC93D139DB}" name="Conexão2" type="7" refreshedVersion="7" background="1" saveData="1"/>
</connections>
</file>

<file path=xl/sharedStrings.xml><?xml version="1.0" encoding="utf-8"?>
<sst xmlns="http://schemas.openxmlformats.org/spreadsheetml/2006/main" count="22760" uniqueCount="1150">
  <si>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</si>
  <si>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</si>
  <si>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</si>
  <si>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</si>
  <si>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</si>
  <si>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</si>
  <si>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</si>
  <si>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</si>
  <si>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</si>
  <si>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</si>
  <si>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</si>
  <si>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</si>
  <si>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</si>
  <si>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</si>
  <si>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</si>
  <si>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</si>
  <si>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</si>
  <si>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</si>
  <si>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</si>
  <si>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</si>
  <si>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</si>
  <si>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</si>
  <si>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</si>
  <si>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</si>
  <si>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</si>
  <si>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</si>
  <si>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</si>
  <si>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</si>
  <si>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</si>
  <si>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</si>
  <si>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</si>
  <si>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</si>
  <si>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</si>
  <si>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Branca</t>
  </si>
  <si>
    <t>Fora ponta</t>
  </si>
  <si>
    <t>B3</t>
  </si>
  <si>
    <t>Industrial</t>
  </si>
  <si>
    <t>A4</t>
  </si>
  <si>
    <t>Verde</t>
  </si>
  <si>
    <t>Ponta</t>
  </si>
  <si>
    <t>Comercial</t>
  </si>
  <si>
    <t>Azul</t>
  </si>
  <si>
    <t>Intermediário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</si>
  <si>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</si>
  <si>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</si>
  <si>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</si>
  <si>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</si>
  <si>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</si>
  <si>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</si>
  <si>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</si>
  <si>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</si>
  <si>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</si>
  <si>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</si>
  <si>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</si>
  <si>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</si>
  <si>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Aquicultura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</si>
  <si>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</si>
  <si>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</si>
  <si>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</si>
  <si>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</si>
  <si>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</si>
  <si>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</si>
  <si>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</si>
  <si>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</si>
  <si>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</si>
  <si>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</si>
  <si>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</si>
  <si>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</si>
  <si>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</si>
  <si>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</si>
  <si>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</si>
  <si>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</si>
  <si>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</si>
  <si>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</si>
  <si>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</si>
  <si>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Energia convencional</t>
  </si>
  <si>
    <t>E</t>
  </si>
  <si>
    <t>kW</t>
  </si>
  <si>
    <t>DP</t>
  </si>
  <si>
    <t>DFP</t>
  </si>
  <si>
    <t>APE</t>
  </si>
  <si>
    <t>Geração</t>
  </si>
  <si>
    <t>B</t>
  </si>
  <si>
    <t>TIPO 01</t>
  </si>
  <si>
    <t>TIPO 02</t>
  </si>
  <si>
    <t>EINT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</si>
  <si>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</si>
  <si>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</si>
  <si>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</si>
  <si>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</si>
  <si>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</si>
  <si>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</si>
  <si>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44287A4AzulNão se aplicaNão se aplicaNão se aplicaNão se aplicaFora ponta</t>
  </si>
  <si>
    <t>44317A4AzulNão se aplicaNão se aplicaNão se aplicaNão se aplicaFora ponta</t>
  </si>
  <si>
    <t>44348A4AzulNão se aplicaNão se aplicaNão se aplicaNão se aplicaFora ponta</t>
  </si>
  <si>
    <t>44378A4AzulNão se aplicaNão se aplicaNão se aplicaNão se aplicaFora ponta</t>
  </si>
  <si>
    <t>44409A4AzulNão se aplicaNão se aplicaNão se aplicaNão se aplicaFora ponta</t>
  </si>
  <si>
    <t>44440A4AzulNão se aplicaNão se aplicaNão se aplicaNão se aplicaFora ponta</t>
  </si>
  <si>
    <t>44470A4AzulNão se aplicaNão se aplicaNão se aplicaNão se aplicaFora ponta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</si>
  <si>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</si>
  <si>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</si>
  <si>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</si>
  <si>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</si>
  <si>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</si>
  <si>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44287A4AzulNão se aplicaNão se aplicaNão se aplicaNão se aplicaPonta</t>
  </si>
  <si>
    <t>44317A4AzulNão se aplicaNão se aplicaNão se aplicaNão se aplicaPonta</t>
  </si>
  <si>
    <t>44348A4AzulNão se aplicaNão se aplicaNão se aplicaNão se aplicaPonta</t>
  </si>
  <si>
    <t>44378A4AzulNão se aplicaNão se aplicaNão se aplicaNão se aplicaPonta</t>
  </si>
  <si>
    <t>44409A4AzulNão se aplicaNão se aplicaNão se aplicaNão se aplicaPonta</t>
  </si>
  <si>
    <t>44440A4AzulNão se aplicaNão se aplicaNão se aplicaNão se aplicaPonta</t>
  </si>
  <si>
    <t>44470A4AzulNão se aplicaNão se aplicaNão se aplicaNão se aplicaPonta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</si>
  <si>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</si>
  <si>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</si>
  <si>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</si>
  <si>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</si>
  <si>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</si>
  <si>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44287A4VerdeNão se aplicaNão se aplicaNão se aplicaNão se aplicaFora ponta</t>
  </si>
  <si>
    <t>44317A4VerdeNão se aplicaNão se aplicaNão se aplicaNão se aplicaFora ponta</t>
  </si>
  <si>
    <t>44348A4VerdeNão se aplicaNão se aplicaNão se aplicaNão se aplicaFora ponta</t>
  </si>
  <si>
    <t>44378A4VerdeNão se aplicaNão se aplicaNão se aplicaNão se aplicaFora ponta</t>
  </si>
  <si>
    <t>44409A4VerdeNão se aplicaNão se aplicaNão se aplicaNão se aplicaFora 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</si>
  <si>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</si>
  <si>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</si>
  <si>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</si>
  <si>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</si>
  <si>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</si>
  <si>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</si>
  <si>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</si>
  <si>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44287A4VerdeNão se aplicaNão se aplicaNão se aplicaNão se aplicaNão se aplica</t>
  </si>
  <si>
    <t>44317A4VerdeNão se aplicaNão se aplicaNão se aplicaNão se aplicaNão se aplica</t>
  </si>
  <si>
    <t>44348A4VerdeNão se aplicaNão se aplicaNão se aplicaNão se aplicaNão se aplica</t>
  </si>
  <si>
    <t>44378A4VerdeNão se aplicaNão se aplicaNão se aplicaNão se aplicaNão se aplica</t>
  </si>
  <si>
    <t>44409A4VerdeNão se aplicaNão se aplicaNão se aplicaNão se aplicaNão se aplica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</si>
  <si>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</si>
  <si>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</si>
  <si>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</si>
  <si>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</si>
  <si>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</si>
  <si>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</si>
  <si>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</si>
  <si>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44287A4VerdeNão se aplicaNão se aplicaNão se aplicaNão se aplicaPonta</t>
  </si>
  <si>
    <t>44317A4VerdeNão se aplicaNão se aplicaNão se aplicaNão se aplicaPonta</t>
  </si>
  <si>
    <t>44348A4VerdeNão se aplicaNão se aplicaNão se aplicaNão se aplicaPonta</t>
  </si>
  <si>
    <t>44378A4VerdeNão se aplicaNão se aplicaNão se aplicaNão se aplicaPonta</t>
  </si>
  <si>
    <t>44409A4VerdeNão se aplicaNão se aplicaNão se aplicaNão se aplicaPonta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</si>
  <si>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</si>
  <si>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</si>
  <si>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</si>
  <si>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</si>
  <si>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</si>
  <si>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</si>
  <si>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</si>
  <si>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44287B1BrancaResidencialResidencialNão se aplicaNão se aplicaFora ponta</t>
  </si>
  <si>
    <t>44317B1BrancaResidencialResidencialNão se aplicaNão se aplicaFora ponta</t>
  </si>
  <si>
    <t>44378B1BrancaResidencialResidencialNão se aplicaNão se aplicaFora ponta</t>
  </si>
  <si>
    <t>44409B1BrancaResidencialResidencialNão se aplicaNão se aplicaFora ponta</t>
  </si>
  <si>
    <t>44440B1BrancaResidencialResidencialNão se aplicaNão se aplicaFora ponta</t>
  </si>
  <si>
    <t>44470B1BrancaResidencialResidencialNão se aplicaNão se aplicaFora ponta</t>
  </si>
  <si>
    <t>44501B1BrancaResidencialResidencialNão se aplicaNão se aplicaFora ponta</t>
  </si>
  <si>
    <t>44531B1BrancaResidencialResidencialNão se aplicaNão se aplicaFora ponta</t>
  </si>
  <si>
    <t>44562B1BrancaResidencialResidencialNão se aplicaNão se aplicaFora ponta</t>
  </si>
  <si>
    <t>44593B1BrancaResidencialResidencialNão se aplicaNão se aplicaFora ponta</t>
  </si>
  <si>
    <t>44348B1BrancaResidencialResidencialNão se aplicaNão se aplicaPonta</t>
  </si>
  <si>
    <t>44378B1BrancaResidencialResidencialNão se aplicaNão se aplicaPonta</t>
  </si>
  <si>
    <t>44287B1ConvencionalResidencialResidencialNão se aplicaNão se aplicaNão se aplica</t>
  </si>
  <si>
    <t>44317B1ConvencionalResidencialResidencialNão se aplicaNão se aplicaNão se aplica</t>
  </si>
  <si>
    <t>44348B1ConvencionalResidencialResidencialNão se aplicaNão se aplicaNão se aplica</t>
  </si>
  <si>
    <t>44378B1ConvencionalResidencialResidencialNão se aplicaNão se aplicaNão se aplica</t>
  </si>
  <si>
    <t>44409B1ConvencionalResidencialResidencialNão se aplicaNão se aplicaNão se aplica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</si>
  <si>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</si>
  <si>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</si>
  <si>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</si>
  <si>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</si>
  <si>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</si>
  <si>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</si>
  <si>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</si>
  <si>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44287B1ConvencionalResidencialResidencial baixa renda – faixa 01Não se aplicaNão se aplicaNão se aplica</t>
  </si>
  <si>
    <t>44317B1ConvencionalResidencialResidencial baixa renda – faixa 01Não se aplicaNão se aplicaNão se aplica</t>
  </si>
  <si>
    <t>44348B1ConvencionalResidencialResidencial baixa renda – faixa 01Não se aplicaNão se aplicaNão se aplica</t>
  </si>
  <si>
    <t>44378B1ConvencionalResidencialResidencial baixa renda – faixa 01Não se aplicaNão se aplicaNão se aplica</t>
  </si>
  <si>
    <t>44409B1ConvencionalResidencialResidencial baixa renda – faixa 01Não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</si>
  <si>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</si>
  <si>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</si>
  <si>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</si>
  <si>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</si>
  <si>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</si>
  <si>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</si>
  <si>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</si>
  <si>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44287B1ConvencionalResidencialResidencial baixa renda – faixa 02Não se aplicaNão se aplicaNão se aplica</t>
  </si>
  <si>
    <t>44317B1ConvencionalResidencialResidencial baixa renda – faixa 02Não se aplicaNão se aplicaNão se aplica</t>
  </si>
  <si>
    <t>44348B1ConvencionalResidencialResidencial baixa renda – faixa 02Não se aplicaNão se aplicaNão se aplica</t>
  </si>
  <si>
    <t>44378B1ConvencionalResidencialResidencial baixa renda – faixa 02Não se aplicaNão se aplicaNão se aplica</t>
  </si>
  <si>
    <t>44409B1ConvencionalResidencialResidencial baixa renda – faixa 02Não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</si>
  <si>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</si>
  <si>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</si>
  <si>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</si>
  <si>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</si>
  <si>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</si>
  <si>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</si>
  <si>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</si>
  <si>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44287B1ConvencionalResidencialResidencial baixa renda – faixa 03Não se aplicaNão se aplicaNão se aplica</t>
  </si>
  <si>
    <t>44317B1ConvencionalResidencialResidencial baixa renda – faixa 03Não se aplicaNão se aplicaNão se aplica</t>
  </si>
  <si>
    <t>44348B1ConvencionalResidencialResidencial baixa renda – faixa 03Não se aplicaNão se aplicaNão se aplica</t>
  </si>
  <si>
    <t>44378B1ConvencionalResidencialResidencial baixa renda – faixa 03Não se aplicaNão se aplicaNão se aplica</t>
  </si>
  <si>
    <t>44409B1ConvencionalResidencialResidencial baixa renda – faixa 03Não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</si>
  <si>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</si>
  <si>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</si>
  <si>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</si>
  <si>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</si>
  <si>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</si>
  <si>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</si>
  <si>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</si>
  <si>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44287B1ConvencionalResidencialResidencial baixa renda – faixa 04Não se aplicaNão se aplicaNão se aplica</t>
  </si>
  <si>
    <t>44317B1ConvencionalResidencialResidencial baixa renda – faixa 04Não se aplicaNão se aplicaNão se aplica</t>
  </si>
  <si>
    <t>44348B1ConvencionalResidencialResidencial baixa renda – faixa 04Não se aplicaNão se aplicaNão se aplica</t>
  </si>
  <si>
    <t>44378B1ConvencionalResidencialResidencial baixa renda – faixa 04Não se aplicaNão se aplicaNão se aplica</t>
  </si>
  <si>
    <t>44409B1ConvencionalResidencialResidencial baixa renda – faixa 04Não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</si>
  <si>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</si>
  <si>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</si>
  <si>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</si>
  <si>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</si>
  <si>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</si>
  <si>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</si>
  <si>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</si>
  <si>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44287B2ConvencionalRuralNão se aplicaNão se aplicaNão se aplicaNão se aplica</t>
  </si>
  <si>
    <t>44317B2ConvencionalRuralNão se aplicaNão se aplicaNão se aplicaNão se aplica</t>
  </si>
  <si>
    <t>44348B2ConvencionalRuralNão se aplicaNão se aplicaNão se aplicaNão se aplica</t>
  </si>
  <si>
    <t>44378B2ConvencionalRuralNão se aplicaNão se aplicaNão se aplicaNão se aplica</t>
  </si>
  <si>
    <t>44409B2ConvencionalRuralNão se aplicaNão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</si>
  <si>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</si>
  <si>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</si>
  <si>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</si>
  <si>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</si>
  <si>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</si>
  <si>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</si>
  <si>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</si>
  <si>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44287B3BrancaNão se aplicaNão se aplicaNão se aplicaNão se aplicaFora ponta</t>
  </si>
  <si>
    <t>44317B3BrancaNão se aplicaNão se aplicaNão se aplicaNão se aplicaFora ponta</t>
  </si>
  <si>
    <t>44348B3BrancaNão se aplicaNão se aplicaNão se aplicaNão se aplicaFora ponta</t>
  </si>
  <si>
    <t>44378B3BrancaNão se aplicaNão se aplicaNão se aplicaNão se aplicaFora ponta</t>
  </si>
  <si>
    <t>44409B3BrancaNão se aplicaNão se aplicaNão se aplicaNão se aplicaFora ponta</t>
  </si>
  <si>
    <t>44440B3BrancaNão se aplicaNão se aplicaNão se aplicaNão se aplicaFora ponta</t>
  </si>
  <si>
    <t>44470B3BrancaNão se aplicaNão se aplicaNão se aplicaNão se aplicaFora ponta</t>
  </si>
  <si>
    <t>44501B3BrancaNão se aplicaNão se aplicaNão se aplicaNão se aplicaFora ponta</t>
  </si>
  <si>
    <t>44531B3BrancaNão se aplicaNão se aplicaNão se aplicaNão se aplicaFora ponta</t>
  </si>
  <si>
    <t>44562B3BrancaNão se aplicaNão se aplicaNão se aplicaNão se aplicaFora ponta</t>
  </si>
  <si>
    <t>44593B3BrancaNão se aplicaNão se aplicaNão se aplicaNão se aplicaFora ponta</t>
  </si>
  <si>
    <t>44621B3BrancaNão se aplicaNão se aplicaNão se aplicaNão se aplicaFora ponta</t>
  </si>
  <si>
    <t>44287B3BrancaNão se aplicaNão se aplicaNão se aplicaNão se aplicaIntermediário</t>
  </si>
  <si>
    <t>44317B3BrancaNão se aplicaNão se aplicaNão se aplicaNão se aplicaIntermediário</t>
  </si>
  <si>
    <t>44348B3BrancaNão se aplicaNão se aplicaNão se aplicaNão se aplicaIntermediário</t>
  </si>
  <si>
    <t>44378B3BrancaNão se aplicaNão se aplicaNão se aplicaNão se aplicaIntermediário</t>
  </si>
  <si>
    <t>44409B3BrancaNão se aplicaNão se aplicaNão se aplicaNão se aplicaIntermediário</t>
  </si>
  <si>
    <t>44440B3BrancaNão se aplicaNão se aplicaNão se aplicaNão se aplicaIntermediário</t>
  </si>
  <si>
    <t>44470B3BrancaNão se aplicaNão se aplicaNão se aplicaNão se aplicaIntermediário</t>
  </si>
  <si>
    <t>44501B3BrancaNão se aplicaNão se aplicaNão se aplicaNão se aplicaIntermediário</t>
  </si>
  <si>
    <t>44531B3BrancaNão se aplicaNão se aplicaNão se aplicaNão se aplicaIntermediário</t>
  </si>
  <si>
    <t>44562B3BrancaNão se aplicaNão se aplicaNão se aplicaNão se aplicaIntermediário</t>
  </si>
  <si>
    <t>44593B3BrancaNão se aplicaNão se aplicaNão se aplicaNão se aplicaIntermediário</t>
  </si>
  <si>
    <t>44621B3BrancaNão se aplicaNão se aplicaNão se aplicaNão se aplicaIntermediário</t>
  </si>
  <si>
    <t>44287B3BrancaNão se aplicaNão se aplicaNão se aplicaNão se aplicaPonta</t>
  </si>
  <si>
    <t>44317B3BrancaNão se aplicaNão se aplicaNão se aplicaNão se aplicaPonta</t>
  </si>
  <si>
    <t>44348B3BrancaNão se aplicaNão se aplicaNão se aplicaNão se aplicaPonta</t>
  </si>
  <si>
    <t>44378B3BrancaNão se aplicaNão se aplicaNão se aplicaNão se aplicaPonta</t>
  </si>
  <si>
    <t>44409B3BrancaNão se aplicaNão se aplicaNão se aplicaNão se aplicaPonta</t>
  </si>
  <si>
    <t>44440B3BrancaNão se aplicaNão se aplicaNão se aplicaNão se aplicaPonta</t>
  </si>
  <si>
    <t>44470B3BrancaNão se aplicaNão se aplicaNão se aplicaNão se aplicaPonta</t>
  </si>
  <si>
    <t>44501B3BrancaNão se aplicaNão se aplicaNão se aplicaNão se aplicaPonta</t>
  </si>
  <si>
    <t>44531B3BrancaNão se aplicaNão se aplicaNão se aplicaNão se aplicaPonta</t>
  </si>
  <si>
    <t>44562B3BrancaNão se aplicaNão se aplicaNão se aplicaNão se aplicaPonta</t>
  </si>
  <si>
    <t>44593B3BrancaNão se aplicaNão se aplicaNão se aplicaNão se aplicaPonta</t>
  </si>
  <si>
    <t>44621B3BrancaNão se aplicaNão se aplicaNão se aplicaNão se aplicaPonta</t>
  </si>
  <si>
    <t>44287B3ConvencionalNão se aplicaNão se aplicaNão se aplicaNão se aplicaNão se aplica</t>
  </si>
  <si>
    <t>44317B3ConvencionalNão se aplicaNão se aplicaNão se aplicaNão se aplicaNão se aplica</t>
  </si>
  <si>
    <t>44348B3ConvencionalNão se aplicaNão se aplicaNão se aplicaNão se aplicaNão se aplica</t>
  </si>
  <si>
    <t>44378B3ConvencionalNão se aplicaNão se aplicaNão se aplicaNão se aplicaNão se aplica</t>
  </si>
  <si>
    <t>44409B3ConvencionalNão se aplicaNão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</si>
  <si>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</si>
  <si>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</si>
  <si>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</si>
  <si>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</si>
  <si>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</si>
  <si>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</si>
  <si>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</si>
  <si>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44287B4ConvencionalIluminação públicaIluminação pública – B4aNão se aplicaNão se aplicaNão se aplica</t>
  </si>
  <si>
    <t>44317B4ConvencionalIluminação públicaIluminação pública – B4aNão se aplicaNão se aplicaNão se aplica</t>
  </si>
  <si>
    <t>44348B4ConvencionalIluminação públicaIluminação pública – B4aNão se aplicaNão se aplicaNão se aplica</t>
  </si>
  <si>
    <t>44378B4ConvencionalIluminação públicaIluminação pública – B4aNão se aplicaNão se aplicaNão se aplica</t>
  </si>
  <si>
    <t>44409B4ConvencionalIluminação públicaIluminação pública – B4aNão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</si>
  <si>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</si>
  <si>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</si>
  <si>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</si>
  <si>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</si>
  <si>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</si>
  <si>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</si>
  <si>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</si>
  <si>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CHAVE TE</t>
  </si>
  <si>
    <t>44287A4Energia horáriaNão se aplicaNão se aplicaNão se aplicaNão se aplicaFora ponta</t>
  </si>
  <si>
    <t>44317A4Energia horáriaNão se aplicaNão se aplicaNão se aplicaNão se aplicaFora ponta</t>
  </si>
  <si>
    <t>44348A4Energia horáriaNão se aplicaNão se aplicaNão se aplicaNão se aplicaFora ponta</t>
  </si>
  <si>
    <t>44378A4Energia horáriaNão se aplicaNão se aplicaNão se aplicaNão se aplicaFora ponta</t>
  </si>
  <si>
    <t>44409A4Energia horáriaNão se aplicaNão se aplicaNão se aplicaNão se aplicaFora ponta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</si>
  <si>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</si>
  <si>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</si>
  <si>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</si>
  <si>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</si>
  <si>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</si>
  <si>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</si>
  <si>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</si>
  <si>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44287A4Energia horáriaNão se aplicaNão se aplicaNão se aplicaNão se aplicaPonta</t>
  </si>
  <si>
    <t>44317A4Energia horáriaNão se aplicaNão se aplicaNão se aplicaNão se aplicaPonta</t>
  </si>
  <si>
    <t>44348A4Energia horáriaNão se aplicaNão se aplicaNão se aplicaNão se aplicaPonta</t>
  </si>
  <si>
    <t>44378A4Energia horáriaNão se aplicaNão se aplicaNão se aplicaNão se aplicaPonta</t>
  </si>
  <si>
    <t>44409A4Energia horáriaNão se aplicaNão se aplicaNão se aplicaNão se aplicaPonta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</si>
  <si>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</si>
  <si>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</si>
  <si>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</si>
  <si>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</si>
  <si>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</si>
  <si>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</si>
  <si>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</si>
  <si>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</si>
  <si>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</si>
  <si>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</si>
  <si>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</si>
  <si>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44287B1Energia horáriaResidencialResidencialNão se aplicaNão se aplicaFora ponta</t>
  </si>
  <si>
    <t>44317B1Energia horáriaResidencialResidencialNão se aplicaNão se aplicaFora ponta</t>
  </si>
  <si>
    <t>44378B1Energia horáriaResidencialResidencialNão se aplicaNão se aplicaFora ponta</t>
  </si>
  <si>
    <t>44409B1Energia horáriaResidencialResidencialNão se aplicaNão se aplicaFora ponta</t>
  </si>
  <si>
    <t>44440B1Energia horáriaResidencialResidencialNão se aplicaNão se aplicaFora ponta</t>
  </si>
  <si>
    <t>44470B1Energia horáriaResidencialResidencialNão se aplicaNão se aplicaFora ponta</t>
  </si>
  <si>
    <t>44501B1Energia horáriaResidencialResidencialNão se aplicaNão se aplicaFora ponta</t>
  </si>
  <si>
    <t>44531B1Energia horáriaResidencialResidencialNão se aplicaNão se aplicaFora ponta</t>
  </si>
  <si>
    <t>44562B1Energia horáriaResidencialResidencialNão se aplicaNão se aplicaFora ponta</t>
  </si>
  <si>
    <t>44593B1Energia horáriaResidencialResidencialNão se aplicaNão se aplicaFora ponta</t>
  </si>
  <si>
    <t>44348B1Energia horáriaResidencialResidencialNão se aplicaNão se aplicaPonta</t>
  </si>
  <si>
    <t>44378B1Energia horáriaResidencialResidencialNão se aplicaNão se aplicaPonta</t>
  </si>
  <si>
    <t>44287B1Energia convencionalResidencialResidencialNão se aplicaNão se aplicaNão se aplica</t>
  </si>
  <si>
    <t>44317B1Energia convencionalResidencialResidencialNão se aplicaNão se aplicaNão se aplica</t>
  </si>
  <si>
    <t>44348B1Energia convencionalResidencialResidencialNão se aplicaNão se aplicaNão se aplica</t>
  </si>
  <si>
    <t>44378B1Energia convencionalResidencialResidencialNão se aplicaNão se aplicaNão se aplica</t>
  </si>
  <si>
    <t>44409B1Energia convencionalResidencialResidencialNão se aplicaNão se aplicaNão se aplica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</si>
  <si>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</si>
  <si>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</si>
  <si>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</si>
  <si>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</si>
  <si>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</si>
  <si>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</si>
  <si>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</si>
  <si>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44287B1Energia convencionalResidencialResidencial baixa renda – faixa 01Não se aplicaNão se aplicaNão se aplica</t>
  </si>
  <si>
    <t>44317B1Energia convencionalResidencialResidencial baixa renda – faixa 01Não se aplicaNão se aplicaNão se aplica</t>
  </si>
  <si>
    <t>44348B1Energia convencionalResidencialResidencial baixa renda – faixa 01Não se aplicaNão se aplicaNão se aplica</t>
  </si>
  <si>
    <t>44378B1Energia convencionalResidencialResidencial baixa renda – faixa 01Não se aplicaNão se aplicaNão se aplica</t>
  </si>
  <si>
    <t>44409B1Energia convencionalResidencialResidencial baixa renda – faixa 01Não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</si>
  <si>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</si>
  <si>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</si>
  <si>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</si>
  <si>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</si>
  <si>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</si>
  <si>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</si>
  <si>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</si>
  <si>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44287B1Energia convencionalResidencialResidencial baixa renda – faixa 02Não se aplicaNão se aplicaNão se aplica</t>
  </si>
  <si>
    <t>44317B1Energia convencionalResidencialResidencial baixa renda – faixa 02Não se aplicaNão se aplicaNão se aplica</t>
  </si>
  <si>
    <t>44348B1Energia convencionalResidencialResidencial baixa renda – faixa 02Não se aplicaNão se aplicaNão se aplica</t>
  </si>
  <si>
    <t>44378B1Energia convencionalResidencialResidencial baixa renda – faixa 02Não se aplicaNão se aplicaNão se aplica</t>
  </si>
  <si>
    <t>44409B1Energia convencionalResidencialResidencial baixa renda – faixa 02Não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</si>
  <si>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</si>
  <si>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</si>
  <si>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</si>
  <si>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</si>
  <si>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</si>
  <si>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</si>
  <si>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</si>
  <si>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44287B1Energia convencionalResidencialResidencial baixa renda – faixa 03Não se aplicaNão se aplicaNão se aplica</t>
  </si>
  <si>
    <t>44317B1Energia convencionalResidencialResidencial baixa renda – faixa 03Não se aplicaNão se aplicaNão se aplica</t>
  </si>
  <si>
    <t>44348B1Energia convencionalResidencialResidencial baixa renda – faixa 03Não se aplicaNão se aplicaNão se aplica</t>
  </si>
  <si>
    <t>44378B1Energia convencionalResidencialResidencial baixa renda – faixa 03Não se aplicaNão se aplicaNão se aplica</t>
  </si>
  <si>
    <t>44409B1Energia convencionalResidencialResidencial baixa renda – faixa 03Não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</si>
  <si>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</si>
  <si>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</si>
  <si>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</si>
  <si>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</si>
  <si>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</si>
  <si>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</si>
  <si>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</si>
  <si>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44287B1Energia convencionalResidencialResidencial baixa renda – faixa 04Não se aplicaNão se aplicaNão se aplica</t>
  </si>
  <si>
    <t>44317B1Energia convencionalResidencialResidencial baixa renda – faixa 04Não se aplicaNão se aplicaNão se aplica</t>
  </si>
  <si>
    <t>44348B1Energia convencionalResidencialResidencial baixa renda – faixa 04Não se aplicaNão se aplicaNão se aplica</t>
  </si>
  <si>
    <t>44378B1Energia convencionalResidencialResidencial baixa renda – faixa 04Não se aplicaNão se aplicaNão se aplica</t>
  </si>
  <si>
    <t>44409B1Energia convencionalResidencialResidencial baixa renda – faixa 04Não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</si>
  <si>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</si>
  <si>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</si>
  <si>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</si>
  <si>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</si>
  <si>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</si>
  <si>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</si>
  <si>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</si>
  <si>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44287B2Energia convencionalRuralNão se aplicaNão se aplicaNão se aplicaNão se aplica</t>
  </si>
  <si>
    <t>44317B2Energia convencionalRuralNão se aplicaNão se aplicaNão se aplicaNão se aplica</t>
  </si>
  <si>
    <t>44348B2Energia convencionalRuralNão se aplicaNão se aplicaNão se aplicaNão se aplica</t>
  </si>
  <si>
    <t>44378B2Energia convencionalRuralNão se aplicaNão se aplicaNão se aplicaNão se aplica</t>
  </si>
  <si>
    <t>44409B2Energia convencionalRuralNão se aplicaNão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</si>
  <si>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</si>
  <si>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</si>
  <si>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</si>
  <si>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</si>
  <si>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</si>
  <si>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</si>
  <si>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</si>
  <si>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44287B3Energia horáriaNão se aplicaNão se aplicaNão se aplicaNão se aplicaFora ponta</t>
  </si>
  <si>
    <t>44317B3Energia horáriaNão se aplicaNão se aplicaNão se aplicaNão se aplicaFora ponta</t>
  </si>
  <si>
    <t>44348B3Energia horáriaNão se aplicaNão se aplicaNão se aplicaNão se aplicaFora ponta</t>
  </si>
  <si>
    <t>44378B3Energia horáriaNão se aplicaNão se aplicaNão se aplicaNão se aplicaFora ponta</t>
  </si>
  <si>
    <t>44409B3Energia horáriaNão se aplicaNão se aplicaNão se aplicaNão se aplicaFora ponta</t>
  </si>
  <si>
    <t>44440B3Energia horáriaNão se aplicaNão se aplicaNão se aplicaNão se aplicaFora ponta</t>
  </si>
  <si>
    <t>44470B3Energia horáriaNão se aplicaNão se aplicaNão se aplicaNão se aplicaFora ponta</t>
  </si>
  <si>
    <t>44501B3Energia horáriaNão se aplicaNão se aplicaNão se aplicaNão se aplicaFora ponta</t>
  </si>
  <si>
    <t>44531B3Energia horáriaNão se aplicaNão se aplicaNão se aplicaNão se aplicaFora ponta</t>
  </si>
  <si>
    <t>44562B3Energia horáriaNão se aplicaNão se aplicaNão se aplicaNão se aplicaFora ponta</t>
  </si>
  <si>
    <t>44593B3Energia horáriaNão se aplicaNão se aplicaNão se aplicaNão se aplicaFora ponta</t>
  </si>
  <si>
    <t>44621B3Energia horáriaNão se aplicaNão se aplicaNão se aplicaNão se aplicaFora ponta</t>
  </si>
  <si>
    <t>44287B3Energia horáriaNão se aplicaNão se aplicaNão se aplicaNão se aplicaIntermediário</t>
  </si>
  <si>
    <t>44317B3Energia horáriaNão se aplicaNão se aplicaNão se aplicaNão se aplicaIntermediário</t>
  </si>
  <si>
    <t>44348B3Energia horáriaNão se aplicaNão se aplicaNão se aplicaNão se aplicaIntermediário</t>
  </si>
  <si>
    <t>44378B3Energia horáriaNão se aplicaNão se aplicaNão se aplicaNão se aplicaIntermediário</t>
  </si>
  <si>
    <t>44409B3Energia horáriaNão se aplicaNão se aplicaNão se aplicaNão se aplicaIntermediário</t>
  </si>
  <si>
    <t>44440B3Energia horáriaNão se aplicaNão se aplicaNão se aplicaNão se aplicaIntermediário</t>
  </si>
  <si>
    <t>44470B3Energia horáriaNão se aplicaNão se aplicaNão se aplicaNão se aplicaIntermediário</t>
  </si>
  <si>
    <t>44501B3Energia horáriaNão se aplicaNão se aplicaNão se aplicaNão se aplicaIntermediário</t>
  </si>
  <si>
    <t>44531B3Energia horáriaNão se aplicaNão se aplicaNão se aplicaNão se aplicaIntermediário</t>
  </si>
  <si>
    <t>44562B3Energia horáriaNão se aplicaNão se aplicaNão se aplicaNão se aplicaIntermediário</t>
  </si>
  <si>
    <t>44593B3Energia horáriaNão se aplicaNão se aplicaNão se aplicaNão se aplicaIntermediário</t>
  </si>
  <si>
    <t>44621B3Energia horáriaNão se aplicaNão se aplicaNão se aplicaNão se aplicaIntermediário</t>
  </si>
  <si>
    <t>44287B3Energia horáriaNão se aplicaNão se aplicaNão se aplicaNão se aplicaPonta</t>
  </si>
  <si>
    <t>44317B3Energia horáriaNão se aplicaNão se aplicaNão se aplicaNão se aplicaPonta</t>
  </si>
  <si>
    <t>44348B3Energia horáriaNão se aplicaNão se aplicaNão se aplicaNão se aplicaPonta</t>
  </si>
  <si>
    <t>44378B3Energia horáriaNão se aplicaNão se aplicaNão se aplicaNão se aplicaPonta</t>
  </si>
  <si>
    <t>44409B3Energia horáriaNão se aplicaNão se aplicaNão se aplicaNão se aplicaPonta</t>
  </si>
  <si>
    <t>44440B3Energia horáriaNão se aplicaNão se aplicaNão se aplicaNão se aplicaPonta</t>
  </si>
  <si>
    <t>44470B3Energia horáriaNão se aplicaNão se aplicaNão se aplicaNão se aplicaPonta</t>
  </si>
  <si>
    <t>44501B3Energia horáriaNão se aplicaNão se aplicaNão se aplicaNão se aplicaPonta</t>
  </si>
  <si>
    <t>44531B3Energia horáriaNão se aplicaNão se aplicaNão se aplicaNão se aplicaPonta</t>
  </si>
  <si>
    <t>44562B3Energia horáriaNão se aplicaNão se aplicaNão se aplicaNão se aplicaPonta</t>
  </si>
  <si>
    <t>44593B3Energia horáriaNão se aplicaNão se aplicaNão se aplicaNão se aplicaPonta</t>
  </si>
  <si>
    <t>44621B3Energia horáriaNão se aplicaNão se aplicaNão se aplicaNão se aplicaPonta</t>
  </si>
  <si>
    <t>44287B3Energia convencionalNão se aplicaNão se aplicaNão se aplicaNão se aplicaNão se aplica</t>
  </si>
  <si>
    <t>44317B3Energia convencionalNão se aplicaNão se aplicaNão se aplicaNão se aplicaNão se aplica</t>
  </si>
  <si>
    <t>44348B3Energia convencionalNão se aplicaNão se aplicaNão se aplicaNão se aplicaNão se aplica</t>
  </si>
  <si>
    <t>44378B3Energia convencionalNão se aplicaNão se aplicaNão se aplicaNão se aplicaNão se aplica</t>
  </si>
  <si>
    <t>44409B3Energia convencionalNão se aplicaNão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</si>
  <si>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</si>
  <si>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</si>
  <si>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</si>
  <si>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</si>
  <si>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</si>
  <si>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</si>
  <si>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</si>
  <si>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44287B4Energia convencionalIluminação públicaIluminação pública – B4aNão se aplicaNão se aplicaNão se aplica</t>
  </si>
  <si>
    <t>44317B4Energia convencionalIluminação públicaIluminação pública – B4aNão se aplicaNão se aplicaNão se aplica</t>
  </si>
  <si>
    <t>44348B4Energia convencionalIluminação públicaIluminação pública – B4aNão se aplicaNão se aplicaNão se aplica</t>
  </si>
  <si>
    <t>44378B4Energia convencionalIluminação públicaIluminação pública – B4aNão se aplicaNão se aplicaNão se aplica</t>
  </si>
  <si>
    <t>44409B4Energia convencionalIluminação públicaIluminação pública – B4aNão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</si>
  <si>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</si>
  <si>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</si>
  <si>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</si>
  <si>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</si>
  <si>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</si>
  <si>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</si>
  <si>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</si>
  <si>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</si>
  <si>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</si>
  <si>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</si>
  <si>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</si>
  <si>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</si>
  <si>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</si>
  <si>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</si>
  <si>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</si>
  <si>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</si>
  <si>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</si>
  <si>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</si>
  <si>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</si>
  <si>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</si>
  <si>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</si>
  <si>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</si>
  <si>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</si>
  <si>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</si>
  <si>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</si>
  <si>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</si>
  <si>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</si>
  <si>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</si>
  <si>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</si>
  <si>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</si>
  <si>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</si>
  <si>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</si>
  <si>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</si>
  <si>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</si>
  <si>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</si>
  <si>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</si>
  <si>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</si>
  <si>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</si>
  <si>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</si>
  <si>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</si>
  <si>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</si>
  <si>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</si>
  <si>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</si>
  <si>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</si>
  <si>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</si>
  <si>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</si>
  <si>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</si>
  <si>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</si>
  <si>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</si>
  <si>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</si>
  <si>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</si>
  <si>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</si>
  <si>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</si>
  <si>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</si>
  <si>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</si>
  <si>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</si>
  <si>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</si>
  <si>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</si>
  <si>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</si>
  <si>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</si>
  <si>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</si>
  <si>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</si>
  <si>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</si>
  <si>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</si>
  <si>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</si>
  <si>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</si>
  <si>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</si>
  <si>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</si>
  <si>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</si>
  <si>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</si>
  <si>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</si>
  <si>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</si>
  <si>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</si>
  <si>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</si>
  <si>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</si>
  <si>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</si>
  <si>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</si>
  <si>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</si>
  <si>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</si>
  <si>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</si>
  <si>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</si>
  <si>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</si>
  <si>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</si>
  <si>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</si>
  <si>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</si>
  <si>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</si>
  <si>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</si>
  <si>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</si>
  <si>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</si>
  <si>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</si>
  <si>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</si>
  <si>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</si>
  <si>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</si>
  <si>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</si>
  <si>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</si>
  <si>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</si>
  <si>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</si>
  <si>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</si>
  <si>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</si>
  <si>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</si>
  <si>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</si>
  <si>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</si>
  <si>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</si>
  <si>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</si>
  <si>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</si>
  <si>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</si>
  <si>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</si>
  <si>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2.867, DE 27 DE ABRIL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</si>
  <si>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</si>
  <si>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</si>
  <si>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</si>
  <si>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</si>
  <si>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</si>
  <si>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</si>
  <si>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</si>
  <si>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</si>
  <si>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</si>
  <si>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</si>
  <si>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</si>
  <si>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</si>
  <si>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</si>
  <si>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</si>
  <si>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</si>
  <si>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</si>
  <si>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</si>
  <si>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</si>
  <si>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</si>
  <si>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</si>
  <si>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</si>
  <si>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</si>
  <si>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</si>
  <si>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</si>
  <si>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</si>
  <si>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</si>
  <si>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</si>
  <si>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</si>
  <si>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</si>
  <si>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</si>
  <si>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</si>
  <si>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</si>
  <si>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</si>
  <si>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</si>
  <si>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</si>
  <si>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</si>
  <si>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</si>
  <si>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</si>
  <si>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</si>
  <si>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</si>
  <si>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</si>
  <si>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</si>
  <si>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</si>
  <si>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</si>
  <si>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</si>
  <si>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</si>
  <si>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</si>
  <si>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</si>
  <si>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</si>
  <si>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</si>
  <si>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</si>
  <si>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</si>
  <si>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</si>
  <si>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</si>
  <si>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</si>
  <si>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</si>
  <si>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</si>
  <si>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</si>
  <si>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</si>
  <si>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</si>
  <si>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</si>
  <si>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</si>
  <si>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</si>
  <si>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</si>
  <si>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</si>
  <si>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</si>
  <si>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</si>
  <si>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</si>
  <si>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</si>
  <si>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</si>
  <si>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</si>
  <si>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</si>
  <si>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</si>
  <si>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</si>
  <si>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</si>
  <si>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</si>
  <si>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</si>
  <si>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</si>
  <si>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</si>
  <si>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</si>
  <si>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</si>
  <si>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</si>
  <si>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</si>
  <si>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</si>
  <si>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</si>
  <si>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</si>
  <si>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</si>
  <si>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</si>
  <si>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</si>
  <si>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</si>
  <si>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</si>
  <si>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</si>
  <si>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</si>
  <si>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</si>
  <si>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</si>
  <si>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</si>
  <si>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RURAL</t>
  </si>
  <si>
    <t>SUBSIDIO IRRIGANTE/AQUICULTOR</t>
  </si>
  <si>
    <t>SUBSIDIO ÁGUA, ESGOTO E SANEAMENTO</t>
  </si>
  <si>
    <t>SUBSIDIO BAIXA RENDA</t>
  </si>
  <si>
    <t>R$ (TV)</t>
  </si>
  <si>
    <t>R$ (TN)</t>
  </si>
  <si>
    <t>SUBSIDIO CARGA FONTE INCENTIVADA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</si>
  <si>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</si>
  <si>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</si>
  <si>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</si>
  <si>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</si>
  <si>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</si>
  <si>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</si>
  <si>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</si>
  <si>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</si>
  <si>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</si>
  <si>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</si>
  <si>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Azul1Serviço públicoÁgua, esgoto e saneamentoPlanilha CUSTOA4</t>
  </si>
  <si>
    <t>2021</t>
  </si>
  <si>
    <t>Planilha CUSTO</t>
  </si>
  <si>
    <t>Verde1Serviço públicoÁgua, esgoto e saneamentoPlanilha CUSTOA4</t>
  </si>
  <si>
    <t>Convencional 1Serviço públicoÁgua, esgoto e saneamentoPlanilha CUSTOA4</t>
  </si>
  <si>
    <t xml:space="preserve">Convencional </t>
  </si>
  <si>
    <t>Convencional1Serviço públicoÁgua, esgoto e saneamentoPlanilha CUSTOB3</t>
  </si>
  <si>
    <t>Branca1Serviço públicoÁgua, esgoto e saneamentoPlanilha CUSTOB3</t>
  </si>
  <si>
    <t>Convencional1RuralCooperativa de eletrificação ruralPlanilha CUSTOB2</t>
  </si>
  <si>
    <t>Branca 1RuralCooperativa de eletrificação ruralPlanilha CUSTOB2</t>
  </si>
  <si>
    <t xml:space="preserve">Branca </t>
  </si>
  <si>
    <t>Convencional1RuralNão se aplicaRuralB2</t>
  </si>
  <si>
    <t>Azul1RuralNão se aplicaPlanilha CustoA4</t>
  </si>
  <si>
    <t>Planilha Custo</t>
  </si>
  <si>
    <t>Verde1RuralNão se aplicaPlanilha CustoA4</t>
  </si>
  <si>
    <t>Convencional1RuralNão se aplicaPlanilha CustoA4</t>
  </si>
  <si>
    <t>Branca1RuralNão se aplicaRuralB2</t>
  </si>
  <si>
    <t>Convencional1RuralServiço público de irrigação ruralPlanilha CUSTOB2</t>
  </si>
  <si>
    <t>Branca 1RuralServiço público de irrigação ruralPlanilha CUSTOB2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</si>
  <si>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</si>
  <si>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</si>
  <si>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</si>
  <si>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</si>
  <si>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</si>
  <si>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</si>
  <si>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</si>
  <si>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</si>
  <si>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</si>
  <si>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</si>
  <si>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</si>
  <si>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</si>
  <si>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</si>
  <si>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</si>
  <si>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</si>
  <si>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</si>
  <si>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</si>
  <si>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</si>
  <si>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</si>
  <si>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</si>
  <si>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</si>
  <si>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</si>
  <si>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</si>
  <si>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</si>
  <si>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</si>
  <si>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</si>
  <si>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</si>
  <si>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</si>
  <si>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</si>
  <si>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</si>
  <si>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</si>
  <si>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</si>
  <si>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</si>
  <si>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</si>
  <si>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</si>
  <si>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</si>
  <si>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</si>
  <si>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</si>
  <si>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</si>
  <si>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</si>
  <si>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</si>
  <si>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</si>
  <si>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</si>
  <si>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</si>
  <si>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</si>
  <si>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</si>
  <si>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</si>
  <si>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</si>
  <si>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</si>
  <si>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</si>
  <si>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</si>
  <si>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</si>
  <si>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</si>
  <si>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</si>
  <si>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</si>
  <si>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</si>
  <si>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</si>
  <si>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</si>
  <si>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</si>
  <si>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</si>
  <si>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</si>
  <si>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</si>
  <si>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</si>
  <si>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</si>
  <si>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</si>
  <si>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</si>
  <si>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</si>
  <si>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</si>
  <si>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</si>
  <si>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</si>
  <si>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</si>
  <si>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</si>
  <si>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</si>
  <si>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</si>
  <si>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</si>
  <si>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</si>
  <si>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</si>
  <si>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</si>
  <si>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</si>
  <si>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</si>
  <si>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</si>
  <si>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</si>
  <si>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</si>
  <si>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</si>
  <si>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</si>
  <si>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</si>
  <si>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</si>
  <si>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</si>
  <si>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</si>
  <si>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</si>
  <si>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</si>
  <si>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</si>
  <si>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</si>
  <si>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</si>
  <si>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</si>
  <si>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</si>
  <si>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</si>
  <si>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</si>
  <si>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</si>
  <si>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</si>
  <si>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</si>
  <si>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</si>
  <si>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</si>
  <si>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</si>
  <si>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</si>
  <si>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</si>
  <si>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</si>
  <si>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</si>
  <si>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</si>
  <si>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</si>
  <si>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</si>
  <si>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</si>
  <si>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</si>
  <si>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</si>
  <si>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</si>
  <si>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</si>
  <si>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</si>
  <si>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</si>
  <si>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</si>
  <si>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</si>
  <si>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</si>
  <si>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</si>
  <si>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</si>
  <si>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</si>
  <si>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</si>
  <si>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</si>
  <si>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</si>
  <si>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</si>
  <si>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</si>
  <si>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</si>
  <si>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</si>
  <si>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</si>
  <si>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</si>
  <si>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</si>
  <si>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</si>
  <si>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</si>
  <si>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</si>
  <si>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</si>
  <si>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</si>
  <si>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</si>
  <si>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</si>
  <si>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</si>
  <si>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</si>
  <si>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</si>
  <si>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</si>
  <si>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</si>
  <si>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</si>
  <si>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</si>
  <si>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</si>
  <si>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</si>
  <si>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</si>
  <si>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</si>
  <si>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</si>
  <si>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</si>
  <si>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</si>
  <si>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</si>
  <si>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</si>
  <si>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</si>
  <si>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</si>
  <si>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</si>
  <si>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</si>
  <si>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</si>
  <si>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</si>
  <si>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</si>
  <si>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</si>
  <si>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</si>
  <si>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</si>
  <si>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</si>
  <si>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</si>
  <si>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</si>
  <si>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</si>
  <si>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</si>
  <si>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</si>
  <si>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</si>
  <si>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</si>
  <si>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</si>
  <si>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</si>
  <si>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</si>
  <si>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</si>
  <si>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</si>
  <si>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</si>
  <si>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</si>
  <si>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</si>
  <si>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</si>
  <si>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</si>
  <si>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</si>
  <si>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</si>
  <si>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</si>
  <si>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</si>
  <si>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</si>
  <si>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</si>
  <si>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</si>
  <si>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</si>
  <si>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</si>
  <si>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</si>
  <si>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</si>
  <si>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</si>
  <si>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</si>
  <si>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</si>
  <si>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</si>
  <si>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</si>
  <si>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</si>
  <si>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</si>
  <si>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</si>
  <si>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</si>
  <si>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</si>
  <si>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</si>
  <si>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</si>
  <si>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</si>
  <si>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</si>
  <si>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</si>
  <si>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</si>
  <si>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</si>
  <si>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</si>
  <si>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</si>
  <si>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</si>
  <si>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</si>
  <si>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</si>
  <si>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</si>
  <si>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</si>
  <si>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</si>
  <si>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</si>
  <si>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</si>
  <si>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</si>
  <si>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</si>
  <si>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</si>
  <si>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</si>
  <si>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</si>
  <si>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</si>
  <si>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</si>
  <si>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</si>
  <si>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</si>
  <si>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</si>
  <si>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</si>
  <si>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</si>
  <si>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</si>
  <si>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</si>
  <si>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</si>
  <si>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</si>
  <si>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</si>
  <si>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</si>
  <si>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</si>
  <si>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</si>
  <si>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</si>
  <si>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</si>
  <si>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</si>
  <si>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</si>
  <si>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</si>
  <si>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A4Energia convencional</t>
  </si>
  <si>
    <t>A4Energia convencionalNão se aplica</t>
  </si>
  <si>
    <t>A4Energia convencionalNão se aplicaNão se aplica</t>
  </si>
  <si>
    <t>A4Energia convencionalNão se aplicaNão se aplicaNão se aplica</t>
  </si>
  <si>
    <t>A4Energia convencionalNão se aplicaNão se aplicaNão se aplicaNão se aplica</t>
  </si>
  <si>
    <t>A4Energia convencionalNão se aplicaNão se aplicaNão se aplicaNão se aplicaE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</si>
  <si>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</si>
  <si>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</si>
  <si>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</si>
  <si>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</si>
  <si>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</si>
  <si>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</si>
  <si>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</si>
  <si>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</si>
  <si>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</si>
  <si>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</si>
  <si>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</si>
  <si>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</si>
  <si>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</si>
  <si>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</si>
  <si>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</si>
  <si>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</si>
  <si>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</si>
  <si>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</si>
  <si>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</si>
  <si>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</si>
  <si>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</si>
  <si>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</si>
  <si>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</si>
  <si>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</si>
  <si>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</si>
  <si>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</si>
  <si>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</si>
  <si>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</si>
  <si>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</si>
  <si>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</si>
  <si>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</si>
  <si>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</si>
  <si>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</si>
  <si>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</si>
  <si>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</si>
  <si>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</si>
  <si>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</si>
  <si>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</si>
  <si>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</si>
  <si>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</si>
  <si>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</si>
  <si>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</si>
  <si>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</si>
  <si>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</si>
  <si>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</si>
  <si>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</si>
  <si>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</si>
  <si>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</si>
  <si>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</si>
  <si>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</si>
  <si>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</si>
  <si>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</si>
  <si>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</si>
  <si>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</si>
  <si>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</si>
  <si>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</si>
  <si>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</si>
  <si>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</si>
  <si>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</si>
  <si>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</si>
  <si>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</si>
  <si>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</si>
  <si>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</si>
  <si>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</si>
  <si>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</si>
  <si>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</si>
  <si>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</si>
  <si>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</si>
  <si>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</si>
  <si>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</si>
  <si>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</si>
  <si>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</si>
  <si>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</si>
  <si>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</si>
  <si>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</si>
  <si>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</si>
  <si>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</si>
  <si>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</si>
  <si>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</si>
  <si>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</si>
  <si>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</si>
  <si>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</si>
  <si>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</si>
  <si>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</si>
  <si>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</si>
  <si>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</si>
  <si>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</si>
  <si>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</si>
  <si>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</si>
  <si>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</si>
  <si>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</si>
  <si>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</si>
  <si>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</si>
  <si>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</si>
  <si>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</si>
  <si>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</si>
  <si>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</si>
  <si>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</si>
  <si>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</si>
  <si>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</si>
  <si>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</si>
  <si>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</si>
  <si>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</si>
  <si>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</si>
  <si>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</si>
  <si>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</si>
  <si>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</si>
  <si>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</si>
  <si>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</si>
  <si>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</si>
  <si>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</si>
  <si>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</si>
  <si>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</si>
  <si>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</si>
  <si>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</si>
  <si>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</si>
  <si>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</si>
  <si>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</si>
  <si>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</si>
  <si>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</si>
  <si>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</si>
  <si>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</si>
  <si>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</si>
  <si>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</si>
  <si>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</si>
  <si>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</si>
  <si>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</si>
  <si>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</si>
  <si>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</si>
  <si>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</si>
  <si>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</si>
  <si>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</si>
  <si>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</si>
  <si>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</si>
  <si>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</si>
  <si>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</si>
  <si>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</si>
  <si>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</si>
  <si>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</si>
  <si>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</si>
  <si>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</si>
  <si>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</si>
  <si>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</si>
  <si>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</si>
  <si>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</si>
  <si>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</si>
  <si>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</si>
  <si>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</si>
  <si>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</si>
  <si>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</si>
  <si>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</si>
  <si>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</si>
  <si>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</si>
  <si>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</si>
  <si>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</si>
  <si>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</si>
  <si>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</si>
  <si>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</si>
  <si>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</si>
  <si>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</si>
  <si>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</si>
  <si>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</si>
  <si>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</si>
  <si>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</si>
  <si>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</si>
  <si>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</si>
  <si>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</si>
  <si>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</si>
  <si>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</si>
  <si>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</si>
  <si>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</si>
  <si>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</si>
  <si>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</si>
  <si>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</si>
  <si>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</si>
  <si>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Outros</t>
  </si>
  <si>
    <t>TUSD_PT</t>
  </si>
  <si>
    <t>TUSD_Per_RB_D</t>
  </si>
  <si>
    <t>TUSD_PNT</t>
  </si>
  <si>
    <t>TUSD_RI</t>
  </si>
  <si>
    <t>TE_CDE_COVID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</si>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</sst>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_);[Red]\(#,##0.00%\)"/>
    <numFmt numFmtId="165" formatCode="#0.00%;[Red]#0.00%"/>
    <numFmt numFmtId="166" formatCode="0.00%_);[Red]\(0.00%\)"/>
    <numFmt numFmtId="167" formatCode="#,##0.00_ ;[Red]\-#,##0.00\ "/>
    <numFmt numFmtId="168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40" fontId="7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40" fontId="3" fillId="2" borderId="13" xfId="0" applyNumberFormat="1" applyFont="1" applyFill="1" applyBorder="1" applyAlignment="1">
      <alignment horizontal="center" vertical="center"/>
    </xf>
    <xf numFmtId="167" fontId="3" fillId="0" borderId="0" xfId="0" applyNumberFormat="1" applyFont="1"/>
    <xf numFmtId="164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40" fontId="3" fillId="2" borderId="13" xfId="0" applyNumberFormat="1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0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0" fontId="3" fillId="0" borderId="0" xfId="0" applyNumberFormat="1" applyFont="1"/>
    <xf numFmtId="2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6" xfId="0" applyFont="1" applyFill="1" applyBorder="1" applyAlignment="1">
      <alignment horizontal="center" vertical="center"/>
    </xf>
    <xf numFmtId="40" fontId="8" fillId="3" borderId="15" xfId="0" applyNumberFormat="1" applyFont="1" applyFill="1" applyBorder="1" applyAlignment="1">
      <alignment horizontal="center" vertical="center"/>
    </xf>
    <xf numFmtId="168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1" fillId="6" borderId="18" xfId="0" applyNumberFormat="1" applyFont="1" applyFill="1" applyBorder="1"/>
    <xf numFmtId="4" fontId="11" fillId="6" borderId="12" xfId="0" applyNumberFormat="1" applyFont="1" applyFill="1" applyBorder="1"/>
    <xf numFmtId="4" fontId="11" fillId="6" borderId="19" xfId="0" applyNumberFormat="1" applyFont="1" applyFill="1" applyBorder="1"/>
    <xf numFmtId="4" fontId="11" fillId="6" borderId="6" xfId="0" applyNumberFormat="1" applyFont="1" applyFill="1" applyBorder="1"/>
    <xf numFmtId="4" fontId="11" fillId="6" borderId="13" xfId="0" applyNumberFormat="1" applyFont="1" applyFill="1" applyBorder="1"/>
    <xf numFmtId="4" fontId="11" fillId="6" borderId="5" xfId="0" applyNumberFormat="1" applyFont="1" applyFill="1" applyBorder="1"/>
    <xf numFmtId="4" fontId="11" fillId="6" borderId="20" xfId="0" applyNumberFormat="1" applyFont="1" applyFill="1" applyBorder="1"/>
    <xf numFmtId="4" fontId="11" fillId="6" borderId="10" xfId="0" applyNumberFormat="1" applyFont="1" applyFill="1" applyBorder="1"/>
    <xf numFmtId="4" fontId="11" fillId="6" borderId="17" xfId="0" applyNumberFormat="1" applyFont="1" applyFill="1" applyBorder="1"/>
    <xf numFmtId="4" fontId="11" fillId="6" borderId="13" xfId="0" applyNumberFormat="1" applyFont="1" applyFill="1" applyBorder="1" applyAlignment="1">
      <alignment horizontal="center"/>
    </xf>
    <xf numFmtId="4" fontId="11" fillId="6" borderId="5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952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1.6197832845399558E-2</c:v>
                </c:pt>
                <c:pt idx="1">
                  <c:v>7.7226358166457407E-4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2.0258118869069447E-2</c:v>
                </c:pt>
                <c:pt idx="6">
                  <c:v>6.9991594544079536E-3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2.707931151562901E-2</c:v>
                </c:pt>
                <c:pt idx="13">
                  <c:v>0</c:v>
                </c:pt>
                <c:pt idx="14">
                  <c:v>0</c:v>
                </c:pt>
                <c:pt idx="15">
                  <c:v>7.0188693696822568E-2</c:v>
                </c:pt>
                <c:pt idx="16">
                  <c:v>-1.8032861089710629E-2</c:v>
                </c:pt>
                <c:pt idx="17">
                  <c:v>0</c:v>
                </c:pt>
                <c:pt idx="18">
                  <c:v>-7.6463558706210679E-3</c:v>
                </c:pt>
                <c:pt idx="19">
                  <c:v>0</c:v>
                </c:pt>
                <c:pt idx="20">
                  <c:v>1.9211569317405166E-2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AE-4565-B4FB-E0B62FB43653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1.7184908065297093E-2</c:v>
                </c:pt>
                <c:pt idx="1">
                  <c:v>6.5146038937461466E-4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1.8571183090472454E-2</c:v>
                </c:pt>
                <c:pt idx="6">
                  <c:v>8.5381477470917108E-3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3.4333683205388356E-2</c:v>
                </c:pt>
                <c:pt idx="13">
                  <c:v>0</c:v>
                </c:pt>
                <c:pt idx="14">
                  <c:v>0</c:v>
                </c:pt>
                <c:pt idx="15">
                  <c:v>5.846557955400819E-2</c:v>
                </c:pt>
                <c:pt idx="16">
                  <c:v>-1.7553155542262222E-2</c:v>
                </c:pt>
                <c:pt idx="17">
                  <c:v>0</c:v>
                </c:pt>
                <c:pt idx="18">
                  <c:v>-4.5054532965432461E-3</c:v>
                </c:pt>
                <c:pt idx="19">
                  <c:v>0</c:v>
                </c:pt>
                <c:pt idx="20">
                  <c:v>2.0161914253665453E-2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AE-4565-B4FB-E0B62FB43653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1.7184908065297093E-2</c:v>
                </c:pt>
                <c:pt idx="1">
                  <c:v>6.5146038937461466E-4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1.8571183090472454E-2</c:v>
                </c:pt>
                <c:pt idx="6">
                  <c:v>8.5381477470917108E-3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3.4333683205388356E-2</c:v>
                </c:pt>
                <c:pt idx="13">
                  <c:v>0</c:v>
                </c:pt>
                <c:pt idx="14">
                  <c:v>0</c:v>
                </c:pt>
                <c:pt idx="15">
                  <c:v>5.846557955400819E-2</c:v>
                </c:pt>
                <c:pt idx="16">
                  <c:v>-1.7553155542262222E-2</c:v>
                </c:pt>
                <c:pt idx="17">
                  <c:v>0</c:v>
                </c:pt>
                <c:pt idx="18">
                  <c:v>-4.5054532965432461E-3</c:v>
                </c:pt>
                <c:pt idx="19">
                  <c:v>0</c:v>
                </c:pt>
                <c:pt idx="20">
                  <c:v>2.0161914253665453E-2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AE-4565-B4FB-E0B62FB43653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FDAE-4565-B4FB-E0B62FB43653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FDAE-4565-B4FB-E0B62FB43653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FDAE-4565-B4FB-E0B62FB43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702312"/>
        <c:axId val="812703624"/>
      </c:radarChart>
      <c:catAx>
        <c:axId val="8127023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12703624"/>
        <c:crosses val="autoZero"/>
        <c:auto val="1"/>
        <c:lblAlgn val="ctr"/>
        <c:lblOffset val="100"/>
        <c:noMultiLvlLbl val="0"/>
      </c:catAx>
      <c:valAx>
        <c:axId val="812703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270231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TE'!$B$5:$K$5</c:f>
              <c:strCache>
                <c:ptCount val="10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ENERGIA REVENDA</c:v>
                </c:pt>
                <c:pt idx="5">
                  <c:v>ITAIPU</c:v>
                </c:pt>
                <c:pt idx="6">
                  <c:v>TUST ITAIPU</c:v>
                </c:pt>
                <c:pt idx="7">
                  <c:v>TUST CI</c:v>
                </c:pt>
                <c:pt idx="8">
                  <c:v>SUBSIDIO</c:v>
                </c:pt>
                <c:pt idx="9">
                  <c:v>PERDAS RB/C</c:v>
                </c:pt>
              </c:strCache>
            </c:strRef>
          </c:cat>
          <c:val>
            <c:numRef>
              <c:f>'RESUMO TE'!$B$13:$K$13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0.3866301300880885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-7.4136483422823658E-3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C7-4454-9418-A3FCA42DE7E3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TE'!$B$5:$K$5</c:f>
              <c:strCache>
                <c:ptCount val="10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ENERGIA REVENDA</c:v>
                </c:pt>
                <c:pt idx="5">
                  <c:v>ITAIPU</c:v>
                </c:pt>
                <c:pt idx="6">
                  <c:v>TUST ITAIPU</c:v>
                </c:pt>
                <c:pt idx="7">
                  <c:v>TUST CI</c:v>
                </c:pt>
                <c:pt idx="8">
                  <c:v>SUBSIDIO</c:v>
                </c:pt>
                <c:pt idx="9">
                  <c:v>PERDAS RB/C</c:v>
                </c:pt>
              </c:strCache>
            </c:strRef>
          </c:cat>
          <c:val>
            <c:numRef>
              <c:f>'RESUMO TE'!$B$14:$K$14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0.38378342802394144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-7.413648342282364E-3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C7-4454-9418-A3FCA42DE7E3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TE'!$B$5:$K$5</c:f>
              <c:strCache>
                <c:ptCount val="10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ENERGIA REVENDA</c:v>
                </c:pt>
                <c:pt idx="5">
                  <c:v>ITAIPU</c:v>
                </c:pt>
                <c:pt idx="6">
                  <c:v>TUST ITAIPU</c:v>
                </c:pt>
                <c:pt idx="7">
                  <c:v>TUST CI</c:v>
                </c:pt>
                <c:pt idx="8">
                  <c:v>SUBSIDIO</c:v>
                </c:pt>
                <c:pt idx="9">
                  <c:v>PERDAS RB/C</c:v>
                </c:pt>
              </c:strCache>
            </c:strRef>
          </c:cat>
          <c:val>
            <c:numRef>
              <c:f>'RESUMO TE'!$B$15:$K$15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0.38378342802394144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-7.413648342282364E-3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C7-4454-9418-A3FCA42DE7E3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CCC7-4454-9418-A3FCA42DE7E3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CCC7-4454-9418-A3FCA42DE7E3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CCC7-4454-9418-A3FCA42DE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967088"/>
        <c:axId val="1202967744"/>
      </c:radarChart>
      <c:catAx>
        <c:axId val="12029670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02967744"/>
        <c:crosses val="autoZero"/>
        <c:auto val="1"/>
        <c:lblAlgn val="ctr"/>
        <c:lblOffset val="100"/>
        <c:noMultiLvlLbl val="0"/>
      </c:catAx>
      <c:valAx>
        <c:axId val="1202967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2967088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12</xdr:col>
      <xdr:colOff>314326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62B795-0BDD-435F-B9C7-FC0D7551B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11</xdr:col>
      <xdr:colOff>552451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77CF26-29B0-40F5-B8D4-7CCBFC412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663.474183101855" createdVersion="5" refreshedVersion="7" minRefreshableVersion="3" recordCount="474" xr:uid="{83A37E38-7814-40A3-854E-1FF59AF3F2E4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4">
        <s v="Azul"/>
        <s v="Verde"/>
        <s v="Branca"/>
        <s v="Convencional"/>
      </sharedItems>
    </cacheField>
    <cacheField name="Classe" numFmtId="0">
      <sharedItems count="8">
        <s v="Comercial"/>
        <s v="Industrial"/>
        <s v="Rural"/>
        <s v="Serviço público"/>
        <s v="Residencial"/>
        <s v="Consumo próprio"/>
        <s v="Poder público"/>
        <s v="Iluminação pública"/>
      </sharedItems>
    </cacheField>
    <cacheField name="Subclasse" numFmtId="0">
      <sharedItems count="10">
        <s v="Não se aplica"/>
        <s v="Agropecuária rural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quicultura"/>
        <s v="Iluminação pública – B4a"/>
      </sharedItems>
    </cacheField>
    <cacheField name="Detalhe" numFmtId="0">
      <sharedItems count="3">
        <s v="Não se aplica"/>
        <s v="IRRIG./AQUIC. PR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Ponta"/>
        <s v="Não se aplica"/>
        <s v="Intermediário"/>
      </sharedItems>
    </cacheField>
    <cacheField name="AnoMes" numFmtId="14">
      <sharedItems containsSemiMixedTypes="0" containsNonDate="0" containsDate="1" containsString="0" minDate="2021-04-01T00:00:00" maxDate="2022-03-02T00:00:00" count="12"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</sharedItems>
    </cacheField>
    <cacheField name="D" numFmtId="40">
      <sharedItems containsSemiMixedTypes="0" containsString="0" containsNumber="1" containsInteger="1" minValue="0" maxValue="1070"/>
    </cacheField>
    <cacheField name="Daj" numFmtId="40">
      <sharedItems containsSemiMixedTypes="0" containsString="0" containsNumber="1" minValue="0" maxValue="1070"/>
    </cacheField>
    <cacheField name="TUSD_E" numFmtId="40">
      <sharedItems containsSemiMixedTypes="0" containsString="0" containsNumber="1" minValue="-100.111" maxValue="963.36699999999996"/>
    </cacheField>
    <cacheField name="TUSD_Eaj" numFmtId="40">
      <sharedItems containsSemiMixedTypes="0" containsString="0" containsNumber="1" minValue="-100.111" maxValue="963.36699999999996"/>
    </cacheField>
    <cacheField name="TE_E" numFmtId="40">
      <sharedItems containsSemiMixedTypes="0" containsString="0" containsNumber="1" minValue="-100.111" maxValue="963.36699999999996"/>
    </cacheField>
    <cacheField name="TE_Eaj" numFmtId="40">
      <sharedItems containsSemiMixedTypes="0" containsString="0" containsNumber="1" minValue="-100.111" maxValue="963.36699999999996"/>
    </cacheField>
    <cacheField name="UC" numFmtId="40">
      <sharedItems containsSemiMixedTypes="0" containsString="0" containsNumber="1" containsInteger="1" minValue="0" maxValue="6305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84"/>
    </cacheField>
    <cacheField name="CóD. AUX. TUSD R$/MWh" numFmtId="40">
      <sharedItems containsSemiMixedTypes="0" containsString="0" containsNumber="1" containsInteger="1" minValue="0" maxValue="80"/>
    </cacheField>
    <cacheField name="CóD. AUX. TE R$/MWh" numFmtId="40">
      <sharedItems containsSemiMixedTypes="0" containsString="0" containsNumber="1" containsInteger="1" minValue="0" maxValue="76"/>
    </cacheField>
    <cacheField name="TUSD (R$/kW)" numFmtId="40">
      <sharedItems containsSemiMixedTypes="0" containsString="0" containsNumber="1" minValue="0" maxValue="186.95"/>
    </cacheField>
    <cacheField name="TUSD (R$/MWh)" numFmtId="40">
      <sharedItems containsSemiMixedTypes="0" containsString="0" containsNumber="1" minValue="0" maxValue="4589.68"/>
    </cacheField>
    <cacheField name="TE (R$/MWh)" numFmtId="40">
      <sharedItems containsSemiMixedTypes="0" containsString="0" containsNumber="1" minValue="0" maxValue="240.29"/>
    </cacheField>
    <cacheField name="TUSD (R$/kW) NOVA" numFmtId="40">
      <sharedItems containsString="0" containsBlank="1" containsNumber="1" minValue="79.663522858077684" maxValue="201.79759873594497"/>
    </cacheField>
    <cacheField name="TUSD (R$/MWh) NOVA" numFmtId="40">
      <sharedItems containsString="0" containsBlank="1" containsNumber="1" minValue="116.98708637317603" maxValue="4970.2414810692699"/>
    </cacheField>
    <cacheField name="TE (R$/MWh) NOVA" numFmtId="40">
      <sharedItems containsString="0" containsBlank="1" containsNumber="1" minValue="111.46661402067585" maxValue="318.47604005907385"/>
    </cacheField>
    <cacheField name="RA0 ou RV - TUSD (kW)" numFmtId="40">
      <sharedItems containsSemiMixedTypes="0" containsString="0" containsNumber="1" minValue="0" maxValue="79618.7"/>
    </cacheField>
    <cacheField name="RA0 ou RV - TUSD (MWh)" numFmtId="40">
      <sharedItems containsSemiMixedTypes="0" containsString="0" containsNumber="1" minValue="-86834.279179999998" maxValue="835605.26845999993"/>
    </cacheField>
    <cacheField name="RA0 ou RV - TE (MWh)" numFmtId="40">
      <sharedItems containsSemiMixedTypes="0" containsString="0" containsNumber="1" minValue="-24055.672190000001" maxValue="231487.45642999999"/>
    </cacheField>
    <cacheField name="RA1 ou RRD - TUSD (kW)" numFmtId="40">
      <sharedItems containsSemiMixedTypes="0" containsString="0" containsNumber="1" minValue="0" maxValue="85239.969458143125"/>
    </cacheField>
    <cacheField name="RA1 ou RRD - TUSD (MWh)" numFmtId="40">
      <sharedItems containsSemiMixedTypes="0" containsString="0" containsNumber="1" minValue="-95145.899493240096" maxValue="915587.89500758389"/>
    </cacheField>
    <cacheField name="RA1 ou RRD - TE (MWh)" numFmtId="40">
      <sharedItems containsSemiMixedTypes="0" containsString="0" containsNumber="1" minValue="-31882.954846353943" maxValue="306809.30728358979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663.474258564813" createdVersion="5" refreshedVersion="7" minRefreshableVersion="3" recordCount="210" xr:uid="{F5D88E16-EBAF-4B3A-BD73-19D61B6D0ECA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3">
        <s v="Rural"/>
        <s v="Serviço público"/>
        <s v="Residencial"/>
      </sharedItems>
    </cacheField>
    <cacheField name="Subclasse" numFmtId="0">
      <sharedItems count="9">
        <s v="Agropecuária rural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quicultura"/>
        <s v="Não se aplica"/>
      </sharedItems>
    </cacheField>
    <cacheField name="Detalhe" numFmtId="0">
      <sharedItems count="3">
        <s v="IRRIG./AQUIC. PR"/>
        <s v="Não se aplica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4-01T00:00:00" maxDate="2022-03-02T00:00:00" count="12"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</sharedItems>
    </cacheField>
    <cacheField name="D" numFmtId="40">
      <sharedItems containsSemiMixedTypes="0" containsString="0" containsNumber="1" containsInteger="1" minValue="0" maxValue="274"/>
    </cacheField>
    <cacheField name="Daj" numFmtId="40">
      <sharedItems containsSemiMixedTypes="0" containsString="0" containsNumber="1" minValue="0" maxValue="263.04000000000002"/>
    </cacheField>
    <cacheField name="TUSD_E" numFmtId="40">
      <sharedItems containsSemiMixedTypes="0" containsString="0" containsNumber="1" minValue="-0.309" maxValue="963.36699999999996"/>
    </cacheField>
    <cacheField name="TUSD_Eaj" numFmtId="40">
      <sharedItems containsSemiMixedTypes="0" containsString="0" containsNumber="1" minValue="-0.309" maxValue="963.36699999999996"/>
    </cacheField>
    <cacheField name="TE_E" numFmtId="40">
      <sharedItems containsSemiMixedTypes="0" containsString="0" containsNumber="1" minValue="-0.309" maxValue="963.36699999999996"/>
    </cacheField>
    <cacheField name="TE_Eaj" numFmtId="40">
      <sharedItems containsSemiMixedTypes="0" containsString="0" containsNumber="1" minValue="-0.309" maxValue="963.36699999999996"/>
    </cacheField>
    <cacheField name="UC" numFmtId="40">
      <sharedItems containsSemiMixedTypes="0" containsString="0" containsNumber="1" containsInteger="1" minValue="0" maxValue="6188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50"/>
    </cacheField>
    <cacheField name="CóD. AUX. TUSD R$/MWh" numFmtId="0">
      <sharedItems containsSemiMixedTypes="0" containsString="0" containsNumber="1" containsInteger="1" minValue="0" maxValue="57"/>
    </cacheField>
    <cacheField name="CóD. AUX. TE R$/MWh" numFmtId="0">
      <sharedItems containsSemiMixedTypes="0" containsString="0" containsNumber="1" containsInteger="1" minValue="0" maxValue="76"/>
    </cacheField>
    <cacheField name="TUSD (R$/kW)" numFmtId="40">
      <sharedItems containsSemiMixedTypes="0" containsString="0" containsNumber="1" minValue="0" maxValue="74.41"/>
    </cacheField>
    <cacheField name="TUSD (R$/MWh)" numFmtId="40">
      <sharedItems containsSemiMixedTypes="0" containsString="0" containsNumber="1" minValue="0" maxValue="4589.68"/>
    </cacheField>
    <cacheField name="TE (R$/MWh)" numFmtId="40">
      <sharedItems containsSemiMixedTypes="0" containsString="0" containsNumber="1" minValue="0" maxValue="240.29"/>
    </cacheField>
    <cacheField name="TUSD (R$/kW) NOVA" numFmtId="40">
      <sharedItems containsString="0" containsBlank="1" containsNumber="1" minValue="79.663522858077684" maxValue="79.663522858077684"/>
    </cacheField>
    <cacheField name="TUSD (R$/MWh) NOVA" numFmtId="40">
      <sharedItems containsString="0" containsBlank="1" containsNumber="1" minValue="116.98708637317603" maxValue="4970.2414810692699"/>
    </cacheField>
    <cacheField name="TE (R$/MWh) NOVA" numFmtId="40">
      <sharedItems containsString="0" containsBlank="1" containsNumber="1" minValue="111.46661402067585" maxValue="318.47604005907385"/>
    </cacheField>
    <cacheField name="SUBSIDIO kW - TV" numFmtId="40">
      <sharedItems containsSemiMixedTypes="0" containsString="0" containsNumber="1" minValue="0" maxValue="815.53359999999839"/>
    </cacheField>
    <cacheField name="SUBSIDIO MWh - TV" numFmtId="40">
      <sharedItems containsSemiMixedTypes="0" containsString="0" containsNumber="1" minValue="-41.072280000000028" maxValue="9130.6992799999989"/>
    </cacheField>
    <cacheField name="SUBSIDIO kW - TN" numFmtId="40">
      <sharedItems containsSemiMixedTypes="0" containsString="0" containsNumber="1" minValue="0" maxValue="873.11221052452981"/>
    </cacheField>
    <cacheField name="SUBSIDIO MWh - TN" numFmtId="40">
      <sharedItems containsSemiMixedTypes="0" containsString="0" containsNumber="1" minValue="-23.525036803708648" maxValue="10324.39526458221"/>
    </cacheField>
    <cacheField name="TIPO" numFmtId="0">
      <sharedItems containsBlank="1" count="5">
        <s v="SUBSIDIO IRRIGANTE/AQUICULTOR"/>
        <s v="SUBSIDIO RURAL"/>
        <s v="SUBSIDIO ÁGUA, ESGOTO E SANEAMENTO"/>
        <m/>
        <s v="SUBSIDIO BAIXA RENDA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4">
  <r>
    <s v="Regular"/>
    <x v="0"/>
    <x v="0"/>
    <x v="0"/>
    <x v="0"/>
    <x v="0"/>
    <x v="0"/>
    <x v="0"/>
    <x v="0"/>
    <n v="100"/>
    <n v="100"/>
    <n v="32.619"/>
    <n v="32.619"/>
    <n v="32.619"/>
    <n v="32.619"/>
    <n v="0"/>
    <x v="0"/>
    <n v="0"/>
    <n v="84"/>
    <n v="80"/>
    <n v="74"/>
    <n v="74.41"/>
    <n v="93.48"/>
    <n v="240.29"/>
    <n v="79.663522858077684"/>
    <n v="116.98708637317603"/>
    <n v="318.47604005907385"/>
    <n v="7441"/>
    <n v="3049.2241200000003"/>
    <n v="7838.0195100000001"/>
    <n v="7966.3522858077686"/>
    <n v="3816.0017704066286"/>
    <n v="10388.369950686931"/>
  </r>
  <r>
    <s v="Regular"/>
    <x v="0"/>
    <x v="0"/>
    <x v="0"/>
    <x v="0"/>
    <x v="0"/>
    <x v="0"/>
    <x v="0"/>
    <x v="1"/>
    <n v="100"/>
    <n v="100"/>
    <n v="30.492000000000001"/>
    <n v="30.492000000000001"/>
    <n v="30.492000000000001"/>
    <n v="30.492000000000001"/>
    <n v="0"/>
    <x v="0"/>
    <n v="0"/>
    <n v="84"/>
    <n v="80"/>
    <n v="74"/>
    <n v="74.41"/>
    <n v="93.48"/>
    <n v="240.29"/>
    <n v="79.663522858077684"/>
    <n v="116.98708637317603"/>
    <n v="318.47604005907385"/>
    <n v="7441"/>
    <n v="2850.3921600000003"/>
    <n v="7326.9226799999997"/>
    <n v="7966.3522858077686"/>
    <n v="3567.1702376908834"/>
    <n v="9710.9714134812803"/>
  </r>
  <r>
    <s v="Regular"/>
    <x v="0"/>
    <x v="0"/>
    <x v="0"/>
    <x v="0"/>
    <x v="0"/>
    <x v="0"/>
    <x v="0"/>
    <x v="2"/>
    <n v="100"/>
    <n v="100"/>
    <n v="26.829000000000001"/>
    <n v="26.829000000000001"/>
    <n v="26.829000000000001"/>
    <n v="26.829000000000001"/>
    <n v="0"/>
    <x v="0"/>
    <n v="0"/>
    <n v="84"/>
    <n v="80"/>
    <n v="74"/>
    <n v="74.41"/>
    <n v="93.48"/>
    <n v="240.29"/>
    <n v="79.663522858077684"/>
    <n v="116.98708637317603"/>
    <n v="318.47604005907385"/>
    <n v="7441"/>
    <n v="2507.9749200000001"/>
    <n v="6446.7404100000003"/>
    <n v="7966.3522858077686"/>
    <n v="3138.6465403059397"/>
    <n v="8544.3936787448929"/>
  </r>
  <r>
    <s v="Regular"/>
    <x v="0"/>
    <x v="0"/>
    <x v="0"/>
    <x v="0"/>
    <x v="0"/>
    <x v="0"/>
    <x v="0"/>
    <x v="3"/>
    <n v="100"/>
    <n v="100"/>
    <n v="25.114000000000001"/>
    <n v="25.114000000000001"/>
    <n v="25.114000000000001"/>
    <n v="25.114000000000001"/>
    <n v="0"/>
    <x v="0"/>
    <n v="0"/>
    <n v="84"/>
    <n v="80"/>
    <n v="74"/>
    <n v="74.41"/>
    <n v="93.48"/>
    <n v="240.29"/>
    <n v="79.663522858077684"/>
    <n v="116.98708637317603"/>
    <n v="318.47604005907385"/>
    <n v="7441"/>
    <n v="2347.65672"/>
    <n v="6034.6430600000003"/>
    <n v="7966.3522858077686"/>
    <n v="2938.0136871759428"/>
    <n v="7998.207270043581"/>
  </r>
  <r>
    <s v="Regular"/>
    <x v="0"/>
    <x v="0"/>
    <x v="0"/>
    <x v="0"/>
    <x v="0"/>
    <x v="0"/>
    <x v="0"/>
    <x v="4"/>
    <n v="100"/>
    <n v="100"/>
    <n v="27.245000000000001"/>
    <n v="27.245000000000001"/>
    <n v="27.245000000000001"/>
    <n v="27.245000000000001"/>
    <n v="0"/>
    <x v="0"/>
    <n v="0"/>
    <n v="84"/>
    <n v="80"/>
    <n v="74"/>
    <n v="74.41"/>
    <n v="93.48"/>
    <n v="240.29"/>
    <n v="79.663522858077684"/>
    <n v="116.98708637317603"/>
    <n v="318.47604005907385"/>
    <n v="7441"/>
    <n v="2546.8626000000004"/>
    <n v="6546.7010499999997"/>
    <n v="7966.3522858077686"/>
    <n v="3187.3131682371809"/>
    <n v="8676.8797114094668"/>
  </r>
  <r>
    <s v="Regular"/>
    <x v="0"/>
    <x v="0"/>
    <x v="0"/>
    <x v="0"/>
    <x v="0"/>
    <x v="0"/>
    <x v="0"/>
    <x v="5"/>
    <n v="100"/>
    <n v="100"/>
    <n v="30.143999999999998"/>
    <n v="30.143999999999998"/>
    <n v="30.143999999999998"/>
    <n v="30.143999999999998"/>
    <n v="0"/>
    <x v="0"/>
    <n v="0"/>
    <n v="84"/>
    <n v="80"/>
    <n v="74"/>
    <n v="74.41"/>
    <n v="93.48"/>
    <n v="240.29"/>
    <n v="79.663522858077684"/>
    <n v="116.98708637317603"/>
    <n v="318.47604005907385"/>
    <n v="7441"/>
    <n v="2817.86112"/>
    <n v="7243.3017599999994"/>
    <n v="7966.3522858077686"/>
    <n v="3526.458731633018"/>
    <n v="9600.1417515407211"/>
  </r>
  <r>
    <s v="Regular"/>
    <x v="0"/>
    <x v="0"/>
    <x v="0"/>
    <x v="0"/>
    <x v="0"/>
    <x v="0"/>
    <x v="0"/>
    <x v="6"/>
    <n v="100"/>
    <n v="100"/>
    <n v="30.068999999999999"/>
    <n v="30.068999999999999"/>
    <n v="30.068999999999999"/>
    <n v="30.068999999999999"/>
    <n v="0"/>
    <x v="0"/>
    <n v="0"/>
    <n v="84"/>
    <n v="80"/>
    <n v="74"/>
    <n v="74.41"/>
    <n v="93.48"/>
    <n v="240.29"/>
    <n v="79.663522858077684"/>
    <n v="116.98708637317603"/>
    <n v="318.47604005907385"/>
    <n v="7441"/>
    <n v="2810.8501200000001"/>
    <n v="7225.2800099999995"/>
    <n v="7966.3522858077686"/>
    <n v="3517.68470015503"/>
    <n v="9576.2560485362919"/>
  </r>
  <r>
    <s v="Regular"/>
    <x v="0"/>
    <x v="0"/>
    <x v="0"/>
    <x v="0"/>
    <x v="0"/>
    <x v="0"/>
    <x v="0"/>
    <x v="7"/>
    <n v="100"/>
    <n v="100"/>
    <n v="31.263000000000002"/>
    <n v="31.263000000000002"/>
    <n v="31.263000000000002"/>
    <n v="31.263000000000002"/>
    <n v="0"/>
    <x v="0"/>
    <n v="0"/>
    <n v="84"/>
    <n v="80"/>
    <n v="74"/>
    <n v="74.41"/>
    <n v="93.48"/>
    <n v="240.29"/>
    <n v="79.663522858077684"/>
    <n v="116.98708637317603"/>
    <n v="318.47604005907385"/>
    <n v="7441"/>
    <n v="2922.4652400000004"/>
    <n v="7512.1862700000001"/>
    <n v="7966.3522858077686"/>
    <n v="3657.3672812846025"/>
    <n v="9956.5164403668259"/>
  </r>
  <r>
    <s v="Regular"/>
    <x v="0"/>
    <x v="0"/>
    <x v="0"/>
    <x v="0"/>
    <x v="0"/>
    <x v="0"/>
    <x v="0"/>
    <x v="8"/>
    <n v="100"/>
    <n v="100"/>
    <n v="36.128999999999998"/>
    <n v="36.128999999999998"/>
    <n v="36.128999999999998"/>
    <n v="36.128999999999998"/>
    <n v="0"/>
    <x v="0"/>
    <n v="0"/>
    <n v="84"/>
    <n v="80"/>
    <n v="74"/>
    <n v="74.41"/>
    <n v="93.48"/>
    <n v="240.29"/>
    <n v="79.663522858077684"/>
    <n v="116.98708637317603"/>
    <n v="318.47604005907385"/>
    <n v="7441"/>
    <n v="3377.3389200000001"/>
    <n v="8681.4374099999986"/>
    <n v="7966.3522858077686"/>
    <n v="4226.626443576476"/>
    <n v="11506.220851294278"/>
  </r>
  <r>
    <s v="Regular"/>
    <x v="0"/>
    <x v="0"/>
    <x v="0"/>
    <x v="0"/>
    <x v="0"/>
    <x v="0"/>
    <x v="0"/>
    <x v="9"/>
    <n v="104"/>
    <n v="104"/>
    <n v="40.896999999999998"/>
    <n v="40.896999999999998"/>
    <n v="40.896999999999998"/>
    <n v="40.896999999999998"/>
    <n v="0"/>
    <x v="0"/>
    <n v="0"/>
    <n v="84"/>
    <n v="80"/>
    <n v="74"/>
    <n v="74.41"/>
    <n v="93.48"/>
    <n v="240.29"/>
    <n v="79.663522858077684"/>
    <n v="116.98708637317603"/>
    <n v="318.47604005907385"/>
    <n v="7738.6399999999994"/>
    <n v="3823.0515599999999"/>
    <n v="9827.1401299999998"/>
    <n v="8285.006377240079"/>
    <n v="4784.4208714037795"/>
    <n v="13024.714610295943"/>
  </r>
  <r>
    <s v="Regular"/>
    <x v="0"/>
    <x v="0"/>
    <x v="0"/>
    <x v="0"/>
    <x v="0"/>
    <x v="0"/>
    <x v="0"/>
    <x v="10"/>
    <n v="101"/>
    <n v="101"/>
    <n v="35.027999999999999"/>
    <n v="35.027999999999999"/>
    <n v="35.027999999999999"/>
    <n v="35.027999999999999"/>
    <n v="0"/>
    <x v="0"/>
    <n v="0"/>
    <n v="84"/>
    <n v="80"/>
    <n v="74"/>
    <n v="74.41"/>
    <n v="93.48"/>
    <n v="240.29"/>
    <n v="79.663522858077684"/>
    <n v="116.98708637317603"/>
    <n v="318.47604005907385"/>
    <n v="7515.41"/>
    <n v="3274.4174400000002"/>
    <n v="8416.8781199999994"/>
    <n v="8046.0158086658457"/>
    <n v="4097.8236614796097"/>
    <n v="11155.578731189238"/>
  </r>
  <r>
    <s v="Regular"/>
    <x v="0"/>
    <x v="0"/>
    <x v="0"/>
    <x v="0"/>
    <x v="0"/>
    <x v="0"/>
    <x v="0"/>
    <x v="11"/>
    <n v="104"/>
    <n v="104"/>
    <n v="42.872999999999998"/>
    <n v="42.872999999999998"/>
    <n v="42.872999999999998"/>
    <n v="42.872999999999998"/>
    <n v="0"/>
    <x v="0"/>
    <n v="0"/>
    <n v="84"/>
    <n v="80"/>
    <n v="74"/>
    <n v="74.41"/>
    <n v="93.48"/>
    <n v="240.29"/>
    <n v="79.663522858077684"/>
    <n v="116.98708637317603"/>
    <n v="318.47604005907385"/>
    <n v="7738.6399999999994"/>
    <n v="4007.7680399999999"/>
    <n v="10301.953169999999"/>
    <n v="8285.006377240079"/>
    <n v="5015.5873540771754"/>
    <n v="13654.023265452672"/>
  </r>
  <r>
    <s v="Regular"/>
    <x v="0"/>
    <x v="0"/>
    <x v="0"/>
    <x v="0"/>
    <x v="0"/>
    <x v="0"/>
    <x v="1"/>
    <x v="0"/>
    <n v="100"/>
    <n v="100"/>
    <n v="3.4089999999999998"/>
    <n v="3.4089999999999998"/>
    <n v="3.4089999999999998"/>
    <n v="3.4089999999999998"/>
    <n v="0"/>
    <x v="0"/>
    <n v="0"/>
    <n v="83"/>
    <n v="80"/>
    <n v="73"/>
    <n v="186.95"/>
    <n v="93.48"/>
    <n v="240.29"/>
    <n v="201.79759873594497"/>
    <n v="116.98708637317603"/>
    <n v="318.47604005907385"/>
    <n v="18695"/>
    <n v="318.67331999999999"/>
    <n v="819.14860999999996"/>
    <n v="20179.759873594496"/>
    <n v="398.80897744615703"/>
    <n v="1085.6848205613826"/>
  </r>
  <r>
    <s v="Regular"/>
    <x v="0"/>
    <x v="0"/>
    <x v="0"/>
    <x v="0"/>
    <x v="0"/>
    <x v="0"/>
    <x v="1"/>
    <x v="1"/>
    <n v="100"/>
    <n v="100"/>
    <n v="3.3570000000000002"/>
    <n v="3.3570000000000002"/>
    <n v="3.3570000000000002"/>
    <n v="3.3570000000000002"/>
    <n v="0"/>
    <x v="0"/>
    <n v="0"/>
    <n v="83"/>
    <n v="80"/>
    <n v="73"/>
    <n v="186.95"/>
    <n v="93.48"/>
    <n v="240.29"/>
    <n v="201.79759873594497"/>
    <n v="116.98708637317603"/>
    <n v="318.47604005907385"/>
    <n v="18695"/>
    <n v="313.81236000000001"/>
    <n v="806.65353000000005"/>
    <n v="20179.759873594496"/>
    <n v="392.72564895475193"/>
    <n v="1069.1240664783111"/>
  </r>
  <r>
    <s v="Regular"/>
    <x v="0"/>
    <x v="0"/>
    <x v="0"/>
    <x v="0"/>
    <x v="0"/>
    <x v="0"/>
    <x v="1"/>
    <x v="2"/>
    <n v="100"/>
    <n v="100"/>
    <n v="3.093"/>
    <n v="3.093"/>
    <n v="3.093"/>
    <n v="3.093"/>
    <n v="0"/>
    <x v="0"/>
    <n v="0"/>
    <n v="83"/>
    <n v="80"/>
    <n v="73"/>
    <n v="186.95"/>
    <n v="93.48"/>
    <n v="240.29"/>
    <n v="201.79759873594497"/>
    <n v="116.98708637317603"/>
    <n v="318.47604005907385"/>
    <n v="18695"/>
    <n v="289.13364000000001"/>
    <n v="743.21696999999995"/>
    <n v="20179.759873594496"/>
    <n v="361.84105815223347"/>
    <n v="985.04639190271541"/>
  </r>
  <r>
    <s v="Regular"/>
    <x v="0"/>
    <x v="0"/>
    <x v="0"/>
    <x v="0"/>
    <x v="0"/>
    <x v="0"/>
    <x v="1"/>
    <x v="3"/>
    <n v="100"/>
    <n v="100"/>
    <n v="3.032"/>
    <n v="3.032"/>
    <n v="3.032"/>
    <n v="3.032"/>
    <n v="0"/>
    <x v="0"/>
    <n v="0"/>
    <n v="83"/>
    <n v="80"/>
    <n v="73"/>
    <n v="186.95"/>
    <n v="93.48"/>
    <n v="240.29"/>
    <n v="201.79759873594497"/>
    <n v="116.98708637317603"/>
    <n v="318.47604005907385"/>
    <n v="18695"/>
    <n v="283.43136000000004"/>
    <n v="728.55927999999994"/>
    <n v="20179.759873594496"/>
    <n v="354.70484588346972"/>
    <n v="965.61935345911195"/>
  </r>
  <r>
    <s v="Regular"/>
    <x v="0"/>
    <x v="0"/>
    <x v="0"/>
    <x v="0"/>
    <x v="0"/>
    <x v="0"/>
    <x v="1"/>
    <x v="4"/>
    <n v="100"/>
    <n v="100"/>
    <n v="3.165"/>
    <n v="3.165"/>
    <n v="3.165"/>
    <n v="3.165"/>
    <n v="0"/>
    <x v="0"/>
    <n v="0"/>
    <n v="83"/>
    <n v="80"/>
    <n v="73"/>
    <n v="186.95"/>
    <n v="93.48"/>
    <n v="240.29"/>
    <n v="201.79759873594497"/>
    <n v="116.98708637317603"/>
    <n v="318.47604005907385"/>
    <n v="18695"/>
    <n v="295.86420000000004"/>
    <n v="760.51784999999995"/>
    <n v="20179.759873594496"/>
    <n v="370.26412837110212"/>
    <n v="1007.9766667869687"/>
  </r>
  <r>
    <s v="Regular"/>
    <x v="0"/>
    <x v="0"/>
    <x v="0"/>
    <x v="0"/>
    <x v="0"/>
    <x v="0"/>
    <x v="1"/>
    <x v="5"/>
    <n v="100"/>
    <n v="100"/>
    <n v="3.4049999999999998"/>
    <n v="3.4049999999999998"/>
    <n v="3.4049999999999998"/>
    <n v="3.4049999999999998"/>
    <n v="0"/>
    <x v="0"/>
    <n v="0"/>
    <n v="83"/>
    <n v="80"/>
    <n v="73"/>
    <n v="186.95"/>
    <n v="93.48"/>
    <n v="240.29"/>
    <n v="201.79759873594497"/>
    <n v="116.98708637317603"/>
    <n v="318.47604005907385"/>
    <n v="18695"/>
    <n v="318.29939999999999"/>
    <n v="818.1874499999999"/>
    <n v="20179.759873594496"/>
    <n v="398.34102910066434"/>
    <n v="1084.4109164011463"/>
  </r>
  <r>
    <s v="Regular"/>
    <x v="0"/>
    <x v="0"/>
    <x v="0"/>
    <x v="0"/>
    <x v="0"/>
    <x v="0"/>
    <x v="1"/>
    <x v="6"/>
    <n v="100"/>
    <n v="100"/>
    <n v="3.105"/>
    <n v="3.105"/>
    <n v="3.105"/>
    <n v="3.105"/>
    <n v="0"/>
    <x v="0"/>
    <n v="0"/>
    <n v="83"/>
    <n v="80"/>
    <n v="73"/>
    <n v="186.95"/>
    <n v="93.48"/>
    <n v="240.29"/>
    <n v="201.79759873594497"/>
    <n v="116.98708637317603"/>
    <n v="318.47604005907385"/>
    <n v="18695"/>
    <n v="290.25540000000001"/>
    <n v="746.10045000000002"/>
    <n v="20179.759873594496"/>
    <n v="363.24490318871153"/>
    <n v="988.86810438342434"/>
  </r>
  <r>
    <s v="Regular"/>
    <x v="0"/>
    <x v="0"/>
    <x v="0"/>
    <x v="0"/>
    <x v="0"/>
    <x v="0"/>
    <x v="1"/>
    <x v="7"/>
    <n v="100"/>
    <n v="100"/>
    <n v="3.3519999999999999"/>
    <n v="3.3519999999999999"/>
    <n v="3.3519999999999999"/>
    <n v="3.3519999999999999"/>
    <n v="0"/>
    <x v="0"/>
    <n v="0"/>
    <n v="83"/>
    <n v="80"/>
    <n v="73"/>
    <n v="186.95"/>
    <n v="93.48"/>
    <n v="240.29"/>
    <n v="201.79759873594497"/>
    <n v="116.98708637317603"/>
    <n v="318.47604005907385"/>
    <n v="18695"/>
    <n v="313.34496000000001"/>
    <n v="805.45207999999991"/>
    <n v="20179.759873594496"/>
    <n v="392.14071352288602"/>
    <n v="1067.5316862780155"/>
  </r>
  <r>
    <s v="Regular"/>
    <x v="0"/>
    <x v="0"/>
    <x v="0"/>
    <x v="0"/>
    <x v="0"/>
    <x v="0"/>
    <x v="1"/>
    <x v="8"/>
    <n v="100"/>
    <n v="100"/>
    <n v="3.9790000000000001"/>
    <n v="3.9790000000000001"/>
    <n v="3.9790000000000001"/>
    <n v="3.9790000000000001"/>
    <n v="0"/>
    <x v="0"/>
    <n v="0"/>
    <n v="83"/>
    <n v="80"/>
    <n v="73"/>
    <n v="186.95"/>
    <n v="93.48"/>
    <n v="240.29"/>
    <n v="201.79759873594497"/>
    <n v="116.98708637317603"/>
    <n v="318.47604005907385"/>
    <n v="18695"/>
    <n v="371.95692000000003"/>
    <n v="956.11391000000003"/>
    <n v="20179.759873594496"/>
    <n v="465.49161667886744"/>
    <n v="1267.216163395055"/>
  </r>
  <r>
    <s v="Regular"/>
    <x v="0"/>
    <x v="0"/>
    <x v="0"/>
    <x v="0"/>
    <x v="0"/>
    <x v="0"/>
    <x v="1"/>
    <x v="9"/>
    <n v="100"/>
    <n v="100"/>
    <n v="4.1159999999999997"/>
    <n v="4.1159999999999997"/>
    <n v="4.1159999999999997"/>
    <n v="4.1159999999999997"/>
    <n v="0"/>
    <x v="0"/>
    <n v="0"/>
    <n v="83"/>
    <n v="80"/>
    <n v="73"/>
    <n v="186.95"/>
    <n v="93.48"/>
    <n v="240.29"/>
    <n v="201.79759873594497"/>
    <n v="116.98708637317603"/>
    <n v="318.47604005907385"/>
    <n v="18695"/>
    <n v="384.76367999999997"/>
    <n v="989.03363999999988"/>
    <n v="20179.759873594496"/>
    <n v="481.51884751199248"/>
    <n v="1310.8473808831479"/>
  </r>
  <r>
    <s v="Regular"/>
    <x v="0"/>
    <x v="0"/>
    <x v="0"/>
    <x v="0"/>
    <x v="0"/>
    <x v="0"/>
    <x v="1"/>
    <x v="10"/>
    <n v="100"/>
    <n v="100"/>
    <n v="3.6760000000000002"/>
    <n v="3.6760000000000002"/>
    <n v="3.6760000000000002"/>
    <n v="3.6760000000000002"/>
    <n v="0"/>
    <x v="0"/>
    <n v="0"/>
    <n v="83"/>
    <n v="80"/>
    <n v="73"/>
    <n v="186.95"/>
    <n v="93.48"/>
    <n v="240.29"/>
    <n v="201.79759873594497"/>
    <n v="116.98708637317603"/>
    <n v="318.47604005907385"/>
    <n v="18695"/>
    <n v="343.63248000000004"/>
    <n v="883.30604000000005"/>
    <n v="20179.759873594496"/>
    <n v="430.04452950779512"/>
    <n v="1170.7179232571555"/>
  </r>
  <r>
    <s v="Regular"/>
    <x v="0"/>
    <x v="0"/>
    <x v="0"/>
    <x v="0"/>
    <x v="0"/>
    <x v="0"/>
    <x v="1"/>
    <x v="11"/>
    <n v="100"/>
    <n v="100"/>
    <n v="4.6399999999999997"/>
    <n v="4.6399999999999997"/>
    <n v="4.6399999999999997"/>
    <n v="4.6399999999999997"/>
    <n v="0"/>
    <x v="0"/>
    <n v="0"/>
    <n v="83"/>
    <n v="80"/>
    <n v="73"/>
    <n v="186.95"/>
    <n v="93.48"/>
    <n v="240.29"/>
    <n v="201.79759873594497"/>
    <n v="116.98708637317603"/>
    <n v="318.47604005907385"/>
    <n v="18695"/>
    <n v="433.74719999999996"/>
    <n v="1114.9455999999998"/>
    <n v="20179.759873594496"/>
    <n v="542.82008077153671"/>
    <n v="1477.7288258741025"/>
  </r>
  <r>
    <s v="Regular"/>
    <x v="0"/>
    <x v="1"/>
    <x v="0"/>
    <x v="0"/>
    <x v="0"/>
    <x v="0"/>
    <x v="0"/>
    <x v="0"/>
    <n v="0"/>
    <n v="0"/>
    <n v="75.804000000000002"/>
    <n v="75.804000000000002"/>
    <n v="75.804000000000002"/>
    <n v="75.804000000000002"/>
    <n v="0"/>
    <x v="0"/>
    <n v="0"/>
    <n v="0"/>
    <n v="2"/>
    <n v="74"/>
    <n v="0"/>
    <n v="93.48"/>
    <n v="240.29"/>
    <m/>
    <n v="116.98708637317603"/>
    <n v="318.47604005907385"/>
    <n v="0"/>
    <n v="7086.1579200000006"/>
    <n v="18214.943159999999"/>
    <n v="0"/>
    <n v="8868.0890954322349"/>
    <n v="24141.757740638033"/>
  </r>
  <r>
    <s v="Regular"/>
    <x v="0"/>
    <x v="1"/>
    <x v="0"/>
    <x v="0"/>
    <x v="0"/>
    <x v="0"/>
    <x v="0"/>
    <x v="1"/>
    <n v="0"/>
    <n v="0"/>
    <n v="74.941999999999993"/>
    <n v="74.941999999999993"/>
    <n v="74.941999999999993"/>
    <n v="74.941999999999993"/>
    <n v="0"/>
    <x v="0"/>
    <n v="0"/>
    <n v="0"/>
    <n v="2"/>
    <n v="74"/>
    <n v="0"/>
    <n v="93.48"/>
    <n v="240.29"/>
    <m/>
    <n v="116.98708637317603"/>
    <n v="318.47604005907385"/>
    <n v="0"/>
    <n v="7005.57816"/>
    <n v="18007.813179999997"/>
    <n v="0"/>
    <n v="8767.2462269785574"/>
    <n v="23867.231394107112"/>
  </r>
  <r>
    <s v="Regular"/>
    <x v="0"/>
    <x v="1"/>
    <x v="0"/>
    <x v="0"/>
    <x v="0"/>
    <x v="0"/>
    <x v="0"/>
    <x v="2"/>
    <n v="0"/>
    <n v="0"/>
    <n v="70.647999999999996"/>
    <n v="70.647999999999996"/>
    <n v="70.647999999999996"/>
    <n v="70.647999999999996"/>
    <n v="0"/>
    <x v="0"/>
    <n v="0"/>
    <n v="0"/>
    <n v="2"/>
    <n v="74"/>
    <n v="0"/>
    <n v="93.48"/>
    <n v="240.29"/>
    <m/>
    <n v="116.98708637317603"/>
    <n v="318.47604005907385"/>
    <n v="0"/>
    <n v="6604.1750400000001"/>
    <n v="16976.00792"/>
    <n v="0"/>
    <n v="8264.9036780921397"/>
    <n v="22499.695278093448"/>
  </r>
  <r>
    <s v="Regular"/>
    <x v="0"/>
    <x v="1"/>
    <x v="0"/>
    <x v="0"/>
    <x v="0"/>
    <x v="0"/>
    <x v="0"/>
    <x v="3"/>
    <n v="0"/>
    <n v="0"/>
    <n v="69.599000000000004"/>
    <n v="69.599000000000004"/>
    <n v="69.599000000000004"/>
    <n v="69.599000000000004"/>
    <n v="0"/>
    <x v="0"/>
    <n v="0"/>
    <n v="0"/>
    <n v="2"/>
    <n v="74"/>
    <n v="0"/>
    <n v="93.48"/>
    <n v="240.29"/>
    <m/>
    <n v="116.98708637317603"/>
    <n v="318.47604005907385"/>
    <n v="0"/>
    <n v="6506.114520000001"/>
    <n v="16723.94371"/>
    <n v="0"/>
    <n v="8142.1842244866784"/>
    <n v="22165.613912071483"/>
  </r>
  <r>
    <s v="Regular"/>
    <x v="0"/>
    <x v="1"/>
    <x v="0"/>
    <x v="0"/>
    <x v="0"/>
    <x v="0"/>
    <x v="0"/>
    <x v="4"/>
    <n v="0"/>
    <n v="0"/>
    <n v="69.894000000000005"/>
    <n v="69.894000000000005"/>
    <n v="69.894000000000005"/>
    <n v="69.894000000000005"/>
    <n v="0"/>
    <x v="0"/>
    <n v="0"/>
    <n v="0"/>
    <n v="2"/>
    <n v="74"/>
    <n v="0"/>
    <n v="93.48"/>
    <n v="240.29"/>
    <m/>
    <n v="116.98708637317603"/>
    <n v="318.47604005907385"/>
    <n v="0"/>
    <n v="6533.6911200000004"/>
    <n v="16794.829260000002"/>
    <n v="0"/>
    <n v="8176.6954149667663"/>
    <n v="22259.564343888909"/>
  </r>
  <r>
    <s v="Regular"/>
    <x v="0"/>
    <x v="1"/>
    <x v="0"/>
    <x v="0"/>
    <x v="0"/>
    <x v="0"/>
    <x v="0"/>
    <x v="5"/>
    <n v="0"/>
    <n v="0"/>
    <n v="82.757999999999996"/>
    <n v="82.757999999999996"/>
    <n v="82.757999999999996"/>
    <n v="82.757999999999996"/>
    <n v="0"/>
    <x v="0"/>
    <n v="0"/>
    <n v="0"/>
    <n v="2"/>
    <n v="74"/>
    <n v="0"/>
    <n v="93.48"/>
    <n v="240.29"/>
    <m/>
    <n v="116.98708637317603"/>
    <n v="318.47604005907385"/>
    <n v="0"/>
    <n v="7736.2178400000003"/>
    <n v="19885.919819999999"/>
    <n v="0"/>
    <n v="9681.6172940713004"/>
    <n v="26356.440123208831"/>
  </r>
  <r>
    <s v="Regular"/>
    <x v="0"/>
    <x v="1"/>
    <x v="0"/>
    <x v="0"/>
    <x v="0"/>
    <x v="0"/>
    <x v="0"/>
    <x v="6"/>
    <n v="0"/>
    <n v="0"/>
    <n v="86.043999999999997"/>
    <n v="86.043999999999997"/>
    <n v="86.043999999999997"/>
    <n v="86.043999999999997"/>
    <n v="0"/>
    <x v="0"/>
    <n v="0"/>
    <n v="0"/>
    <n v="2"/>
    <n v="74"/>
    <n v="0"/>
    <n v="93.48"/>
    <n v="240.29"/>
    <m/>
    <n v="116.98708637317603"/>
    <n v="318.47604005907385"/>
    <n v="0"/>
    <n v="8043.3931199999997"/>
    <n v="20675.512759999998"/>
    <n v="0"/>
    <n v="10066.036859893558"/>
    <n v="27402.952390842951"/>
  </r>
  <r>
    <s v="Regular"/>
    <x v="0"/>
    <x v="1"/>
    <x v="0"/>
    <x v="0"/>
    <x v="0"/>
    <x v="0"/>
    <x v="0"/>
    <x v="7"/>
    <n v="0"/>
    <n v="0"/>
    <n v="86.302000000000007"/>
    <n v="86.302000000000007"/>
    <n v="86.302000000000007"/>
    <n v="86.302000000000007"/>
    <n v="0"/>
    <x v="0"/>
    <n v="0"/>
    <n v="0"/>
    <n v="2"/>
    <n v="74"/>
    <n v="0"/>
    <n v="93.48"/>
    <n v="240.29"/>
    <m/>
    <n v="116.98708637317603"/>
    <n v="318.47604005907385"/>
    <n v="0"/>
    <n v="8067.5109600000005"/>
    <n v="20737.507580000001"/>
    <n v="0"/>
    <n v="10096.219528177839"/>
    <n v="27485.119209178192"/>
  </r>
  <r>
    <s v="Regular"/>
    <x v="0"/>
    <x v="1"/>
    <x v="0"/>
    <x v="0"/>
    <x v="0"/>
    <x v="0"/>
    <x v="0"/>
    <x v="8"/>
    <n v="0"/>
    <n v="0"/>
    <n v="103.928"/>
    <n v="103.928"/>
    <n v="103.928"/>
    <n v="103.928"/>
    <n v="0"/>
    <x v="0"/>
    <n v="0"/>
    <n v="0"/>
    <n v="2"/>
    <n v="74"/>
    <n v="0"/>
    <n v="93.48"/>
    <n v="240.29"/>
    <m/>
    <n v="116.98708637317603"/>
    <n v="318.47604005907385"/>
    <n v="0"/>
    <n v="9715.1894400000001"/>
    <n v="24972.859119999997"/>
    <n v="0"/>
    <n v="12158.233912591439"/>
    <n v="33098.577891259425"/>
  </r>
  <r>
    <s v="Regular"/>
    <x v="0"/>
    <x v="1"/>
    <x v="0"/>
    <x v="0"/>
    <x v="0"/>
    <x v="0"/>
    <x v="0"/>
    <x v="9"/>
    <n v="0"/>
    <n v="0"/>
    <n v="120.857"/>
    <n v="120.857"/>
    <n v="120.857"/>
    <n v="120.857"/>
    <n v="0"/>
    <x v="0"/>
    <n v="0"/>
    <n v="0"/>
    <n v="2"/>
    <n v="74"/>
    <n v="0"/>
    <n v="93.48"/>
    <n v="240.29"/>
    <m/>
    <n v="116.98708637317603"/>
    <n v="318.47604005907385"/>
    <n v="0"/>
    <n v="11297.71236"/>
    <n v="29040.72853"/>
    <n v="0"/>
    <n v="14138.708297802936"/>
    <n v="38490.058773419485"/>
  </r>
  <r>
    <s v="Regular"/>
    <x v="0"/>
    <x v="1"/>
    <x v="0"/>
    <x v="0"/>
    <x v="0"/>
    <x v="0"/>
    <x v="0"/>
    <x v="10"/>
    <n v="0"/>
    <n v="0"/>
    <n v="106.313"/>
    <n v="106.313"/>
    <n v="106.313"/>
    <n v="106.313"/>
    <n v="0"/>
    <x v="0"/>
    <n v="0"/>
    <n v="0"/>
    <n v="2"/>
    <n v="74"/>
    <n v="0"/>
    <n v="93.48"/>
    <n v="240.29"/>
    <m/>
    <n v="116.98708637317603"/>
    <n v="318.47604005907385"/>
    <n v="0"/>
    <n v="9938.1392400000004"/>
    <n v="25545.950769999999"/>
    <n v="0"/>
    <n v="12437.248113591464"/>
    <n v="33858.143246800319"/>
  </r>
  <r>
    <s v="Regular"/>
    <x v="0"/>
    <x v="1"/>
    <x v="0"/>
    <x v="0"/>
    <x v="0"/>
    <x v="0"/>
    <x v="0"/>
    <x v="11"/>
    <n v="0"/>
    <n v="0"/>
    <n v="123.14100000000001"/>
    <n v="123.14100000000001"/>
    <n v="123.14100000000001"/>
    <n v="123.14100000000001"/>
    <n v="0"/>
    <x v="0"/>
    <n v="0"/>
    <n v="0"/>
    <n v="2"/>
    <n v="74"/>
    <n v="0"/>
    <n v="93.48"/>
    <n v="240.29"/>
    <m/>
    <n v="116.98708637317603"/>
    <n v="318.47604005907385"/>
    <n v="0"/>
    <n v="11511.22068"/>
    <n v="29589.550889999999"/>
    <n v="0"/>
    <n v="14405.90680307927"/>
    <n v="39217.458048914414"/>
  </r>
  <r>
    <s v="Regular"/>
    <x v="0"/>
    <x v="1"/>
    <x v="0"/>
    <x v="0"/>
    <x v="0"/>
    <x v="0"/>
    <x v="2"/>
    <x v="0"/>
    <n v="390"/>
    <n v="390"/>
    <n v="0"/>
    <n v="0"/>
    <n v="0"/>
    <n v="0"/>
    <n v="3"/>
    <x v="0"/>
    <n v="0"/>
    <n v="50"/>
    <n v="0"/>
    <n v="0"/>
    <n v="74.41"/>
    <n v="0"/>
    <n v="0"/>
    <n v="79.663522858077684"/>
    <m/>
    <m/>
    <n v="29019.899999999998"/>
    <n v="0"/>
    <n v="0"/>
    <n v="31068.773914650297"/>
    <n v="0"/>
    <n v="0"/>
  </r>
  <r>
    <s v="Regular"/>
    <x v="0"/>
    <x v="1"/>
    <x v="0"/>
    <x v="0"/>
    <x v="0"/>
    <x v="0"/>
    <x v="2"/>
    <x v="1"/>
    <n v="392"/>
    <n v="392"/>
    <n v="0"/>
    <n v="0"/>
    <n v="0"/>
    <n v="0"/>
    <n v="3"/>
    <x v="0"/>
    <n v="0"/>
    <n v="50"/>
    <n v="0"/>
    <n v="0"/>
    <n v="74.41"/>
    <n v="0"/>
    <n v="0"/>
    <n v="79.663522858077684"/>
    <m/>
    <m/>
    <n v="29168.719999999998"/>
    <n v="0"/>
    <n v="0"/>
    <n v="31228.100960366453"/>
    <n v="0"/>
    <n v="0"/>
  </r>
  <r>
    <s v="Regular"/>
    <x v="0"/>
    <x v="1"/>
    <x v="0"/>
    <x v="0"/>
    <x v="0"/>
    <x v="0"/>
    <x v="2"/>
    <x v="2"/>
    <n v="390"/>
    <n v="390"/>
    <n v="0"/>
    <n v="0"/>
    <n v="0"/>
    <n v="0"/>
    <n v="3"/>
    <x v="0"/>
    <n v="0"/>
    <n v="50"/>
    <n v="0"/>
    <n v="0"/>
    <n v="74.41"/>
    <n v="0"/>
    <n v="0"/>
    <n v="79.663522858077684"/>
    <m/>
    <m/>
    <n v="29019.899999999998"/>
    <n v="0"/>
    <n v="0"/>
    <n v="31068.773914650297"/>
    <n v="0"/>
    <n v="0"/>
  </r>
  <r>
    <s v="Regular"/>
    <x v="0"/>
    <x v="1"/>
    <x v="0"/>
    <x v="0"/>
    <x v="0"/>
    <x v="0"/>
    <x v="2"/>
    <x v="3"/>
    <n v="390"/>
    <n v="390"/>
    <n v="0"/>
    <n v="0"/>
    <n v="0"/>
    <n v="0"/>
    <n v="3"/>
    <x v="0"/>
    <n v="0"/>
    <n v="50"/>
    <n v="0"/>
    <n v="0"/>
    <n v="74.41"/>
    <n v="0"/>
    <n v="0"/>
    <n v="79.663522858077684"/>
    <m/>
    <m/>
    <n v="29019.899999999998"/>
    <n v="0"/>
    <n v="0"/>
    <n v="31068.773914650297"/>
    <n v="0"/>
    <n v="0"/>
  </r>
  <r>
    <s v="Regular"/>
    <x v="0"/>
    <x v="1"/>
    <x v="0"/>
    <x v="0"/>
    <x v="0"/>
    <x v="0"/>
    <x v="2"/>
    <x v="4"/>
    <n v="290"/>
    <n v="290"/>
    <n v="0"/>
    <n v="0"/>
    <n v="0"/>
    <n v="0"/>
    <n v="3"/>
    <x v="0"/>
    <n v="0"/>
    <n v="50"/>
    <n v="0"/>
    <n v="0"/>
    <n v="74.41"/>
    <n v="0"/>
    <n v="0"/>
    <n v="79.663522858077684"/>
    <m/>
    <m/>
    <n v="21578.899999999998"/>
    <n v="0"/>
    <n v="0"/>
    <n v="23102.421628842527"/>
    <n v="0"/>
    <n v="0"/>
  </r>
  <r>
    <s v="Regular"/>
    <x v="0"/>
    <x v="1"/>
    <x v="0"/>
    <x v="0"/>
    <x v="0"/>
    <x v="0"/>
    <x v="2"/>
    <x v="5"/>
    <n v="321"/>
    <n v="321"/>
    <n v="0"/>
    <n v="0"/>
    <n v="0"/>
    <n v="0"/>
    <n v="3"/>
    <x v="0"/>
    <n v="0"/>
    <n v="50"/>
    <n v="0"/>
    <n v="0"/>
    <n v="74.41"/>
    <n v="0"/>
    <n v="0"/>
    <n v="79.663522858077684"/>
    <m/>
    <m/>
    <n v="23885.61"/>
    <n v="0"/>
    <n v="0"/>
    <n v="25571.990837442936"/>
    <n v="0"/>
    <n v="0"/>
  </r>
  <r>
    <s v="Regular"/>
    <x v="0"/>
    <x v="1"/>
    <x v="0"/>
    <x v="0"/>
    <x v="0"/>
    <x v="0"/>
    <x v="2"/>
    <x v="6"/>
    <n v="304"/>
    <n v="304"/>
    <n v="0"/>
    <n v="0"/>
    <n v="0"/>
    <n v="0"/>
    <n v="3"/>
    <x v="0"/>
    <n v="0"/>
    <n v="50"/>
    <n v="0"/>
    <n v="0"/>
    <n v="74.41"/>
    <n v="0"/>
    <n v="0"/>
    <n v="79.663522858077684"/>
    <m/>
    <m/>
    <n v="22620.639999999999"/>
    <n v="0"/>
    <n v="0"/>
    <n v="24217.710948855616"/>
    <n v="0"/>
    <n v="0"/>
  </r>
  <r>
    <s v="Regular"/>
    <x v="0"/>
    <x v="1"/>
    <x v="0"/>
    <x v="0"/>
    <x v="0"/>
    <x v="0"/>
    <x v="2"/>
    <x v="7"/>
    <n v="296"/>
    <n v="296"/>
    <n v="0"/>
    <n v="0"/>
    <n v="0"/>
    <n v="0"/>
    <n v="3"/>
    <x v="0"/>
    <n v="0"/>
    <n v="50"/>
    <n v="0"/>
    <n v="0"/>
    <n v="74.41"/>
    <n v="0"/>
    <n v="0"/>
    <n v="79.663522858077684"/>
    <m/>
    <m/>
    <n v="22025.360000000001"/>
    <n v="0"/>
    <n v="0"/>
    <n v="23580.402765990995"/>
    <n v="0"/>
    <n v="0"/>
  </r>
  <r>
    <s v="Regular"/>
    <x v="0"/>
    <x v="1"/>
    <x v="0"/>
    <x v="0"/>
    <x v="0"/>
    <x v="0"/>
    <x v="2"/>
    <x v="8"/>
    <n v="330"/>
    <n v="330"/>
    <n v="0"/>
    <n v="0"/>
    <n v="0"/>
    <n v="0"/>
    <n v="3"/>
    <x v="0"/>
    <n v="0"/>
    <n v="50"/>
    <n v="0"/>
    <n v="0"/>
    <n v="74.41"/>
    <n v="0"/>
    <n v="0"/>
    <n v="79.663522858077684"/>
    <m/>
    <m/>
    <n v="24555.3"/>
    <n v="0"/>
    <n v="0"/>
    <n v="26288.962543165635"/>
    <n v="0"/>
    <n v="0"/>
  </r>
  <r>
    <s v="Regular"/>
    <x v="0"/>
    <x v="1"/>
    <x v="0"/>
    <x v="0"/>
    <x v="0"/>
    <x v="0"/>
    <x v="2"/>
    <x v="9"/>
    <n v="370"/>
    <n v="370"/>
    <n v="0"/>
    <n v="0"/>
    <n v="0"/>
    <n v="0"/>
    <n v="3"/>
    <x v="0"/>
    <n v="0"/>
    <n v="50"/>
    <n v="0"/>
    <n v="0"/>
    <n v="74.41"/>
    <n v="0"/>
    <n v="0"/>
    <n v="79.663522858077684"/>
    <m/>
    <m/>
    <n v="27531.699999999997"/>
    <n v="0"/>
    <n v="0"/>
    <n v="29475.503457488743"/>
    <n v="0"/>
    <n v="0"/>
  </r>
  <r>
    <s v="Regular"/>
    <x v="0"/>
    <x v="1"/>
    <x v="0"/>
    <x v="0"/>
    <x v="0"/>
    <x v="0"/>
    <x v="2"/>
    <x v="10"/>
    <n v="363"/>
    <n v="363"/>
    <n v="0"/>
    <n v="0"/>
    <n v="0"/>
    <n v="0"/>
    <n v="3"/>
    <x v="0"/>
    <n v="0"/>
    <n v="50"/>
    <n v="0"/>
    <n v="0"/>
    <n v="74.41"/>
    <n v="0"/>
    <n v="0"/>
    <n v="79.663522858077684"/>
    <m/>
    <m/>
    <n v="27010.829999999998"/>
    <n v="0"/>
    <n v="0"/>
    <n v="28917.8587974822"/>
    <n v="0"/>
    <n v="0"/>
  </r>
  <r>
    <s v="Regular"/>
    <x v="0"/>
    <x v="1"/>
    <x v="0"/>
    <x v="0"/>
    <x v="0"/>
    <x v="0"/>
    <x v="2"/>
    <x v="11"/>
    <n v="332"/>
    <n v="332"/>
    <n v="0"/>
    <n v="0"/>
    <n v="0"/>
    <n v="0"/>
    <n v="3"/>
    <x v="0"/>
    <n v="0"/>
    <n v="50"/>
    <n v="0"/>
    <n v="0"/>
    <n v="74.41"/>
    <n v="0"/>
    <n v="0"/>
    <n v="79.663522858077684"/>
    <m/>
    <m/>
    <n v="24704.12"/>
    <n v="0"/>
    <n v="0"/>
    <n v="26448.289588881791"/>
    <n v="0"/>
    <n v="0"/>
  </r>
  <r>
    <s v="Regular"/>
    <x v="0"/>
    <x v="1"/>
    <x v="0"/>
    <x v="0"/>
    <x v="0"/>
    <x v="0"/>
    <x v="1"/>
    <x v="0"/>
    <n v="0"/>
    <n v="0"/>
    <n v="0.53400000000000003"/>
    <n v="0.53400000000000003"/>
    <n v="0.53400000000000003"/>
    <n v="0.53400000000000003"/>
    <n v="0"/>
    <x v="0"/>
    <n v="0"/>
    <n v="0"/>
    <n v="1"/>
    <n v="73"/>
    <n v="0"/>
    <n v="4589.68"/>
    <n v="240.29"/>
    <m/>
    <n v="4970.2414810692699"/>
    <n v="318.47604005907385"/>
    <n v="0"/>
    <n v="2450.8891200000003"/>
    <n v="128.31486000000001"/>
    <n v="0"/>
    <n v="2654.1089508909904"/>
    <n v="170.06620539154545"/>
  </r>
  <r>
    <s v="Regular"/>
    <x v="0"/>
    <x v="1"/>
    <x v="0"/>
    <x v="0"/>
    <x v="0"/>
    <x v="0"/>
    <x v="1"/>
    <x v="1"/>
    <n v="0"/>
    <n v="0"/>
    <n v="0.47099999999999997"/>
    <n v="0.47099999999999997"/>
    <n v="0.47099999999999997"/>
    <n v="0.47099999999999997"/>
    <n v="0"/>
    <x v="0"/>
    <n v="0"/>
    <n v="0"/>
    <n v="1"/>
    <n v="73"/>
    <n v="0"/>
    <n v="4589.68"/>
    <n v="240.29"/>
    <m/>
    <n v="4970.2414810692699"/>
    <n v="318.47604005907385"/>
    <n v="0"/>
    <n v="2161.7392800000002"/>
    <n v="113.17658999999999"/>
    <n v="0"/>
    <n v="2340.983737583626"/>
    <n v="150.00221486782377"/>
  </r>
  <r>
    <s v="Regular"/>
    <x v="0"/>
    <x v="1"/>
    <x v="0"/>
    <x v="0"/>
    <x v="0"/>
    <x v="0"/>
    <x v="1"/>
    <x v="2"/>
    <n v="0"/>
    <n v="0"/>
    <n v="0.52"/>
    <n v="0.52"/>
    <n v="0.52"/>
    <n v="0.52"/>
    <n v="0"/>
    <x v="0"/>
    <n v="0"/>
    <n v="0"/>
    <n v="1"/>
    <n v="73"/>
    <n v="0"/>
    <n v="4589.68"/>
    <n v="240.29"/>
    <m/>
    <n v="4970.2414810692699"/>
    <n v="318.47604005907385"/>
    <n v="0"/>
    <n v="2386.6336000000001"/>
    <n v="124.9508"/>
    <n v="0"/>
    <n v="2584.5255701560204"/>
    <n v="165.60754083071842"/>
  </r>
  <r>
    <s v="Regular"/>
    <x v="0"/>
    <x v="1"/>
    <x v="0"/>
    <x v="0"/>
    <x v="0"/>
    <x v="0"/>
    <x v="1"/>
    <x v="3"/>
    <n v="0"/>
    <n v="0"/>
    <n v="0.92800000000000005"/>
    <n v="0.92800000000000005"/>
    <n v="0.92800000000000005"/>
    <n v="0.92800000000000005"/>
    <n v="0"/>
    <x v="0"/>
    <n v="0"/>
    <n v="0"/>
    <n v="1"/>
    <n v="73"/>
    <n v="0"/>
    <n v="4589.68"/>
    <n v="240.29"/>
    <m/>
    <n v="4970.2414810692699"/>
    <n v="318.47604005907385"/>
    <n v="0"/>
    <n v="4259.2230400000008"/>
    <n v="222.98912000000001"/>
    <n v="0"/>
    <n v="4612.3840944322828"/>
    <n v="295.54576517482053"/>
  </r>
  <r>
    <s v="Regular"/>
    <x v="0"/>
    <x v="1"/>
    <x v="0"/>
    <x v="0"/>
    <x v="0"/>
    <x v="0"/>
    <x v="1"/>
    <x v="4"/>
    <n v="0"/>
    <n v="0"/>
    <n v="0.91800000000000004"/>
    <n v="0.91800000000000004"/>
    <n v="0.91800000000000004"/>
    <n v="0.91800000000000004"/>
    <n v="0"/>
    <x v="0"/>
    <n v="0"/>
    <n v="0"/>
    <n v="1"/>
    <n v="73"/>
    <n v="0"/>
    <n v="4589.68"/>
    <n v="240.29"/>
    <m/>
    <n v="4970.2414810692699"/>
    <n v="318.47604005907385"/>
    <n v="0"/>
    <n v="4213.3262400000003"/>
    <n v="220.58622"/>
    <n v="0"/>
    <n v="4562.6816796215899"/>
    <n v="292.3610047742298"/>
  </r>
  <r>
    <s v="Regular"/>
    <x v="0"/>
    <x v="1"/>
    <x v="0"/>
    <x v="0"/>
    <x v="0"/>
    <x v="0"/>
    <x v="1"/>
    <x v="5"/>
    <n v="0"/>
    <n v="0"/>
    <n v="0.85099999999999998"/>
    <n v="0.85099999999999998"/>
    <n v="0.85099999999999998"/>
    <n v="0.85099999999999998"/>
    <n v="0"/>
    <x v="0"/>
    <n v="0"/>
    <n v="0"/>
    <n v="1"/>
    <n v="73"/>
    <n v="0"/>
    <n v="4589.68"/>
    <n v="240.29"/>
    <m/>
    <n v="4970.2414810692699"/>
    <n v="318.47604005907385"/>
    <n v="0"/>
    <n v="3905.8176800000001"/>
    <n v="204.48678999999998"/>
    <n v="0"/>
    <n v="4229.6755003899489"/>
    <n v="271.02311009027181"/>
  </r>
  <r>
    <s v="Regular"/>
    <x v="0"/>
    <x v="1"/>
    <x v="0"/>
    <x v="0"/>
    <x v="0"/>
    <x v="0"/>
    <x v="1"/>
    <x v="6"/>
    <n v="0"/>
    <n v="0"/>
    <n v="0.47"/>
    <n v="0.47"/>
    <n v="0.47"/>
    <n v="0.47"/>
    <n v="0"/>
    <x v="0"/>
    <n v="0"/>
    <n v="0"/>
    <n v="1"/>
    <n v="73"/>
    <n v="0"/>
    <n v="4589.68"/>
    <n v="240.29"/>
    <m/>
    <n v="4970.2414810692699"/>
    <n v="318.47604005907385"/>
    <n v="0"/>
    <n v="2157.1496000000002"/>
    <n v="112.93629999999999"/>
    <n v="0"/>
    <n v="2336.0134961025569"/>
    <n v="149.6837388277647"/>
  </r>
  <r>
    <s v="Regular"/>
    <x v="0"/>
    <x v="1"/>
    <x v="0"/>
    <x v="0"/>
    <x v="0"/>
    <x v="0"/>
    <x v="1"/>
    <x v="7"/>
    <n v="0"/>
    <n v="0"/>
    <n v="0.434"/>
    <n v="0.434"/>
    <n v="0.434"/>
    <n v="0.434"/>
    <n v="0"/>
    <x v="0"/>
    <n v="0"/>
    <n v="0"/>
    <n v="1"/>
    <n v="73"/>
    <n v="0"/>
    <n v="4589.68"/>
    <n v="240.29"/>
    <m/>
    <n v="4970.2414810692699"/>
    <n v="318.47604005907385"/>
    <n v="0"/>
    <n v="1991.9211200000002"/>
    <n v="104.28586"/>
    <n v="0"/>
    <n v="2157.084802784063"/>
    <n v="138.21860138563804"/>
  </r>
  <r>
    <s v="Regular"/>
    <x v="0"/>
    <x v="1"/>
    <x v="0"/>
    <x v="0"/>
    <x v="0"/>
    <x v="0"/>
    <x v="1"/>
    <x v="8"/>
    <n v="0"/>
    <n v="0"/>
    <n v="0.77300000000000002"/>
    <n v="0.77300000000000002"/>
    <n v="0.77300000000000002"/>
    <n v="0.77300000000000002"/>
    <n v="0"/>
    <x v="0"/>
    <n v="0"/>
    <n v="0"/>
    <n v="1"/>
    <n v="73"/>
    <n v="0"/>
    <n v="4589.68"/>
    <n v="240.29"/>
    <m/>
    <n v="4970.2414810692699"/>
    <n v="318.47604005907385"/>
    <n v="0"/>
    <n v="3547.8226400000003"/>
    <n v="185.74417"/>
    <n v="0"/>
    <n v="3841.9966648665459"/>
    <n v="246.18197896566409"/>
  </r>
  <r>
    <s v="Regular"/>
    <x v="0"/>
    <x v="1"/>
    <x v="0"/>
    <x v="0"/>
    <x v="0"/>
    <x v="0"/>
    <x v="1"/>
    <x v="9"/>
    <n v="0"/>
    <n v="0"/>
    <n v="1.2210000000000001"/>
    <n v="1.2210000000000001"/>
    <n v="1.2210000000000001"/>
    <n v="1.2210000000000001"/>
    <n v="0"/>
    <x v="0"/>
    <n v="0"/>
    <n v="0"/>
    <n v="1"/>
    <n v="73"/>
    <n v="0"/>
    <n v="4589.68"/>
    <n v="240.29"/>
    <m/>
    <n v="4970.2414810692699"/>
    <n v="318.47604005907385"/>
    <n v="0"/>
    <n v="5603.9992800000009"/>
    <n v="293.39409000000001"/>
    <n v="0"/>
    <n v="6068.6648483855788"/>
    <n v="388.85924491212921"/>
  </r>
  <r>
    <s v="Regular"/>
    <x v="0"/>
    <x v="1"/>
    <x v="0"/>
    <x v="0"/>
    <x v="0"/>
    <x v="0"/>
    <x v="1"/>
    <x v="10"/>
    <n v="0"/>
    <n v="0"/>
    <n v="0.82699999999999996"/>
    <n v="0.82699999999999996"/>
    <n v="0.82699999999999996"/>
    <n v="0.82699999999999996"/>
    <n v="0"/>
    <x v="0"/>
    <n v="0"/>
    <n v="0"/>
    <n v="1"/>
    <n v="73"/>
    <n v="0"/>
    <n v="4589.68"/>
    <n v="240.29"/>
    <m/>
    <n v="4970.2414810692699"/>
    <n v="318.47604005907385"/>
    <n v="0"/>
    <n v="3795.66536"/>
    <n v="198.71982999999997"/>
    <n v="0"/>
    <n v="4110.3897048442859"/>
    <n v="263.37968512885408"/>
  </r>
  <r>
    <s v="Regular"/>
    <x v="0"/>
    <x v="1"/>
    <x v="0"/>
    <x v="0"/>
    <x v="0"/>
    <x v="0"/>
    <x v="1"/>
    <x v="11"/>
    <n v="0"/>
    <n v="0"/>
    <n v="0.53800000000000003"/>
    <n v="0.53800000000000003"/>
    <n v="0.53800000000000003"/>
    <n v="0.53800000000000003"/>
    <n v="0"/>
    <x v="0"/>
    <n v="0"/>
    <n v="0"/>
    <n v="1"/>
    <n v="73"/>
    <n v="0"/>
    <n v="4589.68"/>
    <n v="240.29"/>
    <m/>
    <n v="4970.2414810692699"/>
    <n v="318.47604005907385"/>
    <n v="0"/>
    <n v="2469.2478400000005"/>
    <n v="129.27602000000002"/>
    <n v="0"/>
    <n v="2673.9899168152674"/>
    <n v="171.34010955178175"/>
  </r>
  <r>
    <s v="Regular"/>
    <x v="0"/>
    <x v="1"/>
    <x v="1"/>
    <x v="0"/>
    <x v="0"/>
    <x v="0"/>
    <x v="0"/>
    <x v="0"/>
    <n v="0"/>
    <n v="0"/>
    <n v="91.784999999999997"/>
    <n v="91.784999999999997"/>
    <n v="91.784999999999997"/>
    <n v="91.784999999999997"/>
    <n v="0"/>
    <x v="0"/>
    <n v="0"/>
    <n v="0"/>
    <n v="2"/>
    <n v="74"/>
    <n v="0"/>
    <n v="93.48"/>
    <n v="240.29"/>
    <m/>
    <n v="116.98708637317603"/>
    <n v="318.47604005907385"/>
    <n v="0"/>
    <n v="8580.0617999999995"/>
    <n v="22055.017649999998"/>
    <n v="0"/>
    <n v="10737.65972276196"/>
    <n v="29231.323336822094"/>
  </r>
  <r>
    <s v="Regular"/>
    <x v="0"/>
    <x v="1"/>
    <x v="1"/>
    <x v="0"/>
    <x v="0"/>
    <x v="0"/>
    <x v="0"/>
    <x v="1"/>
    <n v="0"/>
    <n v="0"/>
    <n v="121.20399999999999"/>
    <n v="121.20399999999999"/>
    <n v="121.20399999999999"/>
    <n v="121.20399999999999"/>
    <n v="0"/>
    <x v="0"/>
    <n v="0"/>
    <n v="0"/>
    <n v="2"/>
    <n v="74"/>
    <n v="0"/>
    <n v="93.48"/>
    <n v="240.29"/>
    <m/>
    <n v="116.98708637317603"/>
    <n v="318.47604005907385"/>
    <n v="0"/>
    <n v="11330.14992"/>
    <n v="29124.109159999996"/>
    <n v="0"/>
    <n v="14179.302816774427"/>
    <n v="38600.569959319982"/>
  </r>
  <r>
    <s v="Regular"/>
    <x v="0"/>
    <x v="1"/>
    <x v="1"/>
    <x v="0"/>
    <x v="0"/>
    <x v="0"/>
    <x v="0"/>
    <x v="2"/>
    <n v="0"/>
    <n v="0"/>
    <n v="87.236999999999995"/>
    <n v="87.236999999999995"/>
    <n v="87.236999999999995"/>
    <n v="87.236999999999995"/>
    <n v="0"/>
    <x v="0"/>
    <n v="0"/>
    <n v="0"/>
    <n v="2"/>
    <n v="74"/>
    <n v="0"/>
    <n v="93.48"/>
    <n v="240.29"/>
    <m/>
    <n v="116.98708637317603"/>
    <n v="318.47604005907385"/>
    <n v="0"/>
    <n v="8154.9147599999997"/>
    <n v="20962.17873"/>
    <n v="0"/>
    <n v="10205.602453936757"/>
    <n v="27782.894306633425"/>
  </r>
  <r>
    <s v="Regular"/>
    <x v="0"/>
    <x v="1"/>
    <x v="1"/>
    <x v="0"/>
    <x v="0"/>
    <x v="0"/>
    <x v="0"/>
    <x v="3"/>
    <n v="0"/>
    <n v="0"/>
    <n v="103.90900000000001"/>
    <n v="103.90900000000001"/>
    <n v="103.90900000000001"/>
    <n v="103.90900000000001"/>
    <n v="0"/>
    <x v="0"/>
    <n v="0"/>
    <n v="0"/>
    <n v="2"/>
    <n v="74"/>
    <n v="0"/>
    <n v="93.48"/>
    <n v="240.29"/>
    <m/>
    <n v="116.98708637317603"/>
    <n v="318.47604005907385"/>
    <n v="0"/>
    <n v="9713.4133200000015"/>
    <n v="24968.293610000001"/>
    <n v="0"/>
    <n v="12156.011157950348"/>
    <n v="33092.526846498309"/>
  </r>
  <r>
    <s v="Regular"/>
    <x v="0"/>
    <x v="1"/>
    <x v="1"/>
    <x v="0"/>
    <x v="0"/>
    <x v="0"/>
    <x v="0"/>
    <x v="4"/>
    <n v="0"/>
    <n v="0"/>
    <n v="40.93"/>
    <n v="40.93"/>
    <n v="40.93"/>
    <n v="40.93"/>
    <n v="0"/>
    <x v="0"/>
    <n v="0"/>
    <n v="0"/>
    <n v="2"/>
    <n v="74"/>
    <n v="0"/>
    <n v="93.48"/>
    <n v="240.29"/>
    <m/>
    <n v="116.98708637317603"/>
    <n v="318.47604005907385"/>
    <n v="0"/>
    <n v="3826.1364000000003"/>
    <n v="9835.0697"/>
    <n v="0"/>
    <n v="4788.2814452540952"/>
    <n v="13035.224319617893"/>
  </r>
  <r>
    <s v="Regular"/>
    <x v="0"/>
    <x v="1"/>
    <x v="1"/>
    <x v="0"/>
    <x v="0"/>
    <x v="0"/>
    <x v="0"/>
    <x v="5"/>
    <n v="0"/>
    <n v="0"/>
    <n v="47.845999999999997"/>
    <n v="47.845999999999997"/>
    <n v="47.845999999999997"/>
    <n v="47.845999999999997"/>
    <n v="0"/>
    <x v="0"/>
    <n v="0"/>
    <n v="0"/>
    <n v="2"/>
    <n v="74"/>
    <n v="0"/>
    <n v="93.48"/>
    <n v="240.29"/>
    <m/>
    <n v="116.98708637317603"/>
    <n v="318.47604005907385"/>
    <n v="0"/>
    <n v="4472.64408"/>
    <n v="11496.91534"/>
    <n v="0"/>
    <n v="5597.3641346109798"/>
    <n v="15237.804612666447"/>
  </r>
  <r>
    <s v="Regular"/>
    <x v="0"/>
    <x v="1"/>
    <x v="1"/>
    <x v="0"/>
    <x v="0"/>
    <x v="0"/>
    <x v="0"/>
    <x v="6"/>
    <n v="0"/>
    <n v="0"/>
    <n v="99.957999999999998"/>
    <n v="99.957999999999998"/>
    <n v="99.957999999999998"/>
    <n v="99.957999999999998"/>
    <n v="0"/>
    <x v="0"/>
    <n v="0"/>
    <n v="0"/>
    <n v="2"/>
    <n v="74"/>
    <n v="0"/>
    <n v="93.48"/>
    <n v="240.29"/>
    <m/>
    <n v="116.98708637317603"/>
    <n v="318.47604005907385"/>
    <n v="0"/>
    <n v="9344.0738400000009"/>
    <n v="24018.90782"/>
    <n v="0"/>
    <n v="11693.795179689929"/>
    <n v="31834.228012224903"/>
  </r>
  <r>
    <s v="Regular"/>
    <x v="0"/>
    <x v="1"/>
    <x v="1"/>
    <x v="0"/>
    <x v="0"/>
    <x v="0"/>
    <x v="0"/>
    <x v="7"/>
    <n v="0"/>
    <n v="0"/>
    <n v="119.455"/>
    <n v="119.455"/>
    <n v="119.455"/>
    <n v="119.455"/>
    <n v="0"/>
    <x v="0"/>
    <n v="0"/>
    <n v="0"/>
    <n v="2"/>
    <n v="74"/>
    <n v="0"/>
    <n v="93.48"/>
    <n v="240.29"/>
    <m/>
    <n v="116.98708637317603"/>
    <n v="318.47604005907385"/>
    <n v="0"/>
    <n v="11166.653400000001"/>
    <n v="28703.841949999998"/>
    <n v="0"/>
    <n v="13974.692402707742"/>
    <n v="38043.555365256667"/>
  </r>
  <r>
    <s v="Regular"/>
    <x v="0"/>
    <x v="1"/>
    <x v="1"/>
    <x v="0"/>
    <x v="0"/>
    <x v="0"/>
    <x v="0"/>
    <x v="8"/>
    <n v="0"/>
    <n v="0"/>
    <n v="122.976"/>
    <n v="122.976"/>
    <n v="122.976"/>
    <n v="122.976"/>
    <n v="0"/>
    <x v="0"/>
    <n v="0"/>
    <n v="0"/>
    <n v="2"/>
    <n v="74"/>
    <n v="0"/>
    <n v="93.48"/>
    <n v="240.29"/>
    <m/>
    <n v="116.98708637317603"/>
    <n v="318.47604005907385"/>
    <n v="0"/>
    <n v="11495.796480000001"/>
    <n v="29549.903039999997"/>
    <n v="0"/>
    <n v="14386.603933827695"/>
    <n v="39164.909502304668"/>
  </r>
  <r>
    <s v="Regular"/>
    <x v="0"/>
    <x v="1"/>
    <x v="1"/>
    <x v="0"/>
    <x v="0"/>
    <x v="0"/>
    <x v="0"/>
    <x v="9"/>
    <n v="0"/>
    <n v="0"/>
    <n v="135.27600000000001"/>
    <n v="135.27600000000001"/>
    <n v="135.27600000000001"/>
    <n v="135.27600000000001"/>
    <n v="0"/>
    <x v="0"/>
    <n v="0"/>
    <n v="0"/>
    <n v="2"/>
    <n v="74"/>
    <n v="0"/>
    <n v="93.48"/>
    <n v="240.29"/>
    <m/>
    <n v="116.98708637317603"/>
    <n v="318.47604005907385"/>
    <n v="0"/>
    <n v="12645.600480000001"/>
    <n v="32505.47004"/>
    <n v="0"/>
    <n v="15825.545096217762"/>
    <n v="43082.164795031276"/>
  </r>
  <r>
    <s v="Regular"/>
    <x v="0"/>
    <x v="1"/>
    <x v="1"/>
    <x v="0"/>
    <x v="0"/>
    <x v="0"/>
    <x v="0"/>
    <x v="10"/>
    <n v="0"/>
    <n v="0"/>
    <n v="128.61000000000001"/>
    <n v="128.61000000000001"/>
    <n v="128.61000000000001"/>
    <n v="128.61000000000001"/>
    <n v="0"/>
    <x v="0"/>
    <n v="0"/>
    <n v="0"/>
    <n v="2"/>
    <n v="74"/>
    <n v="0"/>
    <n v="93.48"/>
    <n v="240.29"/>
    <m/>
    <n v="116.98708637317603"/>
    <n v="318.47604005907385"/>
    <n v="0"/>
    <n v="12022.462800000001"/>
    <n v="30903.696900000003"/>
    <n v="0"/>
    <n v="15045.70917845417"/>
    <n v="40959.20351199749"/>
  </r>
  <r>
    <s v="Regular"/>
    <x v="0"/>
    <x v="1"/>
    <x v="1"/>
    <x v="0"/>
    <x v="0"/>
    <x v="0"/>
    <x v="0"/>
    <x v="11"/>
    <n v="0"/>
    <n v="0"/>
    <n v="176.80199999999999"/>
    <n v="176.80199999999999"/>
    <n v="176.80199999999999"/>
    <n v="176.80199999999999"/>
    <n v="0"/>
    <x v="0"/>
    <n v="0"/>
    <n v="0"/>
    <n v="2"/>
    <n v="74"/>
    <n v="0"/>
    <n v="93.48"/>
    <n v="240.29"/>
    <m/>
    <n v="116.98708637317603"/>
    <n v="318.47604005907385"/>
    <n v="0"/>
    <n v="16527.450959999998"/>
    <n v="42483.75258"/>
    <n v="0"/>
    <n v="20683.550844950267"/>
    <n v="56307.200834524374"/>
  </r>
  <r>
    <s v="Regular"/>
    <x v="0"/>
    <x v="1"/>
    <x v="1"/>
    <x v="0"/>
    <x v="0"/>
    <x v="0"/>
    <x v="2"/>
    <x v="0"/>
    <n v="935"/>
    <n v="935"/>
    <n v="0"/>
    <n v="0"/>
    <n v="0"/>
    <n v="0"/>
    <n v="2"/>
    <x v="0"/>
    <n v="0"/>
    <n v="50"/>
    <n v="0"/>
    <n v="0"/>
    <n v="74.41"/>
    <n v="0"/>
    <n v="0"/>
    <n v="79.663522858077684"/>
    <m/>
    <m/>
    <n v="69573.349999999991"/>
    <n v="0"/>
    <n v="0"/>
    <n v="74485.393872302637"/>
    <n v="0"/>
    <n v="0"/>
  </r>
  <r>
    <s v="Regular"/>
    <x v="0"/>
    <x v="1"/>
    <x v="1"/>
    <x v="0"/>
    <x v="0"/>
    <x v="0"/>
    <x v="2"/>
    <x v="1"/>
    <n v="964"/>
    <n v="964"/>
    <n v="0"/>
    <n v="0"/>
    <n v="0"/>
    <n v="0"/>
    <n v="2"/>
    <x v="0"/>
    <n v="0"/>
    <n v="50"/>
    <n v="0"/>
    <n v="0"/>
    <n v="74.41"/>
    <n v="0"/>
    <n v="0"/>
    <n v="79.663522858077684"/>
    <m/>
    <m/>
    <n v="71731.239999999991"/>
    <n v="0"/>
    <n v="0"/>
    <n v="76795.636035186893"/>
    <n v="0"/>
    <n v="0"/>
  </r>
  <r>
    <s v="Regular"/>
    <x v="0"/>
    <x v="1"/>
    <x v="1"/>
    <x v="0"/>
    <x v="0"/>
    <x v="0"/>
    <x v="2"/>
    <x v="2"/>
    <n v="946"/>
    <n v="946"/>
    <n v="0"/>
    <n v="0"/>
    <n v="0"/>
    <n v="0"/>
    <n v="2"/>
    <x v="0"/>
    <n v="0"/>
    <n v="50"/>
    <n v="0"/>
    <n v="0"/>
    <n v="74.41"/>
    <n v="0"/>
    <n v="0"/>
    <n v="79.663522858077684"/>
    <m/>
    <m/>
    <n v="70391.86"/>
    <n v="0"/>
    <n v="0"/>
    <n v="75361.692623741488"/>
    <n v="0"/>
    <n v="0"/>
  </r>
  <r>
    <s v="Regular"/>
    <x v="0"/>
    <x v="1"/>
    <x v="1"/>
    <x v="0"/>
    <x v="0"/>
    <x v="0"/>
    <x v="2"/>
    <x v="3"/>
    <n v="954"/>
    <n v="954"/>
    <n v="0"/>
    <n v="0"/>
    <n v="0"/>
    <n v="0"/>
    <n v="2"/>
    <x v="0"/>
    <n v="0"/>
    <n v="50"/>
    <n v="0"/>
    <n v="0"/>
    <n v="74.41"/>
    <n v="0"/>
    <n v="0"/>
    <n v="79.663522858077684"/>
    <m/>
    <m/>
    <n v="70987.14"/>
    <n v="0"/>
    <n v="0"/>
    <n v="75999.000806606113"/>
    <n v="0"/>
    <n v="0"/>
  </r>
  <r>
    <s v="Regular"/>
    <x v="0"/>
    <x v="1"/>
    <x v="1"/>
    <x v="0"/>
    <x v="0"/>
    <x v="0"/>
    <x v="2"/>
    <x v="4"/>
    <n v="935"/>
    <n v="935"/>
    <n v="0"/>
    <n v="0"/>
    <n v="0"/>
    <n v="0"/>
    <n v="2"/>
    <x v="0"/>
    <n v="0"/>
    <n v="50"/>
    <n v="0"/>
    <n v="0"/>
    <n v="74.41"/>
    <n v="0"/>
    <n v="0"/>
    <n v="79.663522858077684"/>
    <m/>
    <m/>
    <n v="69573.349999999991"/>
    <n v="0"/>
    <n v="0"/>
    <n v="74485.393872302637"/>
    <n v="0"/>
    <n v="0"/>
  </r>
  <r>
    <s v="Regular"/>
    <x v="0"/>
    <x v="1"/>
    <x v="1"/>
    <x v="0"/>
    <x v="0"/>
    <x v="0"/>
    <x v="2"/>
    <x v="5"/>
    <n v="935"/>
    <n v="935"/>
    <n v="0"/>
    <n v="0"/>
    <n v="0"/>
    <n v="0"/>
    <n v="2"/>
    <x v="0"/>
    <n v="0"/>
    <n v="50"/>
    <n v="0"/>
    <n v="0"/>
    <n v="74.41"/>
    <n v="0"/>
    <n v="0"/>
    <n v="79.663522858077684"/>
    <m/>
    <m/>
    <n v="69573.349999999991"/>
    <n v="0"/>
    <n v="0"/>
    <n v="74485.393872302637"/>
    <n v="0"/>
    <n v="0"/>
  </r>
  <r>
    <s v="Regular"/>
    <x v="0"/>
    <x v="1"/>
    <x v="1"/>
    <x v="0"/>
    <x v="0"/>
    <x v="0"/>
    <x v="2"/>
    <x v="6"/>
    <n v="935"/>
    <n v="935"/>
    <n v="0"/>
    <n v="0"/>
    <n v="0"/>
    <n v="0"/>
    <n v="2"/>
    <x v="0"/>
    <n v="0"/>
    <n v="50"/>
    <n v="0"/>
    <n v="0"/>
    <n v="74.41"/>
    <n v="0"/>
    <n v="0"/>
    <n v="79.663522858077684"/>
    <m/>
    <m/>
    <n v="69573.349999999991"/>
    <n v="0"/>
    <n v="0"/>
    <n v="74485.393872302637"/>
    <n v="0"/>
    <n v="0"/>
  </r>
  <r>
    <s v="Regular"/>
    <x v="0"/>
    <x v="1"/>
    <x v="1"/>
    <x v="0"/>
    <x v="0"/>
    <x v="0"/>
    <x v="2"/>
    <x v="7"/>
    <n v="935"/>
    <n v="935"/>
    <n v="0"/>
    <n v="0"/>
    <n v="0"/>
    <n v="0"/>
    <n v="2"/>
    <x v="0"/>
    <n v="0"/>
    <n v="50"/>
    <n v="0"/>
    <n v="0"/>
    <n v="74.41"/>
    <n v="0"/>
    <n v="0"/>
    <n v="79.663522858077684"/>
    <m/>
    <m/>
    <n v="69573.349999999991"/>
    <n v="0"/>
    <n v="0"/>
    <n v="74485.393872302637"/>
    <n v="0"/>
    <n v="0"/>
  </r>
  <r>
    <s v="Regular"/>
    <x v="0"/>
    <x v="1"/>
    <x v="1"/>
    <x v="0"/>
    <x v="0"/>
    <x v="0"/>
    <x v="2"/>
    <x v="8"/>
    <n v="935"/>
    <n v="935"/>
    <n v="0"/>
    <n v="0"/>
    <n v="0"/>
    <n v="0"/>
    <n v="2"/>
    <x v="0"/>
    <n v="0"/>
    <n v="50"/>
    <n v="0"/>
    <n v="0"/>
    <n v="74.41"/>
    <n v="0"/>
    <n v="0"/>
    <n v="79.663522858077684"/>
    <m/>
    <m/>
    <n v="69573.349999999991"/>
    <n v="0"/>
    <n v="0"/>
    <n v="74485.393872302637"/>
    <n v="0"/>
    <n v="0"/>
  </r>
  <r>
    <s v="Regular"/>
    <x v="0"/>
    <x v="1"/>
    <x v="1"/>
    <x v="0"/>
    <x v="0"/>
    <x v="0"/>
    <x v="2"/>
    <x v="9"/>
    <n v="935"/>
    <n v="935"/>
    <n v="0"/>
    <n v="0"/>
    <n v="0"/>
    <n v="0"/>
    <n v="2"/>
    <x v="0"/>
    <n v="0"/>
    <n v="50"/>
    <n v="0"/>
    <n v="0"/>
    <n v="74.41"/>
    <n v="0"/>
    <n v="0"/>
    <n v="79.663522858077684"/>
    <m/>
    <m/>
    <n v="69573.349999999991"/>
    <n v="0"/>
    <n v="0"/>
    <n v="74485.393872302637"/>
    <n v="0"/>
    <n v="0"/>
  </r>
  <r>
    <s v="Regular"/>
    <x v="0"/>
    <x v="1"/>
    <x v="1"/>
    <x v="0"/>
    <x v="0"/>
    <x v="0"/>
    <x v="2"/>
    <x v="10"/>
    <n v="985"/>
    <n v="985"/>
    <n v="0"/>
    <n v="0"/>
    <n v="0"/>
    <n v="0"/>
    <n v="2"/>
    <x v="0"/>
    <n v="0"/>
    <n v="50"/>
    <n v="0"/>
    <n v="0"/>
    <n v="74.41"/>
    <n v="0"/>
    <n v="0"/>
    <n v="79.663522858077684"/>
    <m/>
    <m/>
    <n v="73293.849999999991"/>
    <n v="0"/>
    <n v="0"/>
    <n v="78468.570015206526"/>
    <n v="0"/>
    <n v="0"/>
  </r>
  <r>
    <s v="Regular"/>
    <x v="0"/>
    <x v="1"/>
    <x v="1"/>
    <x v="0"/>
    <x v="0"/>
    <x v="0"/>
    <x v="2"/>
    <x v="11"/>
    <n v="1070"/>
    <n v="1070"/>
    <n v="0"/>
    <n v="0"/>
    <n v="0"/>
    <n v="0"/>
    <n v="2"/>
    <x v="0"/>
    <n v="0"/>
    <n v="50"/>
    <n v="0"/>
    <n v="0"/>
    <n v="74.41"/>
    <n v="0"/>
    <n v="0"/>
    <n v="79.663522858077684"/>
    <m/>
    <m/>
    <n v="79618.7"/>
    <n v="0"/>
    <n v="0"/>
    <n v="85239.969458143125"/>
    <n v="0"/>
    <n v="0"/>
  </r>
  <r>
    <s v="Regular"/>
    <x v="0"/>
    <x v="1"/>
    <x v="1"/>
    <x v="0"/>
    <x v="0"/>
    <x v="0"/>
    <x v="1"/>
    <x v="0"/>
    <n v="0"/>
    <n v="0"/>
    <n v="1.2130000000000001"/>
    <n v="1.2130000000000001"/>
    <n v="1.2130000000000001"/>
    <n v="1.2130000000000001"/>
    <n v="0"/>
    <x v="0"/>
    <n v="0"/>
    <n v="0"/>
    <n v="1"/>
    <n v="73"/>
    <n v="0"/>
    <n v="4589.68"/>
    <n v="240.29"/>
    <m/>
    <n v="4970.2414810692699"/>
    <n v="318.47604005907385"/>
    <n v="0"/>
    <n v="5567.2818400000006"/>
    <n v="291.47176999999999"/>
    <n v="0"/>
    <n v="6028.9029165370248"/>
    <n v="386.31143659165662"/>
  </r>
  <r>
    <s v="Regular"/>
    <x v="0"/>
    <x v="1"/>
    <x v="1"/>
    <x v="0"/>
    <x v="0"/>
    <x v="0"/>
    <x v="1"/>
    <x v="1"/>
    <n v="0"/>
    <n v="0"/>
    <n v="1.2150000000000001"/>
    <n v="1.2150000000000001"/>
    <n v="1.2150000000000001"/>
    <n v="1.2150000000000001"/>
    <n v="0"/>
    <x v="0"/>
    <n v="0"/>
    <n v="0"/>
    <n v="1"/>
    <n v="73"/>
    <n v="0"/>
    <n v="4589.68"/>
    <n v="240.29"/>
    <m/>
    <n v="4970.2414810692699"/>
    <n v="318.47604005907385"/>
    <n v="0"/>
    <n v="5576.4612000000006"/>
    <n v="291.95235000000002"/>
    <n v="0"/>
    <n v="6038.8433994991628"/>
    <n v="386.94838867177475"/>
  </r>
  <r>
    <s v="Regular"/>
    <x v="0"/>
    <x v="1"/>
    <x v="1"/>
    <x v="0"/>
    <x v="0"/>
    <x v="0"/>
    <x v="1"/>
    <x v="2"/>
    <n v="0"/>
    <n v="0"/>
    <n v="1.212"/>
    <n v="1.212"/>
    <n v="1.212"/>
    <n v="1.212"/>
    <n v="0"/>
    <x v="0"/>
    <n v="0"/>
    <n v="0"/>
    <n v="1"/>
    <n v="73"/>
    <n v="0"/>
    <n v="4589.68"/>
    <n v="240.29"/>
    <m/>
    <n v="4970.2414810692699"/>
    <n v="318.47604005907385"/>
    <n v="0"/>
    <n v="5562.6921600000005"/>
    <n v="291.23147999999998"/>
    <n v="0"/>
    <n v="6023.9326750559549"/>
    <n v="385.99296055159749"/>
  </r>
  <r>
    <s v="Regular"/>
    <x v="0"/>
    <x v="1"/>
    <x v="1"/>
    <x v="0"/>
    <x v="0"/>
    <x v="0"/>
    <x v="1"/>
    <x v="3"/>
    <n v="0"/>
    <n v="0"/>
    <n v="1.1910000000000001"/>
    <n v="1.1910000000000001"/>
    <n v="1.1910000000000001"/>
    <n v="1.1910000000000001"/>
    <n v="0"/>
    <x v="0"/>
    <n v="0"/>
    <n v="0"/>
    <n v="1"/>
    <n v="73"/>
    <n v="0"/>
    <n v="4589.68"/>
    <n v="240.29"/>
    <m/>
    <n v="4970.2414810692699"/>
    <n v="318.47604005907385"/>
    <n v="0"/>
    <n v="5466.3088800000005"/>
    <n v="286.18538999999998"/>
    <n v="0"/>
    <n v="5919.5576039535008"/>
    <n v="379.30496371035696"/>
  </r>
  <r>
    <s v="Regular"/>
    <x v="0"/>
    <x v="1"/>
    <x v="1"/>
    <x v="0"/>
    <x v="0"/>
    <x v="0"/>
    <x v="1"/>
    <x v="4"/>
    <n v="0"/>
    <n v="0"/>
    <n v="1.133"/>
    <n v="1.133"/>
    <n v="1.133"/>
    <n v="1.133"/>
    <n v="0"/>
    <x v="0"/>
    <n v="0"/>
    <n v="0"/>
    <n v="1"/>
    <n v="73"/>
    <n v="0"/>
    <n v="4589.68"/>
    <n v="240.29"/>
    <m/>
    <n v="4970.2414810692699"/>
    <n v="318.47604005907385"/>
    <n v="0"/>
    <n v="5200.1074400000007"/>
    <n v="272.24856999999997"/>
    <n v="0"/>
    <n v="5631.2835980514828"/>
    <n v="360.8333533869307"/>
  </r>
  <r>
    <s v="Regular"/>
    <x v="0"/>
    <x v="1"/>
    <x v="1"/>
    <x v="0"/>
    <x v="0"/>
    <x v="0"/>
    <x v="1"/>
    <x v="5"/>
    <n v="0"/>
    <n v="0"/>
    <n v="1.0609999999999999"/>
    <n v="1.0609999999999999"/>
    <n v="1.0609999999999999"/>
    <n v="1.0609999999999999"/>
    <n v="0"/>
    <x v="0"/>
    <n v="0"/>
    <n v="0"/>
    <n v="1"/>
    <n v="73"/>
    <n v="0"/>
    <n v="4589.68"/>
    <n v="240.29"/>
    <m/>
    <n v="4970.2414810692699"/>
    <n v="318.47604005907385"/>
    <n v="0"/>
    <n v="4869.6504800000002"/>
    <n v="254.94768999999997"/>
    <n v="0"/>
    <n v="5273.4262114144949"/>
    <n v="337.90307850267732"/>
  </r>
  <r>
    <s v="Regular"/>
    <x v="0"/>
    <x v="1"/>
    <x v="1"/>
    <x v="0"/>
    <x v="0"/>
    <x v="0"/>
    <x v="1"/>
    <x v="6"/>
    <n v="0"/>
    <n v="0"/>
    <n v="0.94399999999999995"/>
    <n v="0.94399999999999995"/>
    <n v="0.94399999999999995"/>
    <n v="0.94399999999999995"/>
    <n v="0"/>
    <x v="0"/>
    <n v="0"/>
    <n v="0"/>
    <n v="1"/>
    <n v="73"/>
    <n v="0"/>
    <n v="4589.68"/>
    <n v="240.29"/>
    <m/>
    <n v="4970.2414810692699"/>
    <n v="318.47604005907385"/>
    <n v="0"/>
    <n v="4332.6579199999996"/>
    <n v="226.83375999999998"/>
    <n v="0"/>
    <n v="4691.9079581293909"/>
    <n v="300.64138181576573"/>
  </r>
  <r>
    <s v="Regular"/>
    <x v="0"/>
    <x v="1"/>
    <x v="1"/>
    <x v="0"/>
    <x v="0"/>
    <x v="0"/>
    <x v="1"/>
    <x v="7"/>
    <n v="0"/>
    <n v="0"/>
    <n v="1.024"/>
    <n v="1.024"/>
    <n v="1.024"/>
    <n v="1.024"/>
    <n v="0"/>
    <x v="0"/>
    <n v="0"/>
    <n v="0"/>
    <n v="1"/>
    <n v="73"/>
    <n v="0"/>
    <n v="4589.68"/>
    <n v="240.29"/>
    <m/>
    <n v="4970.2414810692699"/>
    <n v="318.47604005907385"/>
    <n v="0"/>
    <n v="4699.8323200000004"/>
    <n v="246.05696"/>
    <n v="0"/>
    <n v="5089.5272766149328"/>
    <n v="326.11946502049165"/>
  </r>
  <r>
    <s v="Regular"/>
    <x v="0"/>
    <x v="1"/>
    <x v="1"/>
    <x v="0"/>
    <x v="0"/>
    <x v="0"/>
    <x v="1"/>
    <x v="8"/>
    <n v="0"/>
    <n v="0"/>
    <n v="1.27"/>
    <n v="1.27"/>
    <n v="1.27"/>
    <n v="1.27"/>
    <n v="0"/>
    <x v="0"/>
    <n v="0"/>
    <n v="0"/>
    <n v="1"/>
    <n v="73"/>
    <n v="0"/>
    <n v="4589.68"/>
    <n v="240.29"/>
    <m/>
    <n v="4970.2414810692699"/>
    <n v="318.47604005907385"/>
    <n v="0"/>
    <n v="5828.8936000000003"/>
    <n v="305.16829999999999"/>
    <n v="0"/>
    <n v="6312.2066809579728"/>
    <n v="404.46457087502381"/>
  </r>
  <r>
    <s v="Regular"/>
    <x v="0"/>
    <x v="1"/>
    <x v="1"/>
    <x v="0"/>
    <x v="0"/>
    <x v="0"/>
    <x v="1"/>
    <x v="9"/>
    <n v="0"/>
    <n v="0"/>
    <n v="1.177"/>
    <n v="1.177"/>
    <n v="1.177"/>
    <n v="1.177"/>
    <n v="0"/>
    <x v="0"/>
    <n v="0"/>
    <n v="0"/>
    <n v="1"/>
    <n v="73"/>
    <n v="0"/>
    <n v="4589.68"/>
    <n v="240.29"/>
    <m/>
    <n v="4970.2414810692699"/>
    <n v="318.47604005907385"/>
    <n v="0"/>
    <n v="5402.0533600000008"/>
    <n v="282.82132999999999"/>
    <n v="0"/>
    <n v="5849.9742232185308"/>
    <n v="374.84629914952995"/>
  </r>
  <r>
    <s v="Regular"/>
    <x v="0"/>
    <x v="1"/>
    <x v="1"/>
    <x v="0"/>
    <x v="0"/>
    <x v="0"/>
    <x v="1"/>
    <x v="10"/>
    <n v="0"/>
    <n v="0"/>
    <n v="1.1479999999999999"/>
    <n v="1.1479999999999999"/>
    <n v="1.1479999999999999"/>
    <n v="1.1479999999999999"/>
    <n v="0"/>
    <x v="0"/>
    <n v="0"/>
    <n v="0"/>
    <n v="1"/>
    <n v="73"/>
    <n v="0"/>
    <n v="4589.68"/>
    <n v="240.29"/>
    <m/>
    <n v="4970.2414810692699"/>
    <n v="318.47604005907385"/>
    <n v="0"/>
    <n v="5268.9526399999995"/>
    <n v="275.85291999999998"/>
    <n v="0"/>
    <n v="5705.8372202675209"/>
    <n v="365.61049398781677"/>
  </r>
  <r>
    <s v="Regular"/>
    <x v="0"/>
    <x v="1"/>
    <x v="1"/>
    <x v="0"/>
    <x v="0"/>
    <x v="0"/>
    <x v="1"/>
    <x v="11"/>
    <n v="0"/>
    <n v="0"/>
    <n v="1.6879999999999999"/>
    <n v="1.6879999999999999"/>
    <n v="1.6879999999999999"/>
    <n v="1.6879999999999999"/>
    <n v="0"/>
    <x v="0"/>
    <n v="0"/>
    <n v="0"/>
    <n v="1"/>
    <n v="73"/>
    <n v="0"/>
    <n v="4589.68"/>
    <n v="240.29"/>
    <m/>
    <n v="4970.2414810692699"/>
    <n v="318.47604005907385"/>
    <n v="0"/>
    <n v="7747.3798400000005"/>
    <n v="405.60951999999997"/>
    <n v="0"/>
    <n v="8389.7676200449278"/>
    <n v="537.58755561971668"/>
  </r>
  <r>
    <s v="Regular"/>
    <x v="0"/>
    <x v="1"/>
    <x v="2"/>
    <x v="1"/>
    <x v="1"/>
    <x v="0"/>
    <x v="0"/>
    <x v="0"/>
    <n v="0"/>
    <n v="0"/>
    <n v="5.9349999999999996"/>
    <n v="1.7805"/>
    <n v="5.9349999999999996"/>
    <n v="1.7805"/>
    <n v="0"/>
    <x v="0"/>
    <n v="0"/>
    <n v="0"/>
    <n v="2"/>
    <n v="74"/>
    <n v="0"/>
    <n v="93.48"/>
    <n v="240.29"/>
    <m/>
    <n v="116.98708637317603"/>
    <n v="318.47604005907385"/>
    <n v="0"/>
    <n v="166.44114000000002"/>
    <n v="427.83634499999999"/>
    <n v="0"/>
    <n v="208.2955072874399"/>
    <n v="567.046589325181"/>
  </r>
  <r>
    <s v="Regular"/>
    <x v="0"/>
    <x v="1"/>
    <x v="2"/>
    <x v="1"/>
    <x v="1"/>
    <x v="0"/>
    <x v="0"/>
    <x v="1"/>
    <n v="0"/>
    <n v="0"/>
    <n v="2.78"/>
    <n v="0.83399999999999996"/>
    <n v="2.78"/>
    <n v="0.83399999999999996"/>
    <n v="0"/>
    <x v="0"/>
    <n v="0"/>
    <n v="0"/>
    <n v="2"/>
    <n v="74"/>
    <n v="0"/>
    <n v="93.48"/>
    <n v="240.29"/>
    <m/>
    <n v="116.98708637317603"/>
    <n v="318.47604005907385"/>
    <n v="0"/>
    <n v="77.962320000000005"/>
    <n v="200.40185999999997"/>
    <n v="0"/>
    <n v="97.567230035228803"/>
    <n v="265.60901740926761"/>
  </r>
  <r>
    <s v="Regular"/>
    <x v="0"/>
    <x v="1"/>
    <x v="2"/>
    <x v="1"/>
    <x v="1"/>
    <x v="0"/>
    <x v="0"/>
    <x v="2"/>
    <n v="0"/>
    <n v="0"/>
    <n v="5.0410000000000004"/>
    <n v="1.5123"/>
    <n v="5.0410000000000004"/>
    <n v="1.5123"/>
    <n v="0"/>
    <x v="0"/>
    <n v="0"/>
    <n v="0"/>
    <n v="2"/>
    <n v="74"/>
    <n v="0"/>
    <n v="93.48"/>
    <n v="240.29"/>
    <m/>
    <n v="116.98708637317603"/>
    <n v="318.47604005907385"/>
    <n v="0"/>
    <n v="141.36980400000002"/>
    <n v="363.39056699999998"/>
    <n v="0"/>
    <n v="176.91957072215411"/>
    <n v="481.6313153813374"/>
  </r>
  <r>
    <s v="Regular"/>
    <x v="0"/>
    <x v="1"/>
    <x v="2"/>
    <x v="1"/>
    <x v="1"/>
    <x v="0"/>
    <x v="0"/>
    <x v="3"/>
    <n v="0"/>
    <n v="0"/>
    <n v="13.784000000000001"/>
    <n v="4.1352000000000002"/>
    <n v="13.784000000000001"/>
    <n v="4.1352000000000002"/>
    <n v="0"/>
    <x v="0"/>
    <n v="0"/>
    <n v="0"/>
    <n v="2"/>
    <n v="74"/>
    <n v="0"/>
    <n v="93.48"/>
    <n v="240.29"/>
    <m/>
    <n v="116.98708637317603"/>
    <n v="318.47604005907385"/>
    <n v="0"/>
    <n v="386.55849600000005"/>
    <n v="993.64720799999998"/>
    <n v="0"/>
    <n v="483.76499957035753"/>
    <n v="1316.9621208522822"/>
  </r>
  <r>
    <s v="Regular"/>
    <x v="0"/>
    <x v="1"/>
    <x v="2"/>
    <x v="1"/>
    <x v="1"/>
    <x v="0"/>
    <x v="0"/>
    <x v="4"/>
    <n v="0"/>
    <n v="0"/>
    <n v="14.56"/>
    <n v="4.3680000000000003"/>
    <n v="14.56"/>
    <n v="4.3680000000000003"/>
    <n v="0"/>
    <x v="0"/>
    <n v="0"/>
    <n v="0"/>
    <n v="2"/>
    <n v="74"/>
    <n v="0"/>
    <n v="93.48"/>
    <n v="240.29"/>
    <m/>
    <n v="116.98708637317603"/>
    <n v="318.47604005907385"/>
    <n v="0"/>
    <n v="408.32064000000003"/>
    <n v="1049.58672"/>
    <n v="0"/>
    <n v="510.99959327803293"/>
    <n v="1391.1033429780348"/>
  </r>
  <r>
    <s v="Regular"/>
    <x v="0"/>
    <x v="1"/>
    <x v="2"/>
    <x v="1"/>
    <x v="1"/>
    <x v="0"/>
    <x v="0"/>
    <x v="5"/>
    <n v="0"/>
    <n v="0"/>
    <n v="13.875"/>
    <n v="4.1624999999999996"/>
    <n v="13.875"/>
    <n v="4.1624999999999996"/>
    <n v="0"/>
    <x v="0"/>
    <n v="0"/>
    <n v="0"/>
    <n v="2"/>
    <n v="74"/>
    <n v="0"/>
    <n v="93.48"/>
    <n v="240.29"/>
    <m/>
    <n v="116.98708637317603"/>
    <n v="318.47604005907385"/>
    <n v="0"/>
    <n v="389.1105"/>
    <n v="1000.2071249999999"/>
    <n v="0"/>
    <n v="486.95874702834516"/>
    <n v="1325.6565167458948"/>
  </r>
  <r>
    <s v="Regular"/>
    <x v="0"/>
    <x v="1"/>
    <x v="2"/>
    <x v="1"/>
    <x v="1"/>
    <x v="0"/>
    <x v="0"/>
    <x v="6"/>
    <n v="0"/>
    <n v="0"/>
    <n v="6.3449999999999998"/>
    <n v="1.9035"/>
    <n v="6.3449999999999998"/>
    <n v="1.9035"/>
    <n v="0"/>
    <x v="0"/>
    <n v="0"/>
    <n v="0"/>
    <n v="2"/>
    <n v="74"/>
    <n v="0"/>
    <n v="93.48"/>
    <n v="240.29"/>
    <m/>
    <n v="116.98708637317603"/>
    <n v="318.47604005907385"/>
    <n v="0"/>
    <n v="177.93917999999999"/>
    <n v="457.39201499999996"/>
    <n v="0"/>
    <n v="222.68491891134056"/>
    <n v="606.21914225244711"/>
  </r>
  <r>
    <s v="Regular"/>
    <x v="0"/>
    <x v="1"/>
    <x v="2"/>
    <x v="1"/>
    <x v="1"/>
    <x v="0"/>
    <x v="0"/>
    <x v="7"/>
    <n v="0"/>
    <n v="0"/>
    <n v="10.101000000000001"/>
    <n v="3.0303"/>
    <n v="10.101000000000001"/>
    <n v="3.0303"/>
    <n v="0"/>
    <x v="0"/>
    <n v="0"/>
    <n v="0"/>
    <n v="2"/>
    <n v="74"/>
    <n v="0"/>
    <n v="93.48"/>
    <n v="240.29"/>
    <m/>
    <n v="116.98708637317603"/>
    <n v="318.47604005907385"/>
    <n v="0"/>
    <n v="283.27244400000001"/>
    <n v="728.15078699999992"/>
    <n v="0"/>
    <n v="354.50596783663531"/>
    <n v="965.07794419101151"/>
  </r>
  <r>
    <s v="Regular"/>
    <x v="0"/>
    <x v="1"/>
    <x v="2"/>
    <x v="1"/>
    <x v="1"/>
    <x v="0"/>
    <x v="0"/>
    <x v="8"/>
    <n v="0"/>
    <n v="0"/>
    <n v="5.0709999999999997"/>
    <n v="1.5213000000000001"/>
    <n v="5.0709999999999997"/>
    <n v="1.5213000000000001"/>
    <n v="0"/>
    <x v="0"/>
    <n v="0"/>
    <n v="0"/>
    <n v="2"/>
    <n v="74"/>
    <n v="0"/>
    <n v="93.48"/>
    <n v="240.29"/>
    <m/>
    <n v="116.98708637317603"/>
    <n v="318.47604005907385"/>
    <n v="0"/>
    <n v="142.21112400000001"/>
    <n v="365.55317700000001"/>
    <n v="0"/>
    <n v="177.97245449951271"/>
    <n v="484.49759974186907"/>
  </r>
  <r>
    <s v="Regular"/>
    <x v="0"/>
    <x v="1"/>
    <x v="2"/>
    <x v="1"/>
    <x v="1"/>
    <x v="0"/>
    <x v="0"/>
    <x v="9"/>
    <n v="0"/>
    <n v="0"/>
    <n v="11.662000000000001"/>
    <n v="3.4986000000000002"/>
    <n v="11.662000000000001"/>
    <n v="3.4986000000000002"/>
    <n v="0"/>
    <x v="0"/>
    <n v="0"/>
    <n v="0"/>
    <n v="2"/>
    <n v="74"/>
    <n v="0"/>
    <n v="93.48"/>
    <n v="240.29"/>
    <m/>
    <n v="116.98708637317603"/>
    <n v="318.47604005907385"/>
    <n v="0"/>
    <n v="327.04912800000005"/>
    <n v="840.67859399999998"/>
    <n v="0"/>
    <n v="409.29102038519369"/>
    <n v="1114.2202737506759"/>
  </r>
  <r>
    <s v="Regular"/>
    <x v="0"/>
    <x v="1"/>
    <x v="2"/>
    <x v="1"/>
    <x v="1"/>
    <x v="0"/>
    <x v="0"/>
    <x v="10"/>
    <n v="0"/>
    <n v="0"/>
    <n v="3.1"/>
    <n v="0.93"/>
    <n v="3.1"/>
    <n v="0.93"/>
    <n v="0"/>
    <x v="0"/>
    <n v="0"/>
    <n v="0"/>
    <n v="2"/>
    <n v="74"/>
    <n v="0"/>
    <n v="93.48"/>
    <n v="240.29"/>
    <m/>
    <n v="116.98708637317603"/>
    <n v="318.47604005907385"/>
    <n v="0"/>
    <n v="86.936400000000006"/>
    <n v="223.46970000000002"/>
    <n v="0"/>
    <n v="108.79799032705371"/>
    <n v="296.18271725493872"/>
  </r>
  <r>
    <s v="Regular"/>
    <x v="0"/>
    <x v="1"/>
    <x v="2"/>
    <x v="1"/>
    <x v="1"/>
    <x v="0"/>
    <x v="0"/>
    <x v="11"/>
    <n v="0"/>
    <n v="0"/>
    <n v="33.869999999999997"/>
    <n v="10.161"/>
    <n v="33.869999999999997"/>
    <n v="10.161"/>
    <n v="0"/>
    <x v="0"/>
    <n v="0"/>
    <n v="0"/>
    <n v="2"/>
    <n v="74"/>
    <n v="0"/>
    <n v="93.48"/>
    <n v="240.29"/>
    <m/>
    <n v="116.98708637317603"/>
    <n v="318.47604005907385"/>
    <n v="0"/>
    <n v="949.85028"/>
    <n v="2441.5866899999996"/>
    <n v="0"/>
    <n v="1188.7057846378416"/>
    <n v="3236.0350430402491"/>
  </r>
  <r>
    <s v="Regular"/>
    <x v="0"/>
    <x v="1"/>
    <x v="2"/>
    <x v="1"/>
    <x v="0"/>
    <x v="0"/>
    <x v="0"/>
    <x v="0"/>
    <n v="0"/>
    <n v="0"/>
    <n v="9.7230000000000008"/>
    <n v="9.3340800000000002"/>
    <n v="9.7230000000000008"/>
    <n v="9.3340800000000002"/>
    <n v="0"/>
    <x v="0"/>
    <n v="0"/>
    <n v="0"/>
    <n v="2"/>
    <n v="74"/>
    <n v="0"/>
    <n v="93.48"/>
    <n v="240.29"/>
    <m/>
    <n v="116.98708637317603"/>
    <n v="318.47604005907385"/>
    <n v="0"/>
    <n v="872.5497984000001"/>
    <n v="2242.8860832"/>
    <n v="0"/>
    <n v="1091.966823174135"/>
    <n v="2972.6808359946003"/>
  </r>
  <r>
    <s v="Regular"/>
    <x v="0"/>
    <x v="1"/>
    <x v="2"/>
    <x v="1"/>
    <x v="0"/>
    <x v="0"/>
    <x v="0"/>
    <x v="1"/>
    <n v="0"/>
    <n v="0"/>
    <n v="5.8380000000000001"/>
    <n v="5.6044799999999997"/>
    <n v="5.8380000000000001"/>
    <n v="5.6044799999999997"/>
    <n v="0"/>
    <x v="0"/>
    <n v="0"/>
    <n v="0"/>
    <n v="2"/>
    <n v="74"/>
    <n v="0"/>
    <n v="93.48"/>
    <n v="240.29"/>
    <m/>
    <n v="116.98708637317603"/>
    <n v="318.47604005907385"/>
    <n v="0"/>
    <n v="523.90679039999998"/>
    <n v="1346.7004992"/>
    <n v="0"/>
    <n v="655.65178583673753"/>
    <n v="1784.8925969902782"/>
  </r>
  <r>
    <s v="Regular"/>
    <x v="0"/>
    <x v="1"/>
    <x v="2"/>
    <x v="1"/>
    <x v="0"/>
    <x v="0"/>
    <x v="0"/>
    <x v="2"/>
    <n v="0"/>
    <n v="0"/>
    <n v="11.494999999999999"/>
    <n v="11.0352"/>
    <n v="11.494999999999999"/>
    <n v="11.0352"/>
    <n v="0"/>
    <x v="0"/>
    <n v="0"/>
    <n v="0"/>
    <n v="2"/>
    <n v="74"/>
    <n v="0"/>
    <n v="93.48"/>
    <n v="240.29"/>
    <m/>
    <n v="116.98708637317603"/>
    <n v="318.47604005907385"/>
    <n v="0"/>
    <n v="1031.570496"/>
    <n v="2651.6482079999996"/>
    <n v="0"/>
    <n v="1290.9758955452721"/>
    <n v="3514.4467972598918"/>
  </r>
  <r>
    <s v="Regular"/>
    <x v="0"/>
    <x v="1"/>
    <x v="2"/>
    <x v="1"/>
    <x v="0"/>
    <x v="0"/>
    <x v="0"/>
    <x v="3"/>
    <n v="0"/>
    <n v="0"/>
    <n v="26.024999999999999"/>
    <n v="24.984000000000002"/>
    <n v="26.024999999999999"/>
    <n v="24.984000000000002"/>
    <n v="0"/>
    <x v="0"/>
    <n v="0"/>
    <n v="0"/>
    <n v="2"/>
    <n v="74"/>
    <n v="0"/>
    <n v="93.48"/>
    <n v="240.29"/>
    <m/>
    <n v="116.98708637317603"/>
    <n v="318.47604005907385"/>
    <n v="0"/>
    <n v="2335.5043200000005"/>
    <n v="6003.4053600000007"/>
    <n v="0"/>
    <n v="2922.8053659474299"/>
    <n v="7956.8053848359014"/>
  </r>
  <r>
    <s v="Regular"/>
    <x v="0"/>
    <x v="1"/>
    <x v="2"/>
    <x v="1"/>
    <x v="0"/>
    <x v="0"/>
    <x v="0"/>
    <x v="4"/>
    <n v="0"/>
    <n v="0"/>
    <n v="25.484999999999999"/>
    <n v="24.465599999999998"/>
    <n v="25.484999999999999"/>
    <n v="24.465599999999998"/>
    <n v="0"/>
    <x v="0"/>
    <n v="0"/>
    <n v="0"/>
    <n v="2"/>
    <n v="74"/>
    <n v="0"/>
    <n v="93.48"/>
    <n v="240.29"/>
    <m/>
    <n v="116.98708637317603"/>
    <n v="318.47604005907385"/>
    <n v="0"/>
    <n v="2287.0442880000001"/>
    <n v="5878.8390239999999"/>
    <n v="0"/>
    <n v="2862.1592603715753"/>
    <n v="7791.7074056692763"/>
  </r>
  <r>
    <s v="Regular"/>
    <x v="0"/>
    <x v="1"/>
    <x v="2"/>
    <x v="1"/>
    <x v="0"/>
    <x v="0"/>
    <x v="0"/>
    <x v="5"/>
    <n v="0"/>
    <n v="0"/>
    <n v="23.448"/>
    <n v="22.510079999999999"/>
    <n v="23.448"/>
    <n v="22.510079999999999"/>
    <n v="0"/>
    <x v="0"/>
    <n v="0"/>
    <n v="0"/>
    <n v="2"/>
    <n v="74"/>
    <n v="0"/>
    <n v="93.48"/>
    <n v="240.29"/>
    <m/>
    <n v="116.98708637317603"/>
    <n v="318.47604005907385"/>
    <n v="0"/>
    <n v="2104.2422784"/>
    <n v="5408.9471231999996"/>
    <n v="0"/>
    <n v="2633.3886732271021"/>
    <n v="7168.9211398129564"/>
  </r>
  <r>
    <s v="Regular"/>
    <x v="0"/>
    <x v="1"/>
    <x v="2"/>
    <x v="1"/>
    <x v="0"/>
    <x v="0"/>
    <x v="0"/>
    <x v="6"/>
    <n v="0"/>
    <n v="0"/>
    <n v="12.372999999999999"/>
    <n v="11.878080000000001"/>
    <n v="12.372999999999999"/>
    <n v="11.878080000000001"/>
    <n v="0"/>
    <x v="0"/>
    <n v="0"/>
    <n v="0"/>
    <n v="2"/>
    <n v="74"/>
    <n v="0"/>
    <n v="93.48"/>
    <n v="240.29"/>
    <m/>
    <n v="116.98708637317603"/>
    <n v="318.47604005907385"/>
    <n v="0"/>
    <n v="1110.3629184000001"/>
    <n v="2854.1838432"/>
    <n v="0"/>
    <n v="1389.5819709074947"/>
    <n v="3782.8838819048842"/>
  </r>
  <r>
    <s v="Regular"/>
    <x v="0"/>
    <x v="1"/>
    <x v="2"/>
    <x v="1"/>
    <x v="0"/>
    <x v="0"/>
    <x v="0"/>
    <x v="7"/>
    <n v="0"/>
    <n v="0"/>
    <n v="10.742000000000001"/>
    <n v="10.31232"/>
    <n v="10.742000000000001"/>
    <n v="10.31232"/>
    <n v="0"/>
    <x v="0"/>
    <n v="0"/>
    <n v="0"/>
    <n v="2"/>
    <n v="74"/>
    <n v="0"/>
    <n v="93.48"/>
    <n v="240.29"/>
    <m/>
    <n v="116.98708637317603"/>
    <n v="318.47604005907385"/>
    <n v="0"/>
    <n v="963.99567360000003"/>
    <n v="2477.9473727999998"/>
    <n v="0"/>
    <n v="1206.4082705478306"/>
    <n v="3284.2268374219884"/>
  </r>
  <r>
    <s v="Regular"/>
    <x v="0"/>
    <x v="1"/>
    <x v="2"/>
    <x v="1"/>
    <x v="0"/>
    <x v="0"/>
    <x v="0"/>
    <x v="8"/>
    <n v="0"/>
    <n v="0"/>
    <n v="7.7220000000000004"/>
    <n v="7.4131200000000002"/>
    <n v="7.7220000000000004"/>
    <n v="7.4131200000000002"/>
    <n v="0"/>
    <x v="0"/>
    <n v="0"/>
    <n v="0"/>
    <n v="2"/>
    <n v="74"/>
    <n v="0"/>
    <n v="93.48"/>
    <n v="240.29"/>
    <m/>
    <n v="116.98708637317603"/>
    <n v="318.47604005907385"/>
    <n v="0"/>
    <n v="692.97845760000007"/>
    <n v="1781.2986048"/>
    <n v="0"/>
    <n v="867.23930973471863"/>
    <n v="2360.9011020827215"/>
  </r>
  <r>
    <s v="Regular"/>
    <x v="0"/>
    <x v="1"/>
    <x v="2"/>
    <x v="1"/>
    <x v="0"/>
    <x v="0"/>
    <x v="0"/>
    <x v="9"/>
    <n v="0"/>
    <n v="0"/>
    <n v="13.231999999999999"/>
    <n v="12.702719999999999"/>
    <n v="13.231999999999999"/>
    <n v="12.702719999999999"/>
    <n v="0"/>
    <x v="0"/>
    <n v="0"/>
    <n v="0"/>
    <n v="2"/>
    <n v="74"/>
    <n v="0"/>
    <n v="93.48"/>
    <n v="240.29"/>
    <m/>
    <n v="116.98708637317603"/>
    <n v="318.47604005907385"/>
    <n v="0"/>
    <n v="1187.4502656"/>
    <n v="3052.3365887999998"/>
    <n v="0"/>
    <n v="1486.0542018142705"/>
    <n v="4045.5119635791984"/>
  </r>
  <r>
    <s v="Regular"/>
    <x v="0"/>
    <x v="1"/>
    <x v="2"/>
    <x v="1"/>
    <x v="0"/>
    <x v="0"/>
    <x v="0"/>
    <x v="10"/>
    <n v="0"/>
    <n v="0"/>
    <n v="8.24"/>
    <n v="7.9104000000000001"/>
    <n v="8.24"/>
    <n v="7.9104000000000001"/>
    <n v="0"/>
    <x v="0"/>
    <n v="0"/>
    <n v="0"/>
    <n v="2"/>
    <n v="74"/>
    <n v="0"/>
    <n v="93.48"/>
    <n v="240.29"/>
    <m/>
    <n v="116.98708637317603"/>
    <n v="318.47604005907385"/>
    <n v="0"/>
    <n v="739.46419200000003"/>
    <n v="1900.7900159999999"/>
    <n v="0"/>
    <n v="925.41464804637167"/>
    <n v="2519.2728672832977"/>
  </r>
  <r>
    <s v="Regular"/>
    <x v="0"/>
    <x v="1"/>
    <x v="2"/>
    <x v="1"/>
    <x v="0"/>
    <x v="0"/>
    <x v="0"/>
    <x v="11"/>
    <n v="0"/>
    <n v="0"/>
    <n v="38.784999999999997"/>
    <n v="37.233600000000003"/>
    <n v="38.784999999999997"/>
    <n v="37.233600000000003"/>
    <n v="0"/>
    <x v="0"/>
    <n v="0"/>
    <n v="0"/>
    <n v="2"/>
    <n v="74"/>
    <n v="0"/>
    <n v="93.48"/>
    <n v="240.29"/>
    <m/>
    <n v="116.98708637317603"/>
    <n v="318.47604005907385"/>
    <n v="0"/>
    <n v="3480.5969280000004"/>
    <n v="8946.8617439999998"/>
    <n v="0"/>
    <n v="4355.8503791842868"/>
    <n v="11858.009485143533"/>
  </r>
  <r>
    <s v="Regular"/>
    <x v="0"/>
    <x v="1"/>
    <x v="2"/>
    <x v="1"/>
    <x v="0"/>
    <x v="0"/>
    <x v="2"/>
    <x v="0"/>
    <n v="217"/>
    <n v="208.32"/>
    <n v="0"/>
    <n v="0"/>
    <n v="0"/>
    <n v="0"/>
    <n v="2"/>
    <x v="0"/>
    <n v="0"/>
    <n v="50"/>
    <n v="0"/>
    <n v="0"/>
    <n v="74.41"/>
    <n v="0"/>
    <n v="0"/>
    <n v="79.663522858077684"/>
    <m/>
    <m/>
    <n v="15501.091199999999"/>
    <n v="0"/>
    <n v="0"/>
    <n v="16595.505081794741"/>
    <n v="0"/>
    <n v="0"/>
  </r>
  <r>
    <s v="Regular"/>
    <x v="0"/>
    <x v="1"/>
    <x v="2"/>
    <x v="1"/>
    <x v="0"/>
    <x v="0"/>
    <x v="2"/>
    <x v="1"/>
    <n v="226"/>
    <n v="216.96"/>
    <n v="0"/>
    <n v="0"/>
    <n v="0"/>
    <n v="0"/>
    <n v="2"/>
    <x v="0"/>
    <n v="0"/>
    <n v="50"/>
    <n v="0"/>
    <n v="0"/>
    <n v="74.41"/>
    <n v="0"/>
    <n v="0"/>
    <n v="79.663522858077684"/>
    <m/>
    <m/>
    <n v="16143.9936"/>
    <n v="0"/>
    <n v="0"/>
    <n v="17283.797919288536"/>
    <n v="0"/>
    <n v="0"/>
  </r>
  <r>
    <s v="Regular"/>
    <x v="0"/>
    <x v="1"/>
    <x v="2"/>
    <x v="1"/>
    <x v="0"/>
    <x v="0"/>
    <x v="2"/>
    <x v="2"/>
    <n v="224"/>
    <n v="215.04"/>
    <n v="0"/>
    <n v="0"/>
    <n v="0"/>
    <n v="0"/>
    <n v="2"/>
    <x v="0"/>
    <n v="0"/>
    <n v="50"/>
    <n v="0"/>
    <n v="0"/>
    <n v="74.41"/>
    <n v="0"/>
    <n v="0"/>
    <n v="79.663522858077684"/>
    <m/>
    <m/>
    <n v="16001.126399999999"/>
    <n v="0"/>
    <n v="0"/>
    <n v="17130.843955401026"/>
    <n v="0"/>
    <n v="0"/>
  </r>
  <r>
    <s v="Regular"/>
    <x v="0"/>
    <x v="1"/>
    <x v="2"/>
    <x v="1"/>
    <x v="0"/>
    <x v="0"/>
    <x v="2"/>
    <x v="3"/>
    <n v="230"/>
    <n v="220.8"/>
    <n v="0"/>
    <n v="0"/>
    <n v="0"/>
    <n v="0"/>
    <n v="2"/>
    <x v="0"/>
    <n v="0"/>
    <n v="50"/>
    <n v="0"/>
    <n v="0"/>
    <n v="74.41"/>
    <n v="0"/>
    <n v="0"/>
    <n v="79.663522858077684"/>
    <m/>
    <m/>
    <n v="16429.727999999999"/>
    <n v="0"/>
    <n v="0"/>
    <n v="17589.705847063553"/>
    <n v="0"/>
    <n v="0"/>
  </r>
  <r>
    <s v="Regular"/>
    <x v="0"/>
    <x v="1"/>
    <x v="2"/>
    <x v="1"/>
    <x v="0"/>
    <x v="0"/>
    <x v="2"/>
    <x v="4"/>
    <n v="272"/>
    <n v="261.12"/>
    <n v="0"/>
    <n v="0"/>
    <n v="0"/>
    <n v="0"/>
    <n v="2"/>
    <x v="0"/>
    <n v="0"/>
    <n v="50"/>
    <n v="0"/>
    <n v="0"/>
    <n v="74.41"/>
    <n v="0"/>
    <n v="0"/>
    <n v="79.663522858077684"/>
    <m/>
    <m/>
    <n v="19429.939200000001"/>
    <n v="0"/>
    <n v="0"/>
    <n v="20801.739088701244"/>
    <n v="0"/>
    <n v="0"/>
  </r>
  <r>
    <s v="Regular"/>
    <x v="0"/>
    <x v="1"/>
    <x v="2"/>
    <x v="1"/>
    <x v="0"/>
    <x v="0"/>
    <x v="2"/>
    <x v="5"/>
    <n v="272"/>
    <n v="261.12"/>
    <n v="0"/>
    <n v="0"/>
    <n v="0"/>
    <n v="0"/>
    <n v="2"/>
    <x v="0"/>
    <n v="0"/>
    <n v="50"/>
    <n v="0"/>
    <n v="0"/>
    <n v="74.41"/>
    <n v="0"/>
    <n v="0"/>
    <n v="79.663522858077684"/>
    <m/>
    <m/>
    <n v="19429.939200000001"/>
    <n v="0"/>
    <n v="0"/>
    <n v="20801.739088701244"/>
    <n v="0"/>
    <n v="0"/>
  </r>
  <r>
    <s v="Regular"/>
    <x v="0"/>
    <x v="1"/>
    <x v="2"/>
    <x v="1"/>
    <x v="0"/>
    <x v="0"/>
    <x v="2"/>
    <x v="6"/>
    <n v="269"/>
    <n v="258.24"/>
    <n v="0"/>
    <n v="0"/>
    <n v="0"/>
    <n v="0"/>
    <n v="2"/>
    <x v="0"/>
    <n v="0"/>
    <n v="50"/>
    <n v="0"/>
    <n v="0"/>
    <n v="74.41"/>
    <n v="0"/>
    <n v="0"/>
    <n v="79.663522858077684"/>
    <m/>
    <m/>
    <n v="19215.6384"/>
    <n v="0"/>
    <n v="0"/>
    <n v="20572.308142869981"/>
    <n v="0"/>
    <n v="0"/>
  </r>
  <r>
    <s v="Regular"/>
    <x v="0"/>
    <x v="1"/>
    <x v="2"/>
    <x v="1"/>
    <x v="0"/>
    <x v="0"/>
    <x v="2"/>
    <x v="7"/>
    <n v="273"/>
    <n v="262.08"/>
    <n v="0"/>
    <n v="0"/>
    <n v="0"/>
    <n v="0"/>
    <n v="2"/>
    <x v="0"/>
    <n v="0"/>
    <n v="50"/>
    <n v="0"/>
    <n v="0"/>
    <n v="74.41"/>
    <n v="0"/>
    <n v="0"/>
    <n v="79.663522858077684"/>
    <m/>
    <m/>
    <n v="19501.372799999997"/>
    <n v="0"/>
    <n v="0"/>
    <n v="20878.216070644998"/>
    <n v="0"/>
    <n v="0"/>
  </r>
  <r>
    <s v="Regular"/>
    <x v="0"/>
    <x v="1"/>
    <x v="2"/>
    <x v="1"/>
    <x v="0"/>
    <x v="0"/>
    <x v="2"/>
    <x v="8"/>
    <n v="269"/>
    <n v="258.24"/>
    <n v="0"/>
    <n v="0"/>
    <n v="0"/>
    <n v="0"/>
    <n v="2"/>
    <x v="0"/>
    <n v="0"/>
    <n v="50"/>
    <n v="0"/>
    <n v="0"/>
    <n v="74.41"/>
    <n v="0"/>
    <n v="0"/>
    <n v="79.663522858077684"/>
    <m/>
    <m/>
    <n v="19215.6384"/>
    <n v="0"/>
    <n v="0"/>
    <n v="20572.308142869981"/>
    <n v="0"/>
    <n v="0"/>
  </r>
  <r>
    <s v="Regular"/>
    <x v="0"/>
    <x v="1"/>
    <x v="2"/>
    <x v="1"/>
    <x v="0"/>
    <x v="0"/>
    <x v="2"/>
    <x v="9"/>
    <n v="269"/>
    <n v="258.24"/>
    <n v="0"/>
    <n v="0"/>
    <n v="0"/>
    <n v="0"/>
    <n v="2"/>
    <x v="0"/>
    <n v="0"/>
    <n v="50"/>
    <n v="0"/>
    <n v="0"/>
    <n v="74.41"/>
    <n v="0"/>
    <n v="0"/>
    <n v="79.663522858077684"/>
    <m/>
    <m/>
    <n v="19215.6384"/>
    <n v="0"/>
    <n v="0"/>
    <n v="20572.308142869981"/>
    <n v="0"/>
    <n v="0"/>
  </r>
  <r>
    <s v="Regular"/>
    <x v="0"/>
    <x v="1"/>
    <x v="2"/>
    <x v="1"/>
    <x v="0"/>
    <x v="0"/>
    <x v="2"/>
    <x v="10"/>
    <n v="269"/>
    <n v="258.24"/>
    <n v="0"/>
    <n v="0"/>
    <n v="0"/>
    <n v="0"/>
    <n v="2"/>
    <x v="0"/>
    <n v="0"/>
    <n v="50"/>
    <n v="0"/>
    <n v="0"/>
    <n v="74.41"/>
    <n v="0"/>
    <n v="0"/>
    <n v="79.663522858077684"/>
    <m/>
    <m/>
    <n v="19215.6384"/>
    <n v="0"/>
    <n v="0"/>
    <n v="20572.308142869981"/>
    <n v="0"/>
    <n v="0"/>
  </r>
  <r>
    <s v="Regular"/>
    <x v="0"/>
    <x v="1"/>
    <x v="2"/>
    <x v="1"/>
    <x v="0"/>
    <x v="0"/>
    <x v="2"/>
    <x v="11"/>
    <n v="274"/>
    <n v="263.04000000000002"/>
    <n v="0"/>
    <n v="0"/>
    <n v="0"/>
    <n v="0"/>
    <n v="2"/>
    <x v="0"/>
    <n v="0"/>
    <n v="50"/>
    <n v="0"/>
    <n v="0"/>
    <n v="74.41"/>
    <n v="0"/>
    <n v="0"/>
    <n v="79.663522858077684"/>
    <m/>
    <m/>
    <n v="19572.806400000001"/>
    <n v="0"/>
    <n v="0"/>
    <n v="20954.693052588755"/>
    <n v="0"/>
    <n v="0"/>
  </r>
  <r>
    <s v="Regular"/>
    <x v="0"/>
    <x v="1"/>
    <x v="2"/>
    <x v="1"/>
    <x v="0"/>
    <x v="0"/>
    <x v="1"/>
    <x v="0"/>
    <n v="0"/>
    <n v="0"/>
    <n v="0.34200000000000003"/>
    <n v="0.32832"/>
    <n v="0.34200000000000003"/>
    <n v="0.32832"/>
    <n v="0"/>
    <x v="0"/>
    <n v="0"/>
    <n v="0"/>
    <n v="1"/>
    <n v="73"/>
    <n v="0"/>
    <n v="4589.68"/>
    <n v="240.29"/>
    <m/>
    <n v="4970.2414810692699"/>
    <n v="318.47604005907385"/>
    <n v="0"/>
    <n v="1506.8837376000001"/>
    <n v="78.892012800000003"/>
    <n v="0"/>
    <n v="1631.8296830646627"/>
    <n v="104.56205347219513"/>
  </r>
  <r>
    <s v="Regular"/>
    <x v="0"/>
    <x v="1"/>
    <x v="2"/>
    <x v="1"/>
    <x v="0"/>
    <x v="0"/>
    <x v="1"/>
    <x v="1"/>
    <n v="0"/>
    <n v="0"/>
    <n v="0.33"/>
    <n v="0.31680000000000003"/>
    <n v="0.33"/>
    <n v="0.31680000000000003"/>
    <n v="0"/>
    <x v="0"/>
    <n v="0"/>
    <n v="0"/>
    <n v="1"/>
    <n v="73"/>
    <n v="0"/>
    <n v="4589.68"/>
    <n v="240.29"/>
    <m/>
    <n v="4970.2414810692699"/>
    <n v="318.47604005907385"/>
    <n v="0"/>
    <n v="1454.0106240000002"/>
    <n v="76.123872000000006"/>
    <n v="0"/>
    <n v="1574.5725012027449"/>
    <n v="100.89320949071461"/>
  </r>
  <r>
    <s v="Regular"/>
    <x v="0"/>
    <x v="1"/>
    <x v="2"/>
    <x v="1"/>
    <x v="0"/>
    <x v="0"/>
    <x v="1"/>
    <x v="2"/>
    <n v="0"/>
    <n v="0"/>
    <n v="0.375"/>
    <n v="0.36"/>
    <n v="0.375"/>
    <n v="0.36"/>
    <n v="0"/>
    <x v="0"/>
    <n v="0"/>
    <n v="0"/>
    <n v="1"/>
    <n v="73"/>
    <n v="0"/>
    <n v="4589.68"/>
    <n v="240.29"/>
    <m/>
    <n v="4970.2414810692699"/>
    <n v="318.47604005907385"/>
    <n v="0"/>
    <n v="1652.2848000000001"/>
    <n v="86.50439999999999"/>
    <n v="0"/>
    <n v="1789.2869331849372"/>
    <n v="114.65137442126658"/>
  </r>
  <r>
    <s v="Regular"/>
    <x v="0"/>
    <x v="1"/>
    <x v="2"/>
    <x v="1"/>
    <x v="0"/>
    <x v="0"/>
    <x v="1"/>
    <x v="3"/>
    <n v="0"/>
    <n v="0"/>
    <n v="0.42399999999999999"/>
    <n v="0.40704000000000001"/>
    <n v="0.42399999999999999"/>
    <n v="0.40704000000000001"/>
    <n v="0"/>
    <x v="0"/>
    <n v="0"/>
    <n v="0"/>
    <n v="1"/>
    <n v="73"/>
    <n v="0"/>
    <n v="4589.68"/>
    <n v="240.29"/>
    <m/>
    <n v="4970.2414810692699"/>
    <n v="318.47604005907385"/>
    <n v="0"/>
    <n v="1868.1833472000001"/>
    <n v="97.807641599999997"/>
    <n v="0"/>
    <n v="2023.0870924544356"/>
    <n v="129.63248734564542"/>
  </r>
  <r>
    <s v="Regular"/>
    <x v="0"/>
    <x v="1"/>
    <x v="2"/>
    <x v="1"/>
    <x v="0"/>
    <x v="0"/>
    <x v="1"/>
    <x v="4"/>
    <n v="0"/>
    <n v="0"/>
    <n v="0.45700000000000002"/>
    <n v="0.43872"/>
    <n v="0.45700000000000002"/>
    <n v="0.43872"/>
    <n v="0"/>
    <x v="0"/>
    <n v="0"/>
    <n v="0"/>
    <n v="1"/>
    <n v="73"/>
    <n v="0"/>
    <n v="4589.68"/>
    <n v="240.29"/>
    <m/>
    <n v="4970.2414810692699"/>
    <n v="318.47604005907385"/>
    <n v="0"/>
    <n v="2013.5844096000001"/>
    <n v="105.4200288"/>
    <n v="0"/>
    <n v="2180.5443425747098"/>
    <n v="139.72180829471688"/>
  </r>
  <r>
    <s v="Regular"/>
    <x v="0"/>
    <x v="1"/>
    <x v="2"/>
    <x v="1"/>
    <x v="0"/>
    <x v="0"/>
    <x v="1"/>
    <x v="5"/>
    <n v="0"/>
    <n v="0"/>
    <n v="0.39700000000000002"/>
    <n v="0.38112000000000001"/>
    <n v="0.39700000000000002"/>
    <n v="0.38112000000000001"/>
    <n v="0"/>
    <x v="0"/>
    <n v="0"/>
    <n v="0"/>
    <n v="1"/>
    <n v="73"/>
    <n v="0"/>
    <n v="4589.68"/>
    <n v="240.29"/>
    <m/>
    <n v="4970.2414810692699"/>
    <n v="318.47604005907385"/>
    <n v="0"/>
    <n v="1749.2188416000001"/>
    <n v="91.579324799999995"/>
    <n v="0"/>
    <n v="1894.2584332651202"/>
    <n v="121.37758838731423"/>
  </r>
  <r>
    <s v="Regular"/>
    <x v="0"/>
    <x v="1"/>
    <x v="2"/>
    <x v="1"/>
    <x v="0"/>
    <x v="0"/>
    <x v="1"/>
    <x v="6"/>
    <n v="0"/>
    <n v="0"/>
    <n v="0.35099999999999998"/>
    <n v="0.33695999999999998"/>
    <n v="0.35099999999999998"/>
    <n v="0.33695999999999998"/>
    <n v="0"/>
    <x v="0"/>
    <n v="0"/>
    <n v="0"/>
    <n v="1"/>
    <n v="73"/>
    <n v="0"/>
    <n v="4589.68"/>
    <n v="240.29"/>
    <m/>
    <n v="4970.2414810692699"/>
    <n v="318.47604005907385"/>
    <n v="0"/>
    <n v="1546.5385728000001"/>
    <n v="80.968118399999994"/>
    <n v="0"/>
    <n v="1674.7725694611011"/>
    <n v="107.31368645830553"/>
  </r>
  <r>
    <s v="Regular"/>
    <x v="0"/>
    <x v="1"/>
    <x v="2"/>
    <x v="1"/>
    <x v="0"/>
    <x v="0"/>
    <x v="1"/>
    <x v="7"/>
    <n v="0"/>
    <n v="0"/>
    <n v="0.39700000000000002"/>
    <n v="0.38112000000000001"/>
    <n v="0.39700000000000002"/>
    <n v="0.38112000000000001"/>
    <n v="0"/>
    <x v="0"/>
    <n v="0"/>
    <n v="0"/>
    <n v="1"/>
    <n v="73"/>
    <n v="0"/>
    <n v="4589.68"/>
    <n v="240.29"/>
    <m/>
    <n v="4970.2414810692699"/>
    <n v="318.47604005907385"/>
    <n v="0"/>
    <n v="1749.2188416000001"/>
    <n v="91.579324799999995"/>
    <n v="0"/>
    <n v="1894.2584332651202"/>
    <n v="121.37758838731423"/>
  </r>
  <r>
    <s v="Regular"/>
    <x v="0"/>
    <x v="1"/>
    <x v="2"/>
    <x v="1"/>
    <x v="0"/>
    <x v="0"/>
    <x v="1"/>
    <x v="8"/>
    <n v="0"/>
    <n v="0"/>
    <n v="0.39500000000000002"/>
    <n v="0.37919999999999998"/>
    <n v="0.39500000000000002"/>
    <n v="0.37919999999999998"/>
    <n v="0"/>
    <x v="0"/>
    <n v="0"/>
    <n v="0"/>
    <n v="1"/>
    <n v="73"/>
    <n v="0"/>
    <n v="4589.68"/>
    <n v="240.29"/>
    <m/>
    <n v="4970.2414810692699"/>
    <n v="318.47604005907385"/>
    <n v="0"/>
    <n v="1740.4066560000001"/>
    <n v="91.117967999999991"/>
    <n v="0"/>
    <n v="1884.715569621467"/>
    <n v="120.7661143904008"/>
  </r>
  <r>
    <s v="Regular"/>
    <x v="0"/>
    <x v="1"/>
    <x v="2"/>
    <x v="1"/>
    <x v="0"/>
    <x v="0"/>
    <x v="1"/>
    <x v="9"/>
    <n v="0"/>
    <n v="0"/>
    <n v="0.40300000000000002"/>
    <n v="0.38688"/>
    <n v="0.40300000000000002"/>
    <n v="0.38688"/>
    <n v="0"/>
    <x v="0"/>
    <n v="0"/>
    <n v="0"/>
    <n v="1"/>
    <n v="73"/>
    <n v="0"/>
    <n v="4589.68"/>
    <n v="240.29"/>
    <m/>
    <n v="4970.2414810692699"/>
    <n v="318.47604005907385"/>
    <n v="0"/>
    <n v="1775.6553984000002"/>
    <n v="92.963395199999994"/>
    <n v="0"/>
    <n v="1922.8870241960792"/>
    <n v="123.21201037805449"/>
  </r>
  <r>
    <s v="Regular"/>
    <x v="0"/>
    <x v="1"/>
    <x v="2"/>
    <x v="1"/>
    <x v="0"/>
    <x v="0"/>
    <x v="1"/>
    <x v="10"/>
    <n v="0"/>
    <n v="0"/>
    <n v="0.65700000000000003"/>
    <n v="0.63071999999999995"/>
    <n v="0.65700000000000003"/>
    <n v="0.63071999999999995"/>
    <n v="0"/>
    <x v="0"/>
    <n v="0"/>
    <n v="0"/>
    <n v="1"/>
    <n v="73"/>
    <n v="0"/>
    <n v="4589.68"/>
    <n v="240.29"/>
    <m/>
    <n v="4970.2414810692699"/>
    <n v="318.47604005907385"/>
    <n v="0"/>
    <n v="2894.8029695999999"/>
    <n v="151.55570879999999"/>
    <n v="0"/>
    <n v="3134.8307069400098"/>
    <n v="200.86920798605905"/>
  </r>
  <r>
    <s v="Regular"/>
    <x v="0"/>
    <x v="1"/>
    <x v="2"/>
    <x v="1"/>
    <x v="0"/>
    <x v="0"/>
    <x v="1"/>
    <x v="11"/>
    <n v="0"/>
    <n v="0"/>
    <n v="0.46300000000000002"/>
    <n v="0.44447999999999999"/>
    <n v="0.46300000000000002"/>
    <n v="0.44447999999999999"/>
    <n v="0"/>
    <x v="0"/>
    <n v="0"/>
    <n v="0"/>
    <n v="1"/>
    <n v="73"/>
    <n v="0"/>
    <n v="4589.68"/>
    <n v="240.29"/>
    <m/>
    <n v="4970.2414810692699"/>
    <n v="318.47604005907385"/>
    <n v="0"/>
    <n v="2040.0209664000001"/>
    <n v="106.8040992"/>
    <n v="0"/>
    <n v="2209.1729335056689"/>
    <n v="141.55623028545713"/>
  </r>
  <r>
    <s v="Regular"/>
    <x v="0"/>
    <x v="1"/>
    <x v="3"/>
    <x v="2"/>
    <x v="0"/>
    <x v="0"/>
    <x v="0"/>
    <x v="0"/>
    <n v="0"/>
    <n v="0"/>
    <n v="14.141"/>
    <n v="13.292539999999999"/>
    <n v="14.141"/>
    <n v="13.292539999999999"/>
    <n v="0"/>
    <x v="0"/>
    <n v="0"/>
    <n v="0"/>
    <n v="2"/>
    <n v="74"/>
    <n v="0"/>
    <n v="93.48"/>
    <n v="240.29"/>
    <m/>
    <n v="116.98708637317603"/>
    <n v="318.47604005907385"/>
    <n v="0"/>
    <n v="1242.5866392"/>
    <n v="3194.0644365999997"/>
    <n v="0"/>
    <n v="1555.0555250988971"/>
    <n v="4233.3555015268412"/>
  </r>
  <r>
    <s v="Regular"/>
    <x v="0"/>
    <x v="1"/>
    <x v="3"/>
    <x v="2"/>
    <x v="0"/>
    <x v="0"/>
    <x v="0"/>
    <x v="1"/>
    <n v="0"/>
    <n v="0"/>
    <n v="16.791"/>
    <n v="15.78354"/>
    <n v="16.791"/>
    <n v="15.78354"/>
    <n v="0"/>
    <x v="0"/>
    <n v="0"/>
    <n v="0"/>
    <n v="2"/>
    <n v="74"/>
    <n v="0"/>
    <n v="93.48"/>
    <n v="240.29"/>
    <m/>
    <n v="116.98708637317603"/>
    <n v="318.47604005907385"/>
    <n v="0"/>
    <n v="1475.4453192000001"/>
    <n v="3792.6268265999997"/>
    <n v="0"/>
    <n v="1846.4703572544788"/>
    <n v="5026.6793173139949"/>
  </r>
  <r>
    <s v="Regular"/>
    <x v="0"/>
    <x v="1"/>
    <x v="3"/>
    <x v="2"/>
    <x v="0"/>
    <x v="0"/>
    <x v="0"/>
    <x v="2"/>
    <n v="0"/>
    <n v="0"/>
    <n v="17.077000000000002"/>
    <n v="16.052379999999999"/>
    <n v="17.077000000000002"/>
    <n v="16.052379999999999"/>
    <n v="0"/>
    <x v="0"/>
    <n v="0"/>
    <n v="0"/>
    <n v="2"/>
    <n v="74"/>
    <n v="0"/>
    <n v="93.48"/>
    <n v="240.29"/>
    <m/>
    <n v="116.98708637317603"/>
    <n v="318.47604005907385"/>
    <n v="0"/>
    <n v="1500.5764824"/>
    <n v="3857.2263901999995"/>
    <n v="0"/>
    <n v="1877.9211655550432"/>
    <n v="5112.2984159234757"/>
  </r>
  <r>
    <s v="Regular"/>
    <x v="0"/>
    <x v="1"/>
    <x v="3"/>
    <x v="2"/>
    <x v="0"/>
    <x v="0"/>
    <x v="0"/>
    <x v="3"/>
    <n v="0"/>
    <n v="0"/>
    <n v="18.006"/>
    <n v="16.925640000000001"/>
    <n v="18.006"/>
    <n v="16.925640000000001"/>
    <n v="0"/>
    <x v="0"/>
    <n v="0"/>
    <n v="0"/>
    <n v="2"/>
    <n v="74"/>
    <n v="0"/>
    <n v="93.48"/>
    <n v="240.29"/>
    <m/>
    <n v="116.98708637317603"/>
    <n v="318.47604005907385"/>
    <n v="0"/>
    <n v="1582.2088272000001"/>
    <n v="4067.0620356000004"/>
    <n v="0"/>
    <n v="1980.0813086012834"/>
    <n v="5390.4108026654631"/>
  </r>
  <r>
    <s v="Regular"/>
    <x v="0"/>
    <x v="1"/>
    <x v="3"/>
    <x v="2"/>
    <x v="0"/>
    <x v="0"/>
    <x v="0"/>
    <x v="4"/>
    <n v="0"/>
    <n v="0"/>
    <n v="17.623999999999999"/>
    <n v="16.566559999999999"/>
    <n v="17.623999999999999"/>
    <n v="16.566559999999999"/>
    <n v="0"/>
    <x v="0"/>
    <n v="0"/>
    <n v="0"/>
    <n v="2"/>
    <n v="74"/>
    <n v="0"/>
    <n v="93.48"/>
    <n v="240.29"/>
    <m/>
    <n v="116.98708637317603"/>
    <n v="318.47604005907385"/>
    <n v="0"/>
    <n v="1548.6420287999999"/>
    <n v="3980.7787023999995"/>
    <n v="0"/>
    <n v="1938.073585626403"/>
    <n v="5276.0524262010504"/>
  </r>
  <r>
    <s v="Regular"/>
    <x v="0"/>
    <x v="1"/>
    <x v="3"/>
    <x v="2"/>
    <x v="0"/>
    <x v="0"/>
    <x v="0"/>
    <x v="5"/>
    <n v="0"/>
    <n v="0"/>
    <n v="16.919"/>
    <n v="15.90386"/>
    <n v="16.919"/>
    <n v="15.90386"/>
    <n v="0"/>
    <x v="0"/>
    <n v="0"/>
    <n v="0"/>
    <n v="2"/>
    <n v="74"/>
    <n v="0"/>
    <n v="93.48"/>
    <n v="240.29"/>
    <m/>
    <n v="116.98708637317603"/>
    <n v="318.47604005907385"/>
    <n v="0"/>
    <n v="1486.6928328000001"/>
    <n v="3821.5385194"/>
    <n v="0"/>
    <n v="1860.5462434868994"/>
    <n v="5064.9983544539018"/>
  </r>
  <r>
    <s v="Regular"/>
    <x v="0"/>
    <x v="1"/>
    <x v="3"/>
    <x v="2"/>
    <x v="0"/>
    <x v="0"/>
    <x v="0"/>
    <x v="6"/>
    <n v="0"/>
    <n v="0"/>
    <n v="17.405000000000001"/>
    <n v="16.360700000000001"/>
    <n v="17.405000000000001"/>
    <n v="16.360700000000001"/>
    <n v="0"/>
    <x v="0"/>
    <n v="0"/>
    <n v="0"/>
    <n v="2"/>
    <n v="74"/>
    <n v="0"/>
    <n v="93.48"/>
    <n v="240.29"/>
    <m/>
    <n v="116.98708637317603"/>
    <n v="318.47604005907385"/>
    <n v="0"/>
    <n v="1529.3982360000002"/>
    <n v="3931.3126030000003"/>
    <n v="0"/>
    <n v="1913.9906240256212"/>
    <n v="5210.49094859449"/>
  </r>
  <r>
    <s v="Regular"/>
    <x v="0"/>
    <x v="1"/>
    <x v="3"/>
    <x v="2"/>
    <x v="0"/>
    <x v="0"/>
    <x v="0"/>
    <x v="7"/>
    <n v="0"/>
    <n v="0"/>
    <n v="17.268000000000001"/>
    <n v="16.231919999999999"/>
    <n v="17.268000000000001"/>
    <n v="16.231919999999999"/>
    <n v="0"/>
    <x v="0"/>
    <n v="0"/>
    <n v="0"/>
    <n v="2"/>
    <n v="74"/>
    <n v="0"/>
    <n v="93.48"/>
    <n v="240.29"/>
    <m/>
    <n v="116.98708637317603"/>
    <n v="318.47604005907385"/>
    <n v="0"/>
    <n v="1517.3598815999999"/>
    <n v="3900.3680567999995"/>
    <n v="0"/>
    <n v="1898.9250270424832"/>
    <n v="5169.4776041556815"/>
  </r>
  <r>
    <s v="Regular"/>
    <x v="0"/>
    <x v="1"/>
    <x v="3"/>
    <x v="2"/>
    <x v="0"/>
    <x v="0"/>
    <x v="0"/>
    <x v="8"/>
    <n v="0"/>
    <n v="0"/>
    <n v="16.783999999999999"/>
    <n v="15.776960000000001"/>
    <n v="16.783999999999999"/>
    <n v="15.776960000000001"/>
    <n v="0"/>
    <x v="0"/>
    <n v="0"/>
    <n v="0"/>
    <n v="2"/>
    <n v="74"/>
    <n v="0"/>
    <n v="93.48"/>
    <n v="240.29"/>
    <m/>
    <n v="116.98708637317603"/>
    <n v="318.47604005907385"/>
    <n v="0"/>
    <n v="1474.8302208000002"/>
    <n v="3791.0457184000002"/>
    <n v="0"/>
    <n v="1845.7005822261433"/>
    <n v="5024.5837449704059"/>
  </r>
  <r>
    <s v="Regular"/>
    <x v="0"/>
    <x v="1"/>
    <x v="3"/>
    <x v="2"/>
    <x v="0"/>
    <x v="0"/>
    <x v="0"/>
    <x v="9"/>
    <n v="0"/>
    <n v="0"/>
    <n v="17.085000000000001"/>
    <n v="16.059899999999999"/>
    <n v="17.085000000000001"/>
    <n v="16.059899999999999"/>
    <n v="0"/>
    <x v="0"/>
    <n v="0"/>
    <n v="0"/>
    <n v="2"/>
    <n v="74"/>
    <n v="0"/>
    <n v="93.48"/>
    <n v="240.29"/>
    <m/>
    <n v="116.98708637317603"/>
    <n v="318.47604005907385"/>
    <n v="0"/>
    <n v="1501.279452"/>
    <n v="3859.0333709999995"/>
    <n v="0"/>
    <n v="1878.8009084445696"/>
    <n v="5114.6933557447201"/>
  </r>
  <r>
    <s v="Regular"/>
    <x v="0"/>
    <x v="1"/>
    <x v="3"/>
    <x v="2"/>
    <x v="0"/>
    <x v="0"/>
    <x v="0"/>
    <x v="10"/>
    <n v="0"/>
    <n v="0"/>
    <n v="16.117999999999999"/>
    <n v="15.150919999999999"/>
    <n v="16.117999999999999"/>
    <n v="15.150919999999999"/>
    <n v="0"/>
    <x v="0"/>
    <n v="0"/>
    <n v="0"/>
    <n v="2"/>
    <n v="74"/>
    <n v="0"/>
    <n v="93.48"/>
    <n v="240.29"/>
    <m/>
    <n v="116.98708637317603"/>
    <n v="318.47604005907385"/>
    <n v="0"/>
    <n v="1416.3080015999999"/>
    <n v="3640.6145667999999"/>
    <n v="0"/>
    <n v="1772.46198667308"/>
    <n v="4825.2050048518231"/>
  </r>
  <r>
    <s v="Regular"/>
    <x v="0"/>
    <x v="1"/>
    <x v="3"/>
    <x v="2"/>
    <x v="0"/>
    <x v="0"/>
    <x v="0"/>
    <x v="11"/>
    <n v="0"/>
    <n v="0"/>
    <n v="17.745999999999999"/>
    <n v="16.681239999999999"/>
    <n v="17.745999999999999"/>
    <n v="16.681239999999999"/>
    <n v="0"/>
    <x v="0"/>
    <n v="0"/>
    <n v="0"/>
    <n v="2"/>
    <n v="74"/>
    <n v="0"/>
    <n v="93.48"/>
    <n v="240.29"/>
    <m/>
    <n v="116.98708637317603"/>
    <n v="318.47604005907385"/>
    <n v="0"/>
    <n v="1559.3623152"/>
    <n v="4008.3351595999998"/>
    <n v="0"/>
    <n v="1951.4896646916789"/>
    <n v="5312.5752584750244"/>
  </r>
  <r>
    <s v="Regular"/>
    <x v="0"/>
    <x v="1"/>
    <x v="3"/>
    <x v="2"/>
    <x v="0"/>
    <x v="0"/>
    <x v="2"/>
    <x v="0"/>
    <n v="58"/>
    <n v="49.3"/>
    <n v="0"/>
    <n v="0"/>
    <n v="0"/>
    <n v="0"/>
    <n v="1"/>
    <x v="0"/>
    <n v="0"/>
    <n v="50"/>
    <n v="0"/>
    <n v="0"/>
    <n v="74.41"/>
    <n v="0"/>
    <n v="0"/>
    <n v="79.663522858077684"/>
    <m/>
    <m/>
    <n v="3668.4129999999996"/>
    <n v="0"/>
    <n v="0"/>
    <n v="3927.4116769032298"/>
    <n v="0"/>
    <n v="0"/>
  </r>
  <r>
    <s v="Regular"/>
    <x v="0"/>
    <x v="1"/>
    <x v="3"/>
    <x v="2"/>
    <x v="0"/>
    <x v="0"/>
    <x v="2"/>
    <x v="1"/>
    <n v="58"/>
    <n v="49.3"/>
    <n v="0"/>
    <n v="0"/>
    <n v="0"/>
    <n v="0"/>
    <n v="1"/>
    <x v="0"/>
    <n v="0"/>
    <n v="50"/>
    <n v="0"/>
    <n v="0"/>
    <n v="74.41"/>
    <n v="0"/>
    <n v="0"/>
    <n v="79.663522858077684"/>
    <m/>
    <m/>
    <n v="3668.4129999999996"/>
    <n v="0"/>
    <n v="0"/>
    <n v="3927.4116769032298"/>
    <n v="0"/>
    <n v="0"/>
  </r>
  <r>
    <s v="Regular"/>
    <x v="0"/>
    <x v="1"/>
    <x v="3"/>
    <x v="2"/>
    <x v="0"/>
    <x v="0"/>
    <x v="2"/>
    <x v="2"/>
    <n v="58"/>
    <n v="49.3"/>
    <n v="0"/>
    <n v="0"/>
    <n v="0"/>
    <n v="0"/>
    <n v="1"/>
    <x v="0"/>
    <n v="0"/>
    <n v="50"/>
    <n v="0"/>
    <n v="0"/>
    <n v="74.41"/>
    <n v="0"/>
    <n v="0"/>
    <n v="79.663522858077684"/>
    <m/>
    <m/>
    <n v="3668.4129999999996"/>
    <n v="0"/>
    <n v="0"/>
    <n v="3927.4116769032298"/>
    <n v="0"/>
    <n v="0"/>
  </r>
  <r>
    <s v="Regular"/>
    <x v="0"/>
    <x v="1"/>
    <x v="3"/>
    <x v="2"/>
    <x v="0"/>
    <x v="0"/>
    <x v="2"/>
    <x v="3"/>
    <n v="58"/>
    <n v="49.3"/>
    <n v="0"/>
    <n v="0"/>
    <n v="0"/>
    <n v="0"/>
    <n v="1"/>
    <x v="0"/>
    <n v="0"/>
    <n v="50"/>
    <n v="0"/>
    <n v="0"/>
    <n v="74.41"/>
    <n v="0"/>
    <n v="0"/>
    <n v="79.663522858077684"/>
    <m/>
    <m/>
    <n v="3668.4129999999996"/>
    <n v="0"/>
    <n v="0"/>
    <n v="3927.4116769032298"/>
    <n v="0"/>
    <n v="0"/>
  </r>
  <r>
    <s v="Regular"/>
    <x v="0"/>
    <x v="1"/>
    <x v="3"/>
    <x v="2"/>
    <x v="0"/>
    <x v="0"/>
    <x v="2"/>
    <x v="4"/>
    <n v="58"/>
    <n v="49.3"/>
    <n v="0"/>
    <n v="0"/>
    <n v="0"/>
    <n v="0"/>
    <n v="1"/>
    <x v="0"/>
    <n v="0"/>
    <n v="50"/>
    <n v="0"/>
    <n v="0"/>
    <n v="74.41"/>
    <n v="0"/>
    <n v="0"/>
    <n v="79.663522858077684"/>
    <m/>
    <m/>
    <n v="3668.4129999999996"/>
    <n v="0"/>
    <n v="0"/>
    <n v="3927.4116769032298"/>
    <n v="0"/>
    <n v="0"/>
  </r>
  <r>
    <s v="Regular"/>
    <x v="0"/>
    <x v="1"/>
    <x v="3"/>
    <x v="2"/>
    <x v="0"/>
    <x v="0"/>
    <x v="2"/>
    <x v="5"/>
    <n v="58"/>
    <n v="49.3"/>
    <n v="0"/>
    <n v="0"/>
    <n v="0"/>
    <n v="0"/>
    <n v="1"/>
    <x v="0"/>
    <n v="0"/>
    <n v="50"/>
    <n v="0"/>
    <n v="0"/>
    <n v="74.41"/>
    <n v="0"/>
    <n v="0"/>
    <n v="79.663522858077684"/>
    <m/>
    <m/>
    <n v="3668.4129999999996"/>
    <n v="0"/>
    <n v="0"/>
    <n v="3927.4116769032298"/>
    <n v="0"/>
    <n v="0"/>
  </r>
  <r>
    <s v="Regular"/>
    <x v="0"/>
    <x v="1"/>
    <x v="3"/>
    <x v="2"/>
    <x v="0"/>
    <x v="0"/>
    <x v="2"/>
    <x v="6"/>
    <n v="58"/>
    <n v="49.3"/>
    <n v="0"/>
    <n v="0"/>
    <n v="0"/>
    <n v="0"/>
    <n v="1"/>
    <x v="0"/>
    <n v="0"/>
    <n v="50"/>
    <n v="0"/>
    <n v="0"/>
    <n v="74.41"/>
    <n v="0"/>
    <n v="0"/>
    <n v="79.663522858077684"/>
    <m/>
    <m/>
    <n v="3668.4129999999996"/>
    <n v="0"/>
    <n v="0"/>
    <n v="3927.4116769032298"/>
    <n v="0"/>
    <n v="0"/>
  </r>
  <r>
    <s v="Regular"/>
    <x v="0"/>
    <x v="1"/>
    <x v="3"/>
    <x v="2"/>
    <x v="0"/>
    <x v="0"/>
    <x v="2"/>
    <x v="7"/>
    <n v="58"/>
    <n v="49.3"/>
    <n v="0"/>
    <n v="0"/>
    <n v="0"/>
    <n v="0"/>
    <n v="1"/>
    <x v="0"/>
    <n v="0"/>
    <n v="50"/>
    <n v="0"/>
    <n v="0"/>
    <n v="74.41"/>
    <n v="0"/>
    <n v="0"/>
    <n v="79.663522858077684"/>
    <m/>
    <m/>
    <n v="3668.4129999999996"/>
    <n v="0"/>
    <n v="0"/>
    <n v="3927.4116769032298"/>
    <n v="0"/>
    <n v="0"/>
  </r>
  <r>
    <s v="Regular"/>
    <x v="0"/>
    <x v="1"/>
    <x v="3"/>
    <x v="2"/>
    <x v="0"/>
    <x v="0"/>
    <x v="2"/>
    <x v="8"/>
    <n v="58"/>
    <n v="49.3"/>
    <n v="0"/>
    <n v="0"/>
    <n v="0"/>
    <n v="0"/>
    <n v="1"/>
    <x v="0"/>
    <n v="0"/>
    <n v="50"/>
    <n v="0"/>
    <n v="0"/>
    <n v="74.41"/>
    <n v="0"/>
    <n v="0"/>
    <n v="79.663522858077684"/>
    <m/>
    <m/>
    <n v="3668.4129999999996"/>
    <n v="0"/>
    <n v="0"/>
    <n v="3927.4116769032298"/>
    <n v="0"/>
    <n v="0"/>
  </r>
  <r>
    <s v="Regular"/>
    <x v="0"/>
    <x v="1"/>
    <x v="3"/>
    <x v="2"/>
    <x v="0"/>
    <x v="0"/>
    <x v="2"/>
    <x v="9"/>
    <n v="58"/>
    <n v="49.3"/>
    <n v="0"/>
    <n v="0"/>
    <n v="0"/>
    <n v="0"/>
    <n v="1"/>
    <x v="0"/>
    <n v="0"/>
    <n v="50"/>
    <n v="0"/>
    <n v="0"/>
    <n v="74.41"/>
    <n v="0"/>
    <n v="0"/>
    <n v="79.663522858077684"/>
    <m/>
    <m/>
    <n v="3668.4129999999996"/>
    <n v="0"/>
    <n v="0"/>
    <n v="3927.4116769032298"/>
    <n v="0"/>
    <n v="0"/>
  </r>
  <r>
    <s v="Regular"/>
    <x v="0"/>
    <x v="1"/>
    <x v="3"/>
    <x v="2"/>
    <x v="0"/>
    <x v="0"/>
    <x v="2"/>
    <x v="10"/>
    <n v="58"/>
    <n v="49.3"/>
    <n v="0"/>
    <n v="0"/>
    <n v="0"/>
    <n v="0"/>
    <n v="1"/>
    <x v="0"/>
    <n v="0"/>
    <n v="50"/>
    <n v="0"/>
    <n v="0"/>
    <n v="74.41"/>
    <n v="0"/>
    <n v="0"/>
    <n v="79.663522858077684"/>
    <m/>
    <m/>
    <n v="3668.4129999999996"/>
    <n v="0"/>
    <n v="0"/>
    <n v="3927.4116769032298"/>
    <n v="0"/>
    <n v="0"/>
  </r>
  <r>
    <s v="Regular"/>
    <x v="0"/>
    <x v="1"/>
    <x v="3"/>
    <x v="2"/>
    <x v="0"/>
    <x v="0"/>
    <x v="2"/>
    <x v="11"/>
    <n v="58"/>
    <n v="49.3"/>
    <n v="0"/>
    <n v="0"/>
    <n v="0"/>
    <n v="0"/>
    <n v="1"/>
    <x v="0"/>
    <n v="0"/>
    <n v="50"/>
    <n v="0"/>
    <n v="0"/>
    <n v="74.41"/>
    <n v="0"/>
    <n v="0"/>
    <n v="79.663522858077684"/>
    <m/>
    <m/>
    <n v="3668.4129999999996"/>
    <n v="0"/>
    <n v="0"/>
    <n v="3927.4116769032298"/>
    <n v="0"/>
    <n v="0"/>
  </r>
  <r>
    <s v="Regular"/>
    <x v="0"/>
    <x v="1"/>
    <x v="3"/>
    <x v="2"/>
    <x v="0"/>
    <x v="0"/>
    <x v="1"/>
    <x v="0"/>
    <n v="0"/>
    <n v="0"/>
    <n v="1.5"/>
    <n v="1.41"/>
    <n v="1.5"/>
    <n v="1.41"/>
    <n v="0"/>
    <x v="0"/>
    <n v="0"/>
    <n v="0"/>
    <n v="1"/>
    <n v="73"/>
    <n v="0"/>
    <n v="4589.68"/>
    <n v="240.29"/>
    <m/>
    <n v="4970.2414810692699"/>
    <n v="318.47604005907385"/>
    <n v="0"/>
    <n v="6471.4488000000001"/>
    <n v="338.80889999999999"/>
    <n v="0"/>
    <n v="7008.0404883076699"/>
    <n v="449.05121648329413"/>
  </r>
  <r>
    <s v="Regular"/>
    <x v="0"/>
    <x v="1"/>
    <x v="3"/>
    <x v="2"/>
    <x v="0"/>
    <x v="0"/>
    <x v="1"/>
    <x v="1"/>
    <n v="0"/>
    <n v="0"/>
    <n v="1.657"/>
    <n v="1.55758"/>
    <n v="1.657"/>
    <n v="1.55758"/>
    <n v="0"/>
    <x v="0"/>
    <n v="0"/>
    <n v="0"/>
    <n v="1"/>
    <n v="73"/>
    <n v="0"/>
    <n v="4589.68"/>
    <n v="240.29"/>
    <m/>
    <n v="4970.2414810692699"/>
    <n v="318.47604005907385"/>
    <n v="0"/>
    <n v="7148.7937744000001"/>
    <n v="374.27089819999998"/>
    <n v="0"/>
    <n v="7741.5487260838736"/>
    <n v="496.05191047521225"/>
  </r>
  <r>
    <s v="Regular"/>
    <x v="0"/>
    <x v="1"/>
    <x v="3"/>
    <x v="2"/>
    <x v="0"/>
    <x v="0"/>
    <x v="1"/>
    <x v="2"/>
    <n v="0"/>
    <n v="0"/>
    <n v="1.742"/>
    <n v="1.63748"/>
    <n v="1.742"/>
    <n v="1.63748"/>
    <n v="0"/>
    <x v="0"/>
    <n v="0"/>
    <n v="0"/>
    <n v="1"/>
    <n v="73"/>
    <n v="0"/>
    <n v="4589.68"/>
    <n v="240.29"/>
    <m/>
    <n v="4970.2414810692699"/>
    <n v="318.47604005907385"/>
    <n v="0"/>
    <n v="7515.5092064000009"/>
    <n v="393.47006920000001"/>
    <n v="0"/>
    <n v="8138.6710204213086"/>
    <n v="521.49814607593225"/>
  </r>
  <r>
    <s v="Regular"/>
    <x v="0"/>
    <x v="1"/>
    <x v="3"/>
    <x v="2"/>
    <x v="0"/>
    <x v="0"/>
    <x v="1"/>
    <x v="3"/>
    <n v="0"/>
    <n v="0"/>
    <n v="1.8080000000000001"/>
    <n v="1.6995199999999999"/>
    <n v="1.8080000000000001"/>
    <n v="1.6995199999999999"/>
    <n v="0"/>
    <x v="0"/>
    <n v="0"/>
    <n v="0"/>
    <n v="1"/>
    <n v="73"/>
    <n v="0"/>
    <n v="4589.68"/>
    <n v="240.29"/>
    <m/>
    <n v="4970.2414810692699"/>
    <n v="318.47604005907385"/>
    <n v="0"/>
    <n v="7800.2529536000002"/>
    <n v="408.37766079999994"/>
    <n v="0"/>
    <n v="8447.0248019068458"/>
    <n v="541.25639960119713"/>
  </r>
  <r>
    <s v="Regular"/>
    <x v="0"/>
    <x v="1"/>
    <x v="3"/>
    <x v="2"/>
    <x v="0"/>
    <x v="0"/>
    <x v="1"/>
    <x v="4"/>
    <n v="0"/>
    <n v="0"/>
    <n v="1.643"/>
    <n v="1.5444199999999999"/>
    <n v="1.643"/>
    <n v="1.5444199999999999"/>
    <n v="0"/>
    <x v="0"/>
    <n v="0"/>
    <n v="0"/>
    <n v="1"/>
    <n v="73"/>
    <n v="0"/>
    <n v="4589.68"/>
    <n v="240.29"/>
    <m/>
    <n v="4970.2414810692699"/>
    <n v="318.47604005907385"/>
    <n v="0"/>
    <n v="7088.3935855999998"/>
    <n v="371.10868179999994"/>
    <n v="0"/>
    <n v="7676.140348193001"/>
    <n v="491.86076578803483"/>
  </r>
  <r>
    <s v="Regular"/>
    <x v="0"/>
    <x v="1"/>
    <x v="3"/>
    <x v="2"/>
    <x v="0"/>
    <x v="0"/>
    <x v="1"/>
    <x v="5"/>
    <n v="0"/>
    <n v="0"/>
    <n v="1.6639999999999999"/>
    <n v="1.56416"/>
    <n v="1.6639999999999999"/>
    <n v="1.56416"/>
    <n v="0"/>
    <x v="0"/>
    <n v="0"/>
    <n v="0"/>
    <n v="1"/>
    <n v="73"/>
    <n v="0"/>
    <n v="4589.68"/>
    <n v="240.29"/>
    <m/>
    <n v="4970.2414810692699"/>
    <n v="318.47604005907385"/>
    <n v="0"/>
    <n v="7178.9938688000002"/>
    <n v="375.85200639999999"/>
    <n v="0"/>
    <n v="7774.2529150293094"/>
    <n v="498.14748281880094"/>
  </r>
  <r>
    <s v="Regular"/>
    <x v="0"/>
    <x v="1"/>
    <x v="3"/>
    <x v="2"/>
    <x v="0"/>
    <x v="0"/>
    <x v="1"/>
    <x v="6"/>
    <n v="0"/>
    <n v="0"/>
    <n v="1.5920000000000001"/>
    <n v="1.49648"/>
    <n v="1.5920000000000001"/>
    <n v="1.49648"/>
    <n v="0"/>
    <x v="0"/>
    <n v="0"/>
    <n v="0"/>
    <n v="1"/>
    <n v="73"/>
    <n v="0"/>
    <n v="4589.68"/>
    <n v="240.29"/>
    <m/>
    <n v="4970.2414810692699"/>
    <n v="318.47604005907385"/>
    <n v="0"/>
    <n v="6868.3643264000002"/>
    <n v="359.58917919999999"/>
    <n v="0"/>
    <n v="7437.8669715905407"/>
    <n v="476.59302442760287"/>
  </r>
  <r>
    <s v="Regular"/>
    <x v="0"/>
    <x v="1"/>
    <x v="3"/>
    <x v="2"/>
    <x v="0"/>
    <x v="0"/>
    <x v="1"/>
    <x v="7"/>
    <n v="0"/>
    <n v="0"/>
    <n v="1.4690000000000001"/>
    <n v="1.38086"/>
    <n v="1.4690000000000001"/>
    <n v="1.38086"/>
    <n v="0"/>
    <x v="0"/>
    <n v="0"/>
    <n v="0"/>
    <n v="1"/>
    <n v="73"/>
    <n v="0"/>
    <n v="4589.68"/>
    <n v="240.29"/>
    <m/>
    <n v="4970.2414810692699"/>
    <n v="318.47604005907385"/>
    <n v="0"/>
    <n v="6337.7055248000006"/>
    <n v="331.80684939999998"/>
    <n v="0"/>
    <n v="6863.2076515493118"/>
    <n v="439.77082467597273"/>
  </r>
  <r>
    <s v="Regular"/>
    <x v="0"/>
    <x v="1"/>
    <x v="3"/>
    <x v="2"/>
    <x v="0"/>
    <x v="0"/>
    <x v="1"/>
    <x v="8"/>
    <n v="0"/>
    <n v="0"/>
    <n v="1.651"/>
    <n v="1.5519400000000001"/>
    <n v="1.651"/>
    <n v="1.5519400000000001"/>
    <n v="0"/>
    <x v="0"/>
    <n v="0"/>
    <n v="0"/>
    <n v="1"/>
    <n v="73"/>
    <n v="0"/>
    <n v="4589.68"/>
    <n v="240.29"/>
    <m/>
    <n v="4970.2414810692699"/>
    <n v="318.47604005907385"/>
    <n v="0"/>
    <n v="7122.9079792000011"/>
    <n v="372.91566260000002"/>
    <n v="0"/>
    <n v="7713.516564130643"/>
    <n v="494.25570560927912"/>
  </r>
  <r>
    <s v="Regular"/>
    <x v="0"/>
    <x v="1"/>
    <x v="3"/>
    <x v="2"/>
    <x v="0"/>
    <x v="0"/>
    <x v="1"/>
    <x v="9"/>
    <n v="0"/>
    <n v="0"/>
    <n v="1.58"/>
    <n v="1.4852000000000001"/>
    <n v="1.58"/>
    <n v="1.4852000000000001"/>
    <n v="0"/>
    <x v="0"/>
    <n v="0"/>
    <n v="0"/>
    <n v="1"/>
    <n v="73"/>
    <n v="0"/>
    <n v="4589.68"/>
    <n v="240.29"/>
    <m/>
    <n v="4970.2414810692699"/>
    <n v="318.47604005907385"/>
    <n v="0"/>
    <n v="6816.5927360000005"/>
    <n v="356.87870800000002"/>
    <n v="0"/>
    <n v="7381.8026476840796"/>
    <n v="473.00061469573649"/>
  </r>
  <r>
    <s v="Regular"/>
    <x v="0"/>
    <x v="1"/>
    <x v="3"/>
    <x v="2"/>
    <x v="0"/>
    <x v="0"/>
    <x v="1"/>
    <x v="10"/>
    <n v="0"/>
    <n v="0"/>
    <n v="1.6140000000000001"/>
    <n v="1.5171600000000001"/>
    <n v="1.6140000000000001"/>
    <n v="1.5171600000000001"/>
    <n v="0"/>
    <x v="0"/>
    <n v="0"/>
    <n v="0"/>
    <n v="1"/>
    <n v="73"/>
    <n v="0"/>
    <n v="4589.68"/>
    <n v="240.29"/>
    <m/>
    <n v="4970.2414810692699"/>
    <n v="318.47604005907385"/>
    <n v="0"/>
    <n v="6963.2789088000009"/>
    <n v="364.55837639999999"/>
    <n v="0"/>
    <n v="7540.6515654190534"/>
    <n v="483.17910893602453"/>
  </r>
  <r>
    <s v="Regular"/>
    <x v="0"/>
    <x v="1"/>
    <x v="3"/>
    <x v="2"/>
    <x v="0"/>
    <x v="0"/>
    <x v="1"/>
    <x v="11"/>
    <n v="0"/>
    <n v="0"/>
    <n v="1.8240000000000001"/>
    <n v="1.7145600000000001"/>
    <n v="1.8240000000000001"/>
    <n v="1.7145600000000001"/>
    <n v="0"/>
    <x v="0"/>
    <n v="0"/>
    <n v="0"/>
    <n v="1"/>
    <n v="73"/>
    <n v="0"/>
    <n v="4589.68"/>
    <n v="240.29"/>
    <m/>
    <n v="4970.2414810692699"/>
    <n v="318.47604005907385"/>
    <n v="0"/>
    <n v="7869.281740800001"/>
    <n v="411.99162239999998"/>
    <n v="0"/>
    <n v="8521.777233782128"/>
    <n v="546.04627924368572"/>
  </r>
  <r>
    <s v="Regular"/>
    <x v="1"/>
    <x v="2"/>
    <x v="4"/>
    <x v="3"/>
    <x v="0"/>
    <x v="0"/>
    <x v="0"/>
    <x v="0"/>
    <n v="0"/>
    <n v="0"/>
    <n v="7.1999999999999995E-2"/>
    <n v="7.1999999999999995E-2"/>
    <n v="7.1999999999999995E-2"/>
    <n v="7.1999999999999995E-2"/>
    <n v="0"/>
    <x v="0"/>
    <n v="0"/>
    <n v="0"/>
    <n v="7"/>
    <n v="22"/>
    <n v="0"/>
    <n v="526.36"/>
    <n v="240.29"/>
    <m/>
    <n v="581.81186254041518"/>
    <n v="318.47604005907385"/>
    <n v="0"/>
    <n v="37.897919999999999"/>
    <n v="17.300879999999999"/>
    <n v="0"/>
    <n v="41.890454102909892"/>
    <n v="22.930274884253315"/>
  </r>
  <r>
    <s v="Regular"/>
    <x v="1"/>
    <x v="2"/>
    <x v="4"/>
    <x v="3"/>
    <x v="0"/>
    <x v="0"/>
    <x v="0"/>
    <x v="1"/>
    <n v="0"/>
    <n v="0"/>
    <n v="7.1999999999999995E-2"/>
    <n v="7.1999999999999995E-2"/>
    <n v="7.1999999999999995E-2"/>
    <n v="7.1999999999999995E-2"/>
    <n v="0"/>
    <x v="0"/>
    <n v="0"/>
    <n v="0"/>
    <n v="7"/>
    <n v="22"/>
    <n v="0"/>
    <n v="526.36"/>
    <n v="240.29"/>
    <m/>
    <n v="581.81186254041518"/>
    <n v="318.47604005907385"/>
    <n v="0"/>
    <n v="37.897919999999999"/>
    <n v="17.300879999999999"/>
    <n v="0"/>
    <n v="41.890454102909892"/>
    <n v="22.930274884253315"/>
  </r>
  <r>
    <s v="Regular"/>
    <x v="1"/>
    <x v="2"/>
    <x v="4"/>
    <x v="3"/>
    <x v="0"/>
    <x v="0"/>
    <x v="0"/>
    <x v="3"/>
    <n v="0"/>
    <n v="0"/>
    <n v="6.3E-2"/>
    <n v="6.3E-2"/>
    <n v="6.3E-2"/>
    <n v="6.3E-2"/>
    <n v="0"/>
    <x v="0"/>
    <n v="0"/>
    <n v="0"/>
    <n v="7"/>
    <n v="22"/>
    <n v="0"/>
    <n v="526.36"/>
    <n v="240.29"/>
    <m/>
    <n v="581.81186254041518"/>
    <n v="318.47604005907385"/>
    <n v="0"/>
    <n v="33.160679999999999"/>
    <n v="15.13827"/>
    <n v="0"/>
    <n v="36.654147340046158"/>
    <n v="20.063990523721653"/>
  </r>
  <r>
    <s v="Regular"/>
    <x v="1"/>
    <x v="2"/>
    <x v="4"/>
    <x v="3"/>
    <x v="0"/>
    <x v="0"/>
    <x v="0"/>
    <x v="4"/>
    <n v="0"/>
    <n v="0"/>
    <n v="7.1999999999999995E-2"/>
    <n v="7.1999999999999995E-2"/>
    <n v="7.1999999999999995E-2"/>
    <n v="7.1999999999999995E-2"/>
    <n v="0"/>
    <x v="0"/>
    <n v="0"/>
    <n v="0"/>
    <n v="7"/>
    <n v="22"/>
    <n v="0"/>
    <n v="526.36"/>
    <n v="240.29"/>
    <m/>
    <n v="581.81186254041518"/>
    <n v="318.47604005907385"/>
    <n v="0"/>
    <n v="37.897919999999999"/>
    <n v="17.300879999999999"/>
    <n v="0"/>
    <n v="41.890454102909892"/>
    <n v="22.930274884253315"/>
  </r>
  <r>
    <s v="Regular"/>
    <x v="1"/>
    <x v="2"/>
    <x v="4"/>
    <x v="3"/>
    <x v="0"/>
    <x v="0"/>
    <x v="0"/>
    <x v="5"/>
    <n v="0"/>
    <n v="0"/>
    <n v="7.1999999999999995E-2"/>
    <n v="7.1999999999999995E-2"/>
    <n v="7.1999999999999995E-2"/>
    <n v="7.1999999999999995E-2"/>
    <n v="0"/>
    <x v="0"/>
    <n v="0"/>
    <n v="0"/>
    <n v="7"/>
    <n v="22"/>
    <n v="0"/>
    <n v="526.36"/>
    <n v="240.29"/>
    <m/>
    <n v="581.81186254041518"/>
    <n v="318.47604005907385"/>
    <n v="0"/>
    <n v="37.897919999999999"/>
    <n v="17.300879999999999"/>
    <n v="0"/>
    <n v="41.890454102909892"/>
    <n v="22.930274884253315"/>
  </r>
  <r>
    <s v="Regular"/>
    <x v="1"/>
    <x v="2"/>
    <x v="4"/>
    <x v="3"/>
    <x v="0"/>
    <x v="0"/>
    <x v="0"/>
    <x v="6"/>
    <n v="0"/>
    <n v="0"/>
    <n v="7.1999999999999995E-2"/>
    <n v="7.1999999999999995E-2"/>
    <n v="7.1999999999999995E-2"/>
    <n v="7.1999999999999995E-2"/>
    <n v="0"/>
    <x v="0"/>
    <n v="0"/>
    <n v="0"/>
    <n v="7"/>
    <n v="22"/>
    <n v="0"/>
    <n v="526.36"/>
    <n v="240.29"/>
    <m/>
    <n v="581.81186254041518"/>
    <n v="318.47604005907385"/>
    <n v="0"/>
    <n v="37.897919999999999"/>
    <n v="17.300879999999999"/>
    <n v="0"/>
    <n v="41.890454102909892"/>
    <n v="22.930274884253315"/>
  </r>
  <r>
    <s v="Regular"/>
    <x v="1"/>
    <x v="2"/>
    <x v="4"/>
    <x v="3"/>
    <x v="0"/>
    <x v="0"/>
    <x v="0"/>
    <x v="7"/>
    <n v="0"/>
    <n v="0"/>
    <n v="7.1999999999999995E-2"/>
    <n v="7.1999999999999995E-2"/>
    <n v="7.1999999999999995E-2"/>
    <n v="7.1999999999999995E-2"/>
    <n v="0"/>
    <x v="0"/>
    <n v="0"/>
    <n v="0"/>
    <n v="7"/>
    <n v="22"/>
    <n v="0"/>
    <n v="526.36"/>
    <n v="240.29"/>
    <m/>
    <n v="581.81186254041518"/>
    <n v="318.47604005907385"/>
    <n v="0"/>
    <n v="37.897919999999999"/>
    <n v="17.300879999999999"/>
    <n v="0"/>
    <n v="41.890454102909892"/>
    <n v="22.930274884253315"/>
  </r>
  <r>
    <s v="Regular"/>
    <x v="1"/>
    <x v="2"/>
    <x v="4"/>
    <x v="3"/>
    <x v="0"/>
    <x v="0"/>
    <x v="0"/>
    <x v="8"/>
    <n v="0"/>
    <n v="0"/>
    <n v="7.1999999999999995E-2"/>
    <n v="7.1999999999999995E-2"/>
    <n v="7.1999999999999995E-2"/>
    <n v="7.1999999999999995E-2"/>
    <n v="0"/>
    <x v="0"/>
    <n v="0"/>
    <n v="0"/>
    <n v="7"/>
    <n v="22"/>
    <n v="0"/>
    <n v="526.36"/>
    <n v="240.29"/>
    <m/>
    <n v="581.81186254041518"/>
    <n v="318.47604005907385"/>
    <n v="0"/>
    <n v="37.897919999999999"/>
    <n v="17.300879999999999"/>
    <n v="0"/>
    <n v="41.890454102909892"/>
    <n v="22.930274884253315"/>
  </r>
  <r>
    <s v="Regular"/>
    <x v="1"/>
    <x v="2"/>
    <x v="4"/>
    <x v="3"/>
    <x v="0"/>
    <x v="0"/>
    <x v="0"/>
    <x v="9"/>
    <n v="0"/>
    <n v="0"/>
    <n v="7.1999999999999995E-2"/>
    <n v="7.1999999999999995E-2"/>
    <n v="7.1999999999999995E-2"/>
    <n v="7.1999999999999995E-2"/>
    <n v="0"/>
    <x v="0"/>
    <n v="0"/>
    <n v="0"/>
    <n v="7"/>
    <n v="22"/>
    <n v="0"/>
    <n v="526.36"/>
    <n v="240.29"/>
    <m/>
    <n v="581.81186254041518"/>
    <n v="318.47604005907385"/>
    <n v="0"/>
    <n v="37.897919999999999"/>
    <n v="17.300879999999999"/>
    <n v="0"/>
    <n v="41.890454102909892"/>
    <n v="22.930274884253315"/>
  </r>
  <r>
    <s v="Regular"/>
    <x v="1"/>
    <x v="2"/>
    <x v="4"/>
    <x v="3"/>
    <x v="0"/>
    <x v="0"/>
    <x v="0"/>
    <x v="10"/>
    <n v="0"/>
    <n v="0"/>
    <n v="7.1999999999999995E-2"/>
    <n v="7.1999999999999995E-2"/>
    <n v="7.1999999999999995E-2"/>
    <n v="7.1999999999999995E-2"/>
    <n v="0"/>
    <x v="0"/>
    <n v="0"/>
    <n v="0"/>
    <n v="7"/>
    <n v="22"/>
    <n v="0"/>
    <n v="526.36"/>
    <n v="240.29"/>
    <m/>
    <n v="581.81186254041518"/>
    <n v="318.47604005907385"/>
    <n v="0"/>
    <n v="37.897919999999999"/>
    <n v="17.300879999999999"/>
    <n v="0"/>
    <n v="41.890454102909892"/>
    <n v="22.930274884253315"/>
  </r>
  <r>
    <s v="Regular"/>
    <x v="1"/>
    <x v="2"/>
    <x v="4"/>
    <x v="3"/>
    <x v="0"/>
    <x v="0"/>
    <x v="1"/>
    <x v="2"/>
    <n v="0"/>
    <n v="0"/>
    <n v="2.8000000000000001E-2"/>
    <n v="2.8000000000000001E-2"/>
    <n v="2.8000000000000001E-2"/>
    <n v="2.8000000000000001E-2"/>
    <n v="0"/>
    <x v="0"/>
    <n v="0"/>
    <n v="0"/>
    <n v="51"/>
    <n v="20"/>
    <n v="0"/>
    <n v="2127.67"/>
    <n v="240.29"/>
    <m/>
    <n v="2312.5948580484483"/>
    <n v="318.47604005907385"/>
    <n v="0"/>
    <n v="59.574760000000005"/>
    <n v="6.7281199999999997"/>
    <n v="0"/>
    <n v="64.752656025356558"/>
    <n v="8.9173291216540687"/>
  </r>
  <r>
    <s v="Regular"/>
    <x v="1"/>
    <x v="2"/>
    <x v="4"/>
    <x v="3"/>
    <x v="0"/>
    <x v="0"/>
    <x v="1"/>
    <x v="3"/>
    <n v="0"/>
    <n v="0"/>
    <n v="3.0000000000000001E-3"/>
    <n v="3.0000000000000001E-3"/>
    <n v="3.0000000000000001E-3"/>
    <n v="3.0000000000000001E-3"/>
    <n v="0"/>
    <x v="0"/>
    <n v="0"/>
    <n v="0"/>
    <n v="51"/>
    <n v="20"/>
    <n v="0"/>
    <n v="2127.67"/>
    <n v="240.29"/>
    <m/>
    <n v="2312.5948580484483"/>
    <n v="318.47604005907385"/>
    <n v="0"/>
    <n v="6.3830100000000005"/>
    <n v="0.72087000000000001"/>
    <n v="0"/>
    <n v="6.9377845741453452"/>
    <n v="0.95542812017722156"/>
  </r>
  <r>
    <s v="Regular"/>
    <x v="1"/>
    <x v="3"/>
    <x v="4"/>
    <x v="3"/>
    <x v="0"/>
    <x v="0"/>
    <x v="2"/>
    <x v="0"/>
    <n v="0"/>
    <n v="0"/>
    <n v="963.36699999999996"/>
    <n v="963.36699999999996"/>
    <n v="963.36699999999996"/>
    <n v="963.36699999999996"/>
    <n v="6188"/>
    <x v="0"/>
    <n v="0"/>
    <n v="0"/>
    <n v="8"/>
    <n v="23"/>
    <n v="0"/>
    <n v="867.38"/>
    <n v="240.29"/>
    <m/>
    <n v="950.40404644085163"/>
    <n v="318.47604005907385"/>
    <n v="0"/>
    <n v="835605.26845999993"/>
    <n v="231487.45642999999"/>
    <n v="0"/>
    <n v="915587.89500758389"/>
    <n v="306809.30728358979"/>
  </r>
  <r>
    <s v="Refaturamento - Regular"/>
    <x v="1"/>
    <x v="3"/>
    <x v="4"/>
    <x v="3"/>
    <x v="0"/>
    <x v="0"/>
    <x v="2"/>
    <x v="0"/>
    <n v="0"/>
    <n v="0"/>
    <n v="-1.056"/>
    <n v="-1.056"/>
    <n v="-1.056"/>
    <n v="-1.056"/>
    <n v="0"/>
    <x v="0"/>
    <n v="0"/>
    <n v="0"/>
    <n v="8"/>
    <n v="23"/>
    <n v="0"/>
    <n v="867.38"/>
    <n v="240.29"/>
    <m/>
    <n v="950.40404644085163"/>
    <n v="318.47604005907385"/>
    <n v="0"/>
    <n v="-915.95328000000006"/>
    <n v="-253.74624"/>
    <n v="0"/>
    <n v="-1003.6266730415393"/>
    <n v="-336.31069830238198"/>
  </r>
  <r>
    <s v="Sistema de Compensação"/>
    <x v="1"/>
    <x v="3"/>
    <x v="4"/>
    <x v="3"/>
    <x v="0"/>
    <x v="0"/>
    <x v="2"/>
    <x v="0"/>
    <n v="0"/>
    <n v="0"/>
    <n v="4.0199999999999996"/>
    <n v="4.0199999999999996"/>
    <n v="4.0199999999999996"/>
    <n v="4.0199999999999996"/>
    <n v="30"/>
    <x v="0"/>
    <n v="0"/>
    <n v="0"/>
    <n v="8"/>
    <n v="23"/>
    <n v="0"/>
    <n v="867.38"/>
    <n v="240.29"/>
    <m/>
    <n v="950.40404644085163"/>
    <n v="318.47604005907385"/>
    <n v="0"/>
    <n v="3486.8675999999996"/>
    <n v="965.96579999999983"/>
    <n v="0"/>
    <n v="3820.624266692223"/>
    <n v="1280.2736810374768"/>
  </r>
  <r>
    <s v="Regular"/>
    <x v="1"/>
    <x v="3"/>
    <x v="4"/>
    <x v="3"/>
    <x v="0"/>
    <x v="0"/>
    <x v="2"/>
    <x v="1"/>
    <n v="0"/>
    <n v="0"/>
    <n v="758.10400000000004"/>
    <n v="758.10400000000004"/>
    <n v="758.10400000000004"/>
    <n v="758.10400000000004"/>
    <n v="6140"/>
    <x v="0"/>
    <n v="0"/>
    <n v="0"/>
    <n v="8"/>
    <n v="23"/>
    <n v="0"/>
    <n v="867.38"/>
    <n v="240.29"/>
    <m/>
    <n v="950.40404644085163"/>
    <n v="318.47604005907385"/>
    <n v="0"/>
    <n v="657564.24751999998"/>
    <n v="182164.81015999999"/>
    <n v="0"/>
    <n v="720505.10922299547"/>
    <n v="241437.95987294413"/>
  </r>
  <r>
    <s v="Refaturamento - Regular"/>
    <x v="1"/>
    <x v="3"/>
    <x v="4"/>
    <x v="3"/>
    <x v="0"/>
    <x v="0"/>
    <x v="2"/>
    <x v="1"/>
    <n v="0"/>
    <n v="0"/>
    <n v="-11.135"/>
    <n v="-11.135"/>
    <n v="-11.135"/>
    <n v="-11.135"/>
    <n v="0"/>
    <x v="0"/>
    <n v="0"/>
    <n v="0"/>
    <n v="8"/>
    <n v="23"/>
    <n v="0"/>
    <n v="867.38"/>
    <n v="240.29"/>
    <m/>
    <n v="950.40404644085163"/>
    <n v="318.47604005907385"/>
    <n v="0"/>
    <n v="-9658.2762999999995"/>
    <n v="-2675.6291499999998"/>
    <n v="0"/>
    <n v="-10582.749057118883"/>
    <n v="-3546.2307060577873"/>
  </r>
  <r>
    <s v="Sistema de Compensação"/>
    <x v="1"/>
    <x v="3"/>
    <x v="4"/>
    <x v="3"/>
    <x v="0"/>
    <x v="0"/>
    <x v="2"/>
    <x v="1"/>
    <n v="0"/>
    <n v="0"/>
    <n v="3.7429999999999999"/>
    <n v="3.7429999999999999"/>
    <n v="3.7429999999999999"/>
    <n v="3.7429999999999999"/>
    <n v="34"/>
    <x v="0"/>
    <n v="0"/>
    <n v="0"/>
    <n v="8"/>
    <n v="23"/>
    <n v="0"/>
    <n v="867.38"/>
    <n v="240.29"/>
    <m/>
    <n v="950.40404644085163"/>
    <n v="318.47604005907385"/>
    <n v="0"/>
    <n v="3246.6033399999997"/>
    <n v="899.40546999999992"/>
    <n v="0"/>
    <n v="3557.3623458281077"/>
    <n v="1192.0558179411134"/>
  </r>
  <r>
    <s v="Regular"/>
    <x v="1"/>
    <x v="3"/>
    <x v="4"/>
    <x v="3"/>
    <x v="0"/>
    <x v="0"/>
    <x v="2"/>
    <x v="2"/>
    <n v="0"/>
    <n v="0"/>
    <n v="897.89300000000003"/>
    <n v="897.89300000000003"/>
    <n v="897.89300000000003"/>
    <n v="897.89300000000003"/>
    <n v="6216"/>
    <x v="0"/>
    <n v="0"/>
    <n v="0"/>
    <n v="8"/>
    <n v="23"/>
    <n v="0"/>
    <n v="867.38"/>
    <n v="240.29"/>
    <m/>
    <n v="950.40404644085163"/>
    <n v="318.47604005907385"/>
    <n v="0"/>
    <n v="778814.43034000008"/>
    <n v="215754.70897000001"/>
    <n v="0"/>
    <n v="853361.14047091559"/>
    <n v="285957.40703676199"/>
  </r>
  <r>
    <s v="Refaturamento - Regular"/>
    <x v="1"/>
    <x v="3"/>
    <x v="4"/>
    <x v="3"/>
    <x v="0"/>
    <x v="0"/>
    <x v="2"/>
    <x v="2"/>
    <n v="0"/>
    <n v="0"/>
    <n v="-100.111"/>
    <n v="-100.111"/>
    <n v="-100.111"/>
    <n v="-100.111"/>
    <n v="0"/>
    <x v="0"/>
    <n v="0"/>
    <n v="0"/>
    <n v="8"/>
    <n v="23"/>
    <n v="0"/>
    <n v="867.38"/>
    <n v="240.29"/>
    <m/>
    <n v="950.40404644085163"/>
    <n v="318.47604005907385"/>
    <n v="0"/>
    <n v="-86834.279179999998"/>
    <n v="-24055.672190000001"/>
    <n v="0"/>
    <n v="-95145.899493240096"/>
    <n v="-31882.954846353943"/>
  </r>
  <r>
    <s v="Sistema de Compensação"/>
    <x v="1"/>
    <x v="3"/>
    <x v="4"/>
    <x v="3"/>
    <x v="0"/>
    <x v="0"/>
    <x v="2"/>
    <x v="2"/>
    <n v="0"/>
    <n v="0"/>
    <n v="4.6529999999999996"/>
    <n v="4.6529999999999996"/>
    <n v="4.6529999999999996"/>
    <n v="4.6529999999999996"/>
    <n v="38"/>
    <x v="0"/>
    <n v="0"/>
    <n v="0"/>
    <n v="8"/>
    <n v="23"/>
    <n v="0"/>
    <n v="867.38"/>
    <n v="240.29"/>
    <m/>
    <n v="950.40404644085163"/>
    <n v="318.47604005907385"/>
    <n v="0"/>
    <n v="4035.9191399999995"/>
    <n v="1118.0693699999999"/>
    <n v="0"/>
    <n v="4422.2300280892823"/>
    <n v="1481.8690143948704"/>
  </r>
  <r>
    <s v="Regular"/>
    <x v="1"/>
    <x v="3"/>
    <x v="4"/>
    <x v="3"/>
    <x v="0"/>
    <x v="0"/>
    <x v="2"/>
    <x v="3"/>
    <n v="0"/>
    <n v="0"/>
    <n v="680.02599999999995"/>
    <n v="680.02599999999995"/>
    <n v="680.02599999999995"/>
    <n v="680.02599999999995"/>
    <n v="6215"/>
    <x v="0"/>
    <n v="0"/>
    <n v="0"/>
    <n v="8"/>
    <n v="23"/>
    <n v="0"/>
    <n v="867.38"/>
    <n v="240.29"/>
    <m/>
    <n v="950.40404644085163"/>
    <n v="318.47604005907385"/>
    <n v="0"/>
    <n v="589840.95187999995"/>
    <n v="163403.44753999999"/>
    <n v="0"/>
    <n v="646299.4620849865"/>
    <n v="216571.98761721174"/>
  </r>
  <r>
    <s v="Refaturamento - Regular"/>
    <x v="1"/>
    <x v="3"/>
    <x v="4"/>
    <x v="3"/>
    <x v="0"/>
    <x v="0"/>
    <x v="2"/>
    <x v="3"/>
    <n v="0"/>
    <n v="0"/>
    <n v="-2.109"/>
    <n v="-2.109"/>
    <n v="-2.109"/>
    <n v="-2.109"/>
    <n v="0"/>
    <x v="0"/>
    <n v="0"/>
    <n v="0"/>
    <n v="8"/>
    <n v="23"/>
    <n v="0"/>
    <n v="867.38"/>
    <n v="240.29"/>
    <m/>
    <n v="950.40404644085163"/>
    <n v="318.47604005907385"/>
    <n v="0"/>
    <n v="-1829.3044199999999"/>
    <n v="-506.77160999999995"/>
    <n v="0"/>
    <n v="-2004.4021339437561"/>
    <n v="-671.66596848458676"/>
  </r>
  <r>
    <s v="Sistema de Compensação"/>
    <x v="1"/>
    <x v="3"/>
    <x v="4"/>
    <x v="3"/>
    <x v="0"/>
    <x v="0"/>
    <x v="2"/>
    <x v="3"/>
    <n v="0"/>
    <n v="0"/>
    <n v="4.1900000000000004"/>
    <n v="4.1900000000000004"/>
    <n v="4.1900000000000004"/>
    <n v="4.1900000000000004"/>
    <n v="40"/>
    <x v="0"/>
    <n v="0"/>
    <n v="0"/>
    <n v="8"/>
    <n v="23"/>
    <n v="0"/>
    <n v="867.38"/>
    <n v="240.29"/>
    <m/>
    <n v="950.40404644085163"/>
    <n v="318.47604005907385"/>
    <n v="0"/>
    <n v="3634.3222000000005"/>
    <n v="1006.8151"/>
    <n v="0"/>
    <n v="3982.1929545871685"/>
    <n v="1334.4146078475196"/>
  </r>
  <r>
    <s v="Regular"/>
    <x v="1"/>
    <x v="3"/>
    <x v="4"/>
    <x v="3"/>
    <x v="0"/>
    <x v="0"/>
    <x v="2"/>
    <x v="4"/>
    <n v="0"/>
    <n v="0"/>
    <n v="722.93700000000001"/>
    <n v="722.93700000000001"/>
    <n v="722.93700000000001"/>
    <n v="722.93700000000001"/>
    <n v="6232"/>
    <x v="0"/>
    <n v="0"/>
    <n v="0"/>
    <n v="8"/>
    <n v="23"/>
    <n v="0"/>
    <n v="867.38"/>
    <n v="240.29"/>
    <m/>
    <n v="950.40404644085163"/>
    <n v="318.47604005907385"/>
    <n v="0"/>
    <n v="627061.09505999996"/>
    <n v="173714.53172999999"/>
    <n v="0"/>
    <n v="687082.25012181001"/>
    <n v="230238.11297218667"/>
  </r>
  <r>
    <s v="Refaturamento - Regular"/>
    <x v="1"/>
    <x v="3"/>
    <x v="4"/>
    <x v="3"/>
    <x v="0"/>
    <x v="0"/>
    <x v="2"/>
    <x v="4"/>
    <n v="0"/>
    <n v="0"/>
    <n v="-0.443"/>
    <n v="-0.443"/>
    <n v="-0.443"/>
    <n v="-0.443"/>
    <n v="0"/>
    <x v="0"/>
    <n v="0"/>
    <n v="0"/>
    <n v="8"/>
    <n v="23"/>
    <n v="0"/>
    <n v="867.38"/>
    <n v="240.29"/>
    <m/>
    <n v="950.40404644085163"/>
    <n v="318.47604005907385"/>
    <n v="0"/>
    <n v="-384.24934000000002"/>
    <n v="-106.44847"/>
    <n v="0"/>
    <n v="-421.02899257329727"/>
    <n v="-141.08488574616973"/>
  </r>
  <r>
    <s v="Sistema de Compensação"/>
    <x v="1"/>
    <x v="3"/>
    <x v="4"/>
    <x v="3"/>
    <x v="0"/>
    <x v="0"/>
    <x v="2"/>
    <x v="4"/>
    <n v="0"/>
    <n v="0"/>
    <n v="4.3440000000000003"/>
    <n v="4.3440000000000003"/>
    <n v="4.3440000000000003"/>
    <n v="4.3440000000000003"/>
    <n v="44"/>
    <x v="0"/>
    <n v="0"/>
    <n v="0"/>
    <n v="8"/>
    <n v="23"/>
    <n v="0"/>
    <n v="867.38"/>
    <n v="240.29"/>
    <m/>
    <n v="950.40404644085163"/>
    <n v="318.47604005907385"/>
    <n v="0"/>
    <n v="3767.8987200000001"/>
    <n v="1043.8197600000001"/>
    <n v="0"/>
    <n v="4128.5551777390601"/>
    <n v="1383.4599180166169"/>
  </r>
  <r>
    <s v="Regular"/>
    <x v="1"/>
    <x v="3"/>
    <x v="4"/>
    <x v="3"/>
    <x v="0"/>
    <x v="0"/>
    <x v="2"/>
    <x v="5"/>
    <n v="0"/>
    <n v="0"/>
    <n v="748.72400000000005"/>
    <n v="748.72400000000005"/>
    <n v="748.72400000000005"/>
    <n v="748.72400000000005"/>
    <n v="6235"/>
    <x v="0"/>
    <n v="0"/>
    <n v="0"/>
    <n v="8"/>
    <n v="23"/>
    <n v="0"/>
    <n v="867.38"/>
    <n v="240.29"/>
    <m/>
    <n v="950.40404644085163"/>
    <n v="318.47604005907385"/>
    <n v="0"/>
    <n v="649428.22311999998"/>
    <n v="179910.88996"/>
    <n v="0"/>
    <n v="711590.31926738028"/>
    <n v="238450.65461719001"/>
  </r>
  <r>
    <s v="Refaturamento - Regular"/>
    <x v="1"/>
    <x v="3"/>
    <x v="4"/>
    <x v="3"/>
    <x v="0"/>
    <x v="0"/>
    <x v="2"/>
    <x v="5"/>
    <n v="0"/>
    <n v="0"/>
    <n v="-1.8620000000000001"/>
    <n v="-1.8620000000000001"/>
    <n v="-1.8620000000000001"/>
    <n v="-1.8620000000000001"/>
    <n v="0"/>
    <x v="0"/>
    <n v="0"/>
    <n v="0"/>
    <n v="8"/>
    <n v="23"/>
    <n v="0"/>
    <n v="867.38"/>
    <n v="240.29"/>
    <m/>
    <n v="950.40404644085163"/>
    <n v="318.47604005907385"/>
    <n v="0"/>
    <n v="-1615.0615600000001"/>
    <n v="-447.41998000000001"/>
    <n v="0"/>
    <n v="-1769.6523344728657"/>
    <n v="-593.00238658999558"/>
  </r>
  <r>
    <s v="Sistema de Compensação"/>
    <x v="1"/>
    <x v="3"/>
    <x v="4"/>
    <x v="3"/>
    <x v="0"/>
    <x v="0"/>
    <x v="2"/>
    <x v="5"/>
    <n v="0"/>
    <n v="0"/>
    <n v="4.1399999999999997"/>
    <n v="4.1399999999999997"/>
    <n v="4.1399999999999997"/>
    <n v="4.1399999999999997"/>
    <n v="48"/>
    <x v="0"/>
    <n v="0"/>
    <n v="0"/>
    <n v="8"/>
    <n v="23"/>
    <n v="0"/>
    <n v="867.38"/>
    <n v="240.29"/>
    <m/>
    <n v="950.40404644085163"/>
    <n v="318.47604005907385"/>
    <n v="0"/>
    <n v="3590.9531999999999"/>
    <n v="994.80059999999992"/>
    <n v="0"/>
    <n v="3934.6727522651254"/>
    <n v="1318.4908058445656"/>
  </r>
  <r>
    <s v="Regular"/>
    <x v="1"/>
    <x v="3"/>
    <x v="4"/>
    <x v="3"/>
    <x v="0"/>
    <x v="0"/>
    <x v="2"/>
    <x v="6"/>
    <n v="0"/>
    <n v="0"/>
    <n v="800.19600000000003"/>
    <n v="800.19600000000003"/>
    <n v="800.19600000000003"/>
    <n v="800.19600000000003"/>
    <n v="6267"/>
    <x v="0"/>
    <n v="0"/>
    <n v="0"/>
    <n v="8"/>
    <n v="23"/>
    <n v="0"/>
    <n v="867.38"/>
    <n v="240.29"/>
    <m/>
    <n v="950.40404644085163"/>
    <n v="318.47604005907385"/>
    <n v="0"/>
    <n v="694074.00647999998"/>
    <n v="192279.09684000001"/>
    <n v="0"/>
    <n v="760509.51634578372"/>
    <n v="254843.25335111067"/>
  </r>
  <r>
    <s v="Refaturamento - Regular"/>
    <x v="1"/>
    <x v="3"/>
    <x v="4"/>
    <x v="3"/>
    <x v="0"/>
    <x v="0"/>
    <x v="2"/>
    <x v="6"/>
    <n v="0"/>
    <n v="0"/>
    <n v="-0.66800000000000004"/>
    <n v="-0.66800000000000004"/>
    <n v="-0.66800000000000004"/>
    <n v="-0.66800000000000004"/>
    <n v="0"/>
    <x v="0"/>
    <n v="0"/>
    <n v="0"/>
    <n v="8"/>
    <n v="23"/>
    <n v="0"/>
    <n v="867.38"/>
    <n v="240.29"/>
    <m/>
    <n v="950.40404644085163"/>
    <n v="318.47604005907385"/>
    <n v="0"/>
    <n v="-579.40984000000003"/>
    <n v="-160.51372000000001"/>
    <n v="0"/>
    <n v="-634.86990302248887"/>
    <n v="-212.74199475946133"/>
  </r>
  <r>
    <s v="Sistema de Compensação"/>
    <x v="1"/>
    <x v="3"/>
    <x v="4"/>
    <x v="3"/>
    <x v="0"/>
    <x v="0"/>
    <x v="2"/>
    <x v="6"/>
    <n v="0"/>
    <n v="0"/>
    <n v="4.28"/>
    <n v="4.28"/>
    <n v="4.28"/>
    <n v="4.28"/>
    <n v="48"/>
    <x v="0"/>
    <n v="0"/>
    <n v="0"/>
    <n v="8"/>
    <n v="23"/>
    <n v="0"/>
    <n v="867.38"/>
    <n v="240.29"/>
    <m/>
    <n v="950.40404644085163"/>
    <n v="318.47604005907385"/>
    <n v="0"/>
    <n v="3712.3864000000003"/>
    <n v="1028.4412"/>
    <n v="0"/>
    <n v="4067.7293187668452"/>
    <n v="1363.0774514528362"/>
  </r>
  <r>
    <s v="Regular"/>
    <x v="1"/>
    <x v="3"/>
    <x v="4"/>
    <x v="3"/>
    <x v="0"/>
    <x v="0"/>
    <x v="2"/>
    <x v="7"/>
    <n v="0"/>
    <n v="0"/>
    <n v="748.33"/>
    <n v="748.33"/>
    <n v="748.33"/>
    <n v="748.33"/>
    <n v="6289"/>
    <x v="0"/>
    <n v="0"/>
    <n v="0"/>
    <n v="8"/>
    <n v="23"/>
    <n v="0"/>
    <n v="867.38"/>
    <n v="240.29"/>
    <m/>
    <n v="950.40404644085163"/>
    <n v="318.47604005907385"/>
    <n v="0"/>
    <n v="649086.4754"/>
    <n v="179816.2157"/>
    <n v="0"/>
    <n v="711215.8600730825"/>
    <n v="238325.17505740674"/>
  </r>
  <r>
    <s v="Refaturamento - Regular"/>
    <x v="1"/>
    <x v="3"/>
    <x v="4"/>
    <x v="3"/>
    <x v="0"/>
    <x v="0"/>
    <x v="2"/>
    <x v="7"/>
    <n v="0"/>
    <n v="0"/>
    <n v="-0.90300000000000002"/>
    <n v="-0.90300000000000002"/>
    <n v="-0.90300000000000002"/>
    <n v="-0.90300000000000002"/>
    <n v="0"/>
    <x v="0"/>
    <n v="0"/>
    <n v="0"/>
    <n v="8"/>
    <n v="23"/>
    <n v="0"/>
    <n v="867.38"/>
    <n v="240.29"/>
    <m/>
    <n v="950.40404644085163"/>
    <n v="318.47604005907385"/>
    <n v="0"/>
    <n v="-783.24414000000002"/>
    <n v="-216.98186999999999"/>
    <n v="0"/>
    <n v="-858.21485393608907"/>
    <n v="-287.58386417334367"/>
  </r>
  <r>
    <s v="Sistema de Compensação"/>
    <x v="1"/>
    <x v="3"/>
    <x v="4"/>
    <x v="3"/>
    <x v="0"/>
    <x v="0"/>
    <x v="2"/>
    <x v="7"/>
    <n v="0"/>
    <n v="0"/>
    <n v="5.0919999999999996"/>
    <n v="5.0919999999999996"/>
    <n v="5.0919999999999996"/>
    <n v="5.0919999999999996"/>
    <n v="49"/>
    <x v="0"/>
    <n v="0"/>
    <n v="0"/>
    <n v="8"/>
    <n v="23"/>
    <n v="0"/>
    <n v="867.38"/>
    <n v="240.29"/>
    <m/>
    <n v="950.40404644085163"/>
    <n v="318.47604005907385"/>
    <n v="0"/>
    <n v="4416.6989599999997"/>
    <n v="1223.5566799999999"/>
    <n v="0"/>
    <n v="4839.457404476816"/>
    <n v="1621.6799959808041"/>
  </r>
  <r>
    <s v="Regular"/>
    <x v="1"/>
    <x v="3"/>
    <x v="4"/>
    <x v="3"/>
    <x v="0"/>
    <x v="0"/>
    <x v="2"/>
    <x v="8"/>
    <n v="0"/>
    <n v="0"/>
    <n v="809.14"/>
    <n v="809.14"/>
    <n v="809.14"/>
    <n v="809.14"/>
    <n v="6289"/>
    <x v="0"/>
    <n v="0"/>
    <n v="0"/>
    <n v="8"/>
    <n v="23"/>
    <n v="0"/>
    <n v="867.38"/>
    <n v="240.29"/>
    <m/>
    <n v="950.40404644085163"/>
    <n v="318.47604005907385"/>
    <n v="0"/>
    <n v="701831.85320000001"/>
    <n v="194428.2506"/>
    <n v="0"/>
    <n v="769009.93013715069"/>
    <n v="257691.70305339902"/>
  </r>
  <r>
    <s v="Refaturamento - Regular"/>
    <x v="1"/>
    <x v="3"/>
    <x v="4"/>
    <x v="3"/>
    <x v="0"/>
    <x v="0"/>
    <x v="2"/>
    <x v="8"/>
    <n v="0"/>
    <n v="0"/>
    <n v="-0.58599999999999997"/>
    <n v="-0.58599999999999997"/>
    <n v="-0.58599999999999997"/>
    <n v="-0.58599999999999997"/>
    <n v="0"/>
    <x v="0"/>
    <n v="0"/>
    <n v="0"/>
    <n v="8"/>
    <n v="23"/>
    <n v="0"/>
    <n v="867.38"/>
    <n v="240.29"/>
    <m/>
    <n v="950.40404644085163"/>
    <n v="318.47604005907385"/>
    <n v="0"/>
    <n v="-508.28467999999998"/>
    <n v="-140.80993999999998"/>
    <n v="0"/>
    <n v="-556.93677121433905"/>
    <n v="-186.62695947461728"/>
  </r>
  <r>
    <s v="Sistema de Compensação"/>
    <x v="1"/>
    <x v="3"/>
    <x v="4"/>
    <x v="3"/>
    <x v="0"/>
    <x v="0"/>
    <x v="2"/>
    <x v="8"/>
    <n v="0"/>
    <n v="0"/>
    <n v="4.6639999999999997"/>
    <n v="4.6639999999999997"/>
    <n v="4.6639999999999997"/>
    <n v="4.6639999999999997"/>
    <n v="54"/>
    <x v="0"/>
    <n v="0"/>
    <n v="0"/>
    <n v="8"/>
    <n v="23"/>
    <n v="0"/>
    <n v="867.38"/>
    <n v="240.29"/>
    <m/>
    <n v="950.40404644085163"/>
    <n v="318.47604005907385"/>
    <n v="0"/>
    <n v="4045.4603199999997"/>
    <n v="1120.7125599999999"/>
    <n v="0"/>
    <n v="4432.6844726001318"/>
    <n v="1485.3722508355204"/>
  </r>
  <r>
    <s v="Regular"/>
    <x v="1"/>
    <x v="3"/>
    <x v="4"/>
    <x v="3"/>
    <x v="0"/>
    <x v="0"/>
    <x v="2"/>
    <x v="9"/>
    <n v="0"/>
    <n v="0"/>
    <n v="924.58500000000004"/>
    <n v="924.58500000000004"/>
    <n v="924.58500000000004"/>
    <n v="924.58500000000004"/>
    <n v="6305"/>
    <x v="0"/>
    <n v="0"/>
    <n v="0"/>
    <n v="8"/>
    <n v="23"/>
    <n v="0"/>
    <n v="867.38"/>
    <n v="240.29"/>
    <m/>
    <n v="950.40404644085163"/>
    <n v="318.47604005907385"/>
    <n v="0"/>
    <n v="801966.53730000008"/>
    <n v="222168.52965000001"/>
    <n v="0"/>
    <n v="878729.32527851488"/>
    <n v="294458.1694980188"/>
  </r>
  <r>
    <s v="Refaturamento - Regular"/>
    <x v="1"/>
    <x v="3"/>
    <x v="4"/>
    <x v="3"/>
    <x v="0"/>
    <x v="0"/>
    <x v="2"/>
    <x v="9"/>
    <n v="0"/>
    <n v="0"/>
    <n v="-0.111"/>
    <n v="-0.111"/>
    <n v="-0.111"/>
    <n v="-0.111"/>
    <n v="0"/>
    <x v="0"/>
    <n v="0"/>
    <n v="0"/>
    <n v="8"/>
    <n v="23"/>
    <n v="0"/>
    <n v="867.38"/>
    <n v="240.29"/>
    <m/>
    <n v="950.40404644085163"/>
    <n v="318.47604005907385"/>
    <n v="0"/>
    <n v="-96.279179999999997"/>
    <n v="-26.672190000000001"/>
    <n v="0"/>
    <n v="-105.49484915493453"/>
    <n v="-35.3508404465572"/>
  </r>
  <r>
    <s v="Sistema de Compensação"/>
    <x v="1"/>
    <x v="3"/>
    <x v="4"/>
    <x v="3"/>
    <x v="0"/>
    <x v="0"/>
    <x v="2"/>
    <x v="9"/>
    <n v="0"/>
    <n v="0"/>
    <n v="8.1890000000000001"/>
    <n v="8.1890000000000001"/>
    <n v="8.1890000000000001"/>
    <n v="8.1890000000000001"/>
    <n v="56"/>
    <x v="0"/>
    <n v="0"/>
    <n v="0"/>
    <n v="8"/>
    <n v="23"/>
    <n v="0"/>
    <n v="867.38"/>
    <n v="240.29"/>
    <m/>
    <n v="950.40404644085163"/>
    <n v="318.47604005907385"/>
    <n v="0"/>
    <n v="7102.9748200000004"/>
    <n v="1967.7348099999999"/>
    <n v="0"/>
    <n v="7782.8587363041343"/>
    <n v="2608.000292043756"/>
  </r>
  <r>
    <s v="Regular"/>
    <x v="1"/>
    <x v="3"/>
    <x v="4"/>
    <x v="3"/>
    <x v="0"/>
    <x v="0"/>
    <x v="2"/>
    <x v="10"/>
    <n v="0"/>
    <n v="0"/>
    <n v="949.33"/>
    <n v="949.33"/>
    <n v="949.33"/>
    <n v="949.33"/>
    <n v="6291"/>
    <x v="0"/>
    <n v="0"/>
    <n v="0"/>
    <n v="8"/>
    <n v="23"/>
    <n v="0"/>
    <n v="867.38"/>
    <n v="240.29"/>
    <m/>
    <n v="950.40404644085163"/>
    <n v="318.47604005907385"/>
    <n v="0"/>
    <n v="823429.8554"/>
    <n v="228114.50570000001"/>
    <n v="0"/>
    <n v="902247.07340769377"/>
    <n v="302338.85910928057"/>
  </r>
  <r>
    <s v="Refaturamento - Regular"/>
    <x v="1"/>
    <x v="3"/>
    <x v="4"/>
    <x v="3"/>
    <x v="0"/>
    <x v="0"/>
    <x v="2"/>
    <x v="10"/>
    <n v="0"/>
    <n v="0"/>
    <n v="-1.7000000000000001E-2"/>
    <n v="-1.7000000000000001E-2"/>
    <n v="-1.7000000000000001E-2"/>
    <n v="-1.7000000000000001E-2"/>
    <n v="0"/>
    <x v="0"/>
    <n v="0"/>
    <n v="0"/>
    <n v="8"/>
    <n v="23"/>
    <n v="0"/>
    <n v="867.38"/>
    <n v="240.29"/>
    <m/>
    <n v="950.40404644085163"/>
    <n v="318.47604005907385"/>
    <n v="0"/>
    <n v="-14.745460000000001"/>
    <n v="-4.0849299999999999"/>
    <n v="0"/>
    <n v="-16.156868789494478"/>
    <n v="-5.4140926810042558"/>
  </r>
  <r>
    <s v="Sistema de Compensação"/>
    <x v="1"/>
    <x v="3"/>
    <x v="4"/>
    <x v="3"/>
    <x v="0"/>
    <x v="0"/>
    <x v="2"/>
    <x v="10"/>
    <n v="0"/>
    <n v="0"/>
    <n v="6.3570000000000002"/>
    <n v="6.3570000000000002"/>
    <n v="6.3570000000000002"/>
    <n v="6.3570000000000002"/>
    <n v="59"/>
    <x v="0"/>
    <n v="0"/>
    <n v="0"/>
    <n v="8"/>
    <n v="23"/>
    <n v="0"/>
    <n v="867.38"/>
    <n v="240.29"/>
    <m/>
    <n v="950.40404644085163"/>
    <n v="318.47604005907385"/>
    <n v="0"/>
    <n v="5513.9346599999999"/>
    <n v="1527.5235299999999"/>
    <n v="0"/>
    <n v="6041.7185232244938"/>
    <n v="2024.5521866555325"/>
  </r>
  <r>
    <s v="Regular"/>
    <x v="1"/>
    <x v="3"/>
    <x v="4"/>
    <x v="3"/>
    <x v="0"/>
    <x v="0"/>
    <x v="2"/>
    <x v="11"/>
    <n v="0"/>
    <n v="0"/>
    <n v="925.30700000000002"/>
    <n v="925.30700000000002"/>
    <n v="925.30700000000002"/>
    <n v="925.30700000000002"/>
    <n v="6026"/>
    <x v="0"/>
    <n v="0"/>
    <n v="0"/>
    <n v="8"/>
    <n v="23"/>
    <n v="0"/>
    <n v="867.38"/>
    <n v="240.29"/>
    <m/>
    <n v="950.40404644085163"/>
    <n v="318.47604005907385"/>
    <n v="0"/>
    <n v="802592.78566000005"/>
    <n v="222342.01903"/>
    <n v="0"/>
    <n v="879415.51700004516"/>
    <n v="294688.10919894144"/>
  </r>
  <r>
    <s v="Refaturamento - Regular"/>
    <x v="1"/>
    <x v="3"/>
    <x v="4"/>
    <x v="3"/>
    <x v="0"/>
    <x v="0"/>
    <x v="2"/>
    <x v="11"/>
    <n v="0"/>
    <n v="0"/>
    <n v="0.20599999999999999"/>
    <n v="0.20599999999999999"/>
    <n v="0.20599999999999999"/>
    <n v="0.20599999999999999"/>
    <n v="0"/>
    <x v="0"/>
    <n v="0"/>
    <n v="0"/>
    <n v="8"/>
    <n v="23"/>
    <n v="0"/>
    <n v="867.38"/>
    <n v="240.29"/>
    <m/>
    <n v="950.40404644085163"/>
    <n v="318.47604005907385"/>
    <n v="0"/>
    <n v="178.68027999999998"/>
    <n v="49.499739999999996"/>
    <n v="0"/>
    <n v="195.78323356681543"/>
    <n v="65.606064252169205"/>
  </r>
  <r>
    <s v="Sistema de Compensação"/>
    <x v="1"/>
    <x v="3"/>
    <x v="4"/>
    <x v="3"/>
    <x v="0"/>
    <x v="0"/>
    <x v="2"/>
    <x v="11"/>
    <n v="0"/>
    <n v="0"/>
    <n v="13.574999999999999"/>
    <n v="13.574999999999999"/>
    <n v="13.574999999999999"/>
    <n v="13.574999999999999"/>
    <n v="62"/>
    <x v="0"/>
    <n v="0"/>
    <n v="0"/>
    <n v="8"/>
    <n v="23"/>
    <n v="0"/>
    <n v="867.38"/>
    <n v="240.29"/>
    <m/>
    <n v="950.40404644085163"/>
    <n v="318.47604005907385"/>
    <n v="0"/>
    <n v="11774.683499999999"/>
    <n v="3261.9367499999998"/>
    <n v="0"/>
    <n v="12901.734930434561"/>
    <n v="4323.3122438019273"/>
  </r>
  <r>
    <s v="Regular"/>
    <x v="1"/>
    <x v="3"/>
    <x v="4"/>
    <x v="4"/>
    <x v="0"/>
    <x v="0"/>
    <x v="2"/>
    <x v="0"/>
    <n v="0"/>
    <n v="0"/>
    <n v="1.95"/>
    <n v="1.95"/>
    <n v="1.95"/>
    <n v="1.95"/>
    <n v="2"/>
    <x v="0"/>
    <n v="0"/>
    <n v="0"/>
    <n v="9"/>
    <n v="75"/>
    <n v="0"/>
    <n v="273.68"/>
    <n v="84.1"/>
    <m/>
    <n v="290.14508128096867"/>
    <n v="111.46661402067585"/>
    <n v="0"/>
    <n v="533.67600000000004"/>
    <n v="163.99499999999998"/>
    <n v="0"/>
    <n v="565.78290849788891"/>
    <n v="217.3598973403179"/>
  </r>
  <r>
    <s v="Regular"/>
    <x v="1"/>
    <x v="3"/>
    <x v="4"/>
    <x v="4"/>
    <x v="0"/>
    <x v="0"/>
    <x v="2"/>
    <x v="1"/>
    <n v="0"/>
    <n v="0"/>
    <n v="2.13"/>
    <n v="2.13"/>
    <n v="2.13"/>
    <n v="2.13"/>
    <n v="3"/>
    <x v="0"/>
    <n v="0"/>
    <n v="0"/>
    <n v="9"/>
    <n v="75"/>
    <n v="0"/>
    <n v="273.68"/>
    <n v="84.1"/>
    <m/>
    <n v="290.14508128096867"/>
    <n v="111.46661402067585"/>
    <n v="0"/>
    <n v="582.9384"/>
    <n v="179.13299999999998"/>
    <n v="0"/>
    <n v="618.00902312846324"/>
    <n v="237.42388786403956"/>
  </r>
  <r>
    <s v="Regular"/>
    <x v="1"/>
    <x v="3"/>
    <x v="4"/>
    <x v="4"/>
    <x v="0"/>
    <x v="0"/>
    <x v="2"/>
    <x v="2"/>
    <n v="0"/>
    <n v="0"/>
    <n v="2.2200000000000002"/>
    <n v="2.2200000000000002"/>
    <n v="2.2200000000000002"/>
    <n v="2.2200000000000002"/>
    <n v="3"/>
    <x v="0"/>
    <n v="0"/>
    <n v="0"/>
    <n v="9"/>
    <n v="75"/>
    <n v="0"/>
    <n v="273.68"/>
    <n v="84.1"/>
    <m/>
    <n v="290.14508128096867"/>
    <n v="111.46661402067585"/>
    <n v="0"/>
    <n v="607.56960000000004"/>
    <n v="186.702"/>
    <n v="0"/>
    <n v="644.12208044375052"/>
    <n v="247.45588312590041"/>
  </r>
  <r>
    <s v="Regular"/>
    <x v="1"/>
    <x v="3"/>
    <x v="4"/>
    <x v="4"/>
    <x v="0"/>
    <x v="0"/>
    <x v="2"/>
    <x v="3"/>
    <n v="0"/>
    <n v="0"/>
    <n v="2.2799999999999998"/>
    <n v="2.2799999999999998"/>
    <n v="2.2799999999999998"/>
    <n v="2.2799999999999998"/>
    <n v="3"/>
    <x v="0"/>
    <n v="0"/>
    <n v="0"/>
    <n v="9"/>
    <n v="75"/>
    <n v="0"/>
    <n v="273.68"/>
    <n v="84.1"/>
    <m/>
    <n v="290.14508128096867"/>
    <n v="111.46661402067585"/>
    <n v="0"/>
    <n v="623.99039999999991"/>
    <n v="191.74799999999996"/>
    <n v="0"/>
    <n v="661.53078532060852"/>
    <n v="254.14387996714092"/>
  </r>
  <r>
    <s v="Regular"/>
    <x v="1"/>
    <x v="3"/>
    <x v="4"/>
    <x v="4"/>
    <x v="0"/>
    <x v="0"/>
    <x v="2"/>
    <x v="4"/>
    <n v="0"/>
    <n v="0"/>
    <n v="2.31"/>
    <n v="2.31"/>
    <n v="2.31"/>
    <n v="2.31"/>
    <n v="5"/>
    <x v="0"/>
    <n v="0"/>
    <n v="0"/>
    <n v="9"/>
    <n v="75"/>
    <n v="0"/>
    <n v="273.68"/>
    <n v="84.1"/>
    <m/>
    <n v="290.14508128096867"/>
    <n v="111.46661402067585"/>
    <n v="0"/>
    <n v="632.20080000000007"/>
    <n v="194.27099999999999"/>
    <n v="0"/>
    <n v="670.23513775903768"/>
    <n v="257.48787838776121"/>
  </r>
  <r>
    <s v="Regular"/>
    <x v="1"/>
    <x v="3"/>
    <x v="4"/>
    <x v="4"/>
    <x v="0"/>
    <x v="0"/>
    <x v="2"/>
    <x v="5"/>
    <n v="0"/>
    <n v="0"/>
    <n v="2.34"/>
    <n v="2.34"/>
    <n v="2.34"/>
    <n v="2.34"/>
    <n v="2"/>
    <x v="0"/>
    <n v="0"/>
    <n v="0"/>
    <n v="9"/>
    <n v="75"/>
    <n v="0"/>
    <n v="273.68"/>
    <n v="84.1"/>
    <m/>
    <n v="290.14508128096867"/>
    <n v="111.46661402067585"/>
    <n v="0"/>
    <n v="640.41120000000001"/>
    <n v="196.79399999999998"/>
    <n v="0"/>
    <n v="678.93949019746663"/>
    <n v="260.83187680838148"/>
  </r>
  <r>
    <s v="Regular"/>
    <x v="1"/>
    <x v="3"/>
    <x v="4"/>
    <x v="4"/>
    <x v="0"/>
    <x v="0"/>
    <x v="2"/>
    <x v="6"/>
    <n v="0"/>
    <n v="0"/>
    <n v="2.4300000000000002"/>
    <n v="2.4300000000000002"/>
    <n v="2.4300000000000002"/>
    <n v="2.4300000000000002"/>
    <n v="2"/>
    <x v="0"/>
    <n v="0"/>
    <n v="0"/>
    <n v="9"/>
    <n v="75"/>
    <n v="0"/>
    <n v="273.68"/>
    <n v="84.1"/>
    <m/>
    <n v="290.14508128096867"/>
    <n v="111.46661402067585"/>
    <n v="0"/>
    <n v="665.04240000000004"/>
    <n v="204.363"/>
    <n v="0"/>
    <n v="705.0525475127539"/>
    <n v="270.86387207024234"/>
  </r>
  <r>
    <s v="Regular"/>
    <x v="1"/>
    <x v="3"/>
    <x v="4"/>
    <x v="4"/>
    <x v="0"/>
    <x v="0"/>
    <x v="2"/>
    <x v="7"/>
    <n v="0"/>
    <n v="0"/>
    <n v="2.64"/>
    <n v="2.64"/>
    <n v="2.64"/>
    <n v="2.64"/>
    <n v="5"/>
    <x v="0"/>
    <n v="0"/>
    <n v="0"/>
    <n v="9"/>
    <n v="75"/>
    <n v="0"/>
    <n v="273.68"/>
    <n v="84.1"/>
    <m/>
    <n v="290.14508128096867"/>
    <n v="111.46661402067585"/>
    <n v="0"/>
    <n v="722.51520000000005"/>
    <n v="222.024"/>
    <n v="0"/>
    <n v="765.98301458175729"/>
    <n v="294.27186101458426"/>
  </r>
  <r>
    <s v="Regular"/>
    <x v="1"/>
    <x v="3"/>
    <x v="4"/>
    <x v="4"/>
    <x v="0"/>
    <x v="0"/>
    <x v="2"/>
    <x v="8"/>
    <n v="0"/>
    <n v="0"/>
    <n v="2.73"/>
    <n v="2.73"/>
    <n v="2.73"/>
    <n v="2.73"/>
    <n v="5"/>
    <x v="0"/>
    <n v="0"/>
    <n v="0"/>
    <n v="9"/>
    <n v="75"/>
    <n v="0"/>
    <n v="273.68"/>
    <n v="84.1"/>
    <m/>
    <n v="290.14508128096867"/>
    <n v="111.46661402067585"/>
    <n v="0"/>
    <n v="747.14639999999997"/>
    <n v="229.59299999999999"/>
    <n v="0"/>
    <n v="792.09607189704445"/>
    <n v="304.30385627644506"/>
  </r>
  <r>
    <s v="Regular"/>
    <x v="1"/>
    <x v="3"/>
    <x v="4"/>
    <x v="4"/>
    <x v="0"/>
    <x v="0"/>
    <x v="2"/>
    <x v="9"/>
    <n v="0"/>
    <n v="0"/>
    <n v="2.73"/>
    <n v="2.73"/>
    <n v="2.73"/>
    <n v="2.73"/>
    <n v="3"/>
    <x v="0"/>
    <n v="0"/>
    <n v="0"/>
    <n v="9"/>
    <n v="75"/>
    <n v="0"/>
    <n v="273.68"/>
    <n v="84.1"/>
    <m/>
    <n v="290.14508128096867"/>
    <n v="111.46661402067585"/>
    <n v="0"/>
    <n v="747.14639999999997"/>
    <n v="229.59299999999999"/>
    <n v="0"/>
    <n v="792.09607189704445"/>
    <n v="304.30385627644506"/>
  </r>
  <r>
    <s v="Regular"/>
    <x v="1"/>
    <x v="3"/>
    <x v="4"/>
    <x v="4"/>
    <x v="0"/>
    <x v="0"/>
    <x v="2"/>
    <x v="10"/>
    <n v="0"/>
    <n v="0"/>
    <n v="3.15"/>
    <n v="3.15"/>
    <n v="3.15"/>
    <n v="3.15"/>
    <n v="4"/>
    <x v="0"/>
    <n v="0"/>
    <n v="0"/>
    <n v="9"/>
    <n v="75"/>
    <n v="0"/>
    <n v="273.68"/>
    <n v="84.1"/>
    <m/>
    <n v="290.14508128096867"/>
    <n v="111.46661402067585"/>
    <n v="0"/>
    <n v="862.09199999999998"/>
    <n v="264.91499999999996"/>
    <n v="0"/>
    <n v="913.95700603505122"/>
    <n v="351.11983416512891"/>
  </r>
  <r>
    <s v="Regular"/>
    <x v="1"/>
    <x v="3"/>
    <x v="4"/>
    <x v="4"/>
    <x v="0"/>
    <x v="0"/>
    <x v="2"/>
    <x v="11"/>
    <n v="0"/>
    <n v="0"/>
    <n v="11.67"/>
    <n v="11.67"/>
    <n v="11.67"/>
    <n v="11.67"/>
    <n v="30"/>
    <x v="0"/>
    <n v="0"/>
    <n v="0"/>
    <n v="9"/>
    <n v="75"/>
    <n v="0"/>
    <n v="273.68"/>
    <n v="84.1"/>
    <m/>
    <n v="290.14508128096867"/>
    <n v="111.46661402067585"/>
    <n v="0"/>
    <n v="3193.8456000000001"/>
    <n v="981.44699999999989"/>
    <n v="0"/>
    <n v="3385.9930985489045"/>
    <n v="1300.8153856212871"/>
  </r>
  <r>
    <s v="Regular"/>
    <x v="1"/>
    <x v="3"/>
    <x v="4"/>
    <x v="5"/>
    <x v="0"/>
    <x v="0"/>
    <x v="2"/>
    <x v="0"/>
    <n v="0"/>
    <n v="0"/>
    <n v="4.2549999999999999"/>
    <n v="4.2549999999999999"/>
    <n v="4.2549999999999999"/>
    <n v="4.2549999999999999"/>
    <n v="7"/>
    <x v="0"/>
    <n v="0"/>
    <n v="0"/>
    <n v="53"/>
    <n v="76"/>
    <n v="0"/>
    <n v="469.16"/>
    <n v="144.18"/>
    <m/>
    <n v="497.39156791023203"/>
    <n v="191.08562403544431"/>
    <n v="0"/>
    <n v="1996.2758000000001"/>
    <n v="613.48590000000002"/>
    <n v="0"/>
    <n v="2116.4011214580373"/>
    <n v="813.0693302708155"/>
  </r>
  <r>
    <s v="Regular"/>
    <x v="1"/>
    <x v="3"/>
    <x v="4"/>
    <x v="5"/>
    <x v="0"/>
    <x v="0"/>
    <x v="2"/>
    <x v="1"/>
    <n v="0"/>
    <n v="0"/>
    <n v="4.4409999999999998"/>
    <n v="4.4409999999999998"/>
    <n v="4.4409999999999998"/>
    <n v="4.4409999999999998"/>
    <n v="11"/>
    <x v="0"/>
    <n v="0"/>
    <n v="0"/>
    <n v="53"/>
    <n v="76"/>
    <n v="0"/>
    <n v="469.16"/>
    <n v="144.18"/>
    <m/>
    <n v="497.39156791023203"/>
    <n v="191.08562403544431"/>
    <n v="0"/>
    <n v="2083.5395600000002"/>
    <n v="640.30338000000006"/>
    <n v="0"/>
    <n v="2208.9159530893403"/>
    <n v="848.61125634140819"/>
  </r>
  <r>
    <s v="Regular"/>
    <x v="1"/>
    <x v="3"/>
    <x v="4"/>
    <x v="5"/>
    <x v="0"/>
    <x v="0"/>
    <x v="2"/>
    <x v="2"/>
    <n v="0"/>
    <n v="0"/>
    <n v="4.7050000000000001"/>
    <n v="4.7050000000000001"/>
    <n v="4.7050000000000001"/>
    <n v="4.7050000000000001"/>
    <n v="12"/>
    <x v="0"/>
    <n v="0"/>
    <n v="0"/>
    <n v="53"/>
    <n v="76"/>
    <n v="0"/>
    <n v="469.16"/>
    <n v="144.18"/>
    <m/>
    <n v="497.39156791023203"/>
    <n v="191.08562403544431"/>
    <n v="0"/>
    <n v="2207.3978000000002"/>
    <n v="678.36689999999999"/>
    <n v="0"/>
    <n v="2340.2273270176415"/>
    <n v="899.05786108676546"/>
  </r>
  <r>
    <s v="Regular"/>
    <x v="1"/>
    <x v="3"/>
    <x v="4"/>
    <x v="5"/>
    <x v="0"/>
    <x v="0"/>
    <x v="2"/>
    <x v="3"/>
    <n v="0"/>
    <n v="0"/>
    <n v="4.46"/>
    <n v="4.46"/>
    <n v="4.46"/>
    <n v="4.46"/>
    <n v="28"/>
    <x v="0"/>
    <n v="0"/>
    <n v="0"/>
    <n v="53"/>
    <n v="76"/>
    <n v="0"/>
    <n v="469.16"/>
    <n v="144.18"/>
    <m/>
    <n v="497.39156791023203"/>
    <n v="191.08562403544431"/>
    <n v="0"/>
    <n v="2092.4536000000003"/>
    <n v="643.04280000000006"/>
    <n v="0"/>
    <n v="2218.366392879635"/>
    <n v="852.24188319808161"/>
  </r>
  <r>
    <s v="Regular"/>
    <x v="1"/>
    <x v="3"/>
    <x v="4"/>
    <x v="5"/>
    <x v="0"/>
    <x v="0"/>
    <x v="2"/>
    <x v="4"/>
    <n v="0"/>
    <n v="0"/>
    <n v="4.375"/>
    <n v="4.375"/>
    <n v="4.375"/>
    <n v="4.375"/>
    <n v="31"/>
    <x v="0"/>
    <n v="0"/>
    <n v="0"/>
    <n v="53"/>
    <n v="76"/>
    <n v="0"/>
    <n v="469.16"/>
    <n v="144.18"/>
    <m/>
    <n v="497.39156791023203"/>
    <n v="191.08562403544431"/>
    <n v="0"/>
    <n v="2052.5750000000003"/>
    <n v="630.78750000000002"/>
    <n v="0"/>
    <n v="2176.0881096072653"/>
    <n v="835.99960515506882"/>
  </r>
  <r>
    <s v="Regular"/>
    <x v="1"/>
    <x v="3"/>
    <x v="4"/>
    <x v="5"/>
    <x v="0"/>
    <x v="0"/>
    <x v="2"/>
    <x v="5"/>
    <n v="0"/>
    <n v="0"/>
    <n v="4.665"/>
    <n v="4.665"/>
    <n v="4.665"/>
    <n v="4.665"/>
    <n v="20"/>
    <x v="0"/>
    <n v="0"/>
    <n v="0"/>
    <n v="53"/>
    <n v="76"/>
    <n v="0"/>
    <n v="469.16"/>
    <n v="144.18"/>
    <m/>
    <n v="497.39156791023203"/>
    <n v="191.08562403544431"/>
    <n v="0"/>
    <n v="2188.6314000000002"/>
    <n v="672.59969999999998"/>
    <n v="0"/>
    <n v="2320.3316643012326"/>
    <n v="891.41443612534772"/>
  </r>
  <r>
    <s v="Regular"/>
    <x v="1"/>
    <x v="3"/>
    <x v="4"/>
    <x v="5"/>
    <x v="0"/>
    <x v="0"/>
    <x v="2"/>
    <x v="6"/>
    <n v="0"/>
    <n v="0"/>
    <n v="4.9409999999999998"/>
    <n v="4.9409999999999998"/>
    <n v="4.9409999999999998"/>
    <n v="4.9409999999999998"/>
    <n v="19"/>
    <x v="0"/>
    <n v="0"/>
    <n v="0"/>
    <n v="53"/>
    <n v="76"/>
    <n v="0"/>
    <n v="469.16"/>
    <n v="144.18"/>
    <m/>
    <n v="497.39156791023203"/>
    <n v="191.08562403544431"/>
    <n v="0"/>
    <n v="2318.1195600000001"/>
    <n v="712.39337999999998"/>
    <n v="0"/>
    <n v="2457.6117370444563"/>
    <n v="944.15406835913029"/>
  </r>
  <r>
    <s v="Regular"/>
    <x v="1"/>
    <x v="3"/>
    <x v="4"/>
    <x v="5"/>
    <x v="0"/>
    <x v="0"/>
    <x v="2"/>
    <x v="7"/>
    <n v="0"/>
    <n v="0"/>
    <n v="5.03"/>
    <n v="5.03"/>
    <n v="5.03"/>
    <n v="5.03"/>
    <n v="28"/>
    <x v="0"/>
    <n v="0"/>
    <n v="0"/>
    <n v="53"/>
    <n v="76"/>
    <n v="0"/>
    <n v="469.16"/>
    <n v="144.18"/>
    <m/>
    <n v="497.39156791023203"/>
    <n v="191.08562403544431"/>
    <n v="0"/>
    <n v="2359.8748000000001"/>
    <n v="725.22540000000004"/>
    <n v="0"/>
    <n v="2501.8795865884672"/>
    <n v="961.16068889828489"/>
  </r>
  <r>
    <s v="Regular"/>
    <x v="1"/>
    <x v="3"/>
    <x v="4"/>
    <x v="5"/>
    <x v="0"/>
    <x v="0"/>
    <x v="2"/>
    <x v="8"/>
    <n v="0"/>
    <n v="0"/>
    <n v="5.51"/>
    <n v="5.51"/>
    <n v="5.51"/>
    <n v="5.51"/>
    <n v="20"/>
    <x v="0"/>
    <n v="0"/>
    <n v="0"/>
    <n v="53"/>
    <n v="76"/>
    <n v="0"/>
    <n v="469.16"/>
    <n v="144.18"/>
    <m/>
    <n v="497.39156791023203"/>
    <n v="191.08562403544431"/>
    <n v="0"/>
    <n v="2585.0716000000002"/>
    <n v="794.43179999999995"/>
    <n v="0"/>
    <n v="2740.6275391853783"/>
    <n v="1052.8817884352982"/>
  </r>
  <r>
    <s v="Regular"/>
    <x v="1"/>
    <x v="3"/>
    <x v="4"/>
    <x v="5"/>
    <x v="0"/>
    <x v="0"/>
    <x v="2"/>
    <x v="9"/>
    <n v="0"/>
    <n v="0"/>
    <n v="5.641"/>
    <n v="5.641"/>
    <n v="5.641"/>
    <n v="5.641"/>
    <n v="19"/>
    <x v="0"/>
    <n v="0"/>
    <n v="0"/>
    <n v="53"/>
    <n v="76"/>
    <n v="0"/>
    <n v="469.16"/>
    <n v="144.18"/>
    <m/>
    <n v="497.39156791023203"/>
    <n v="191.08562403544431"/>
    <n v="0"/>
    <n v="2646.5315600000004"/>
    <n v="813.31938000000002"/>
    <n v="0"/>
    <n v="2805.7858345816189"/>
    <n v="1077.9140051839413"/>
  </r>
  <r>
    <s v="Regular"/>
    <x v="1"/>
    <x v="3"/>
    <x v="4"/>
    <x v="5"/>
    <x v="0"/>
    <x v="0"/>
    <x v="2"/>
    <x v="10"/>
    <n v="0"/>
    <n v="0"/>
    <n v="6.7670000000000003"/>
    <n v="6.7670000000000003"/>
    <n v="6.7670000000000003"/>
    <n v="6.7670000000000003"/>
    <n v="14"/>
    <x v="0"/>
    <n v="0"/>
    <n v="0"/>
    <n v="53"/>
    <n v="76"/>
    <n v="0"/>
    <n v="469.16"/>
    <n v="144.18"/>
    <m/>
    <n v="497.39156791023203"/>
    <n v="191.08562403544431"/>
    <n v="0"/>
    <n v="3174.8057200000003"/>
    <n v="975.66606000000013"/>
    <n v="0"/>
    <n v="3365.8487400485401"/>
    <n v="1293.0764178478516"/>
  </r>
  <r>
    <s v="Regular"/>
    <x v="1"/>
    <x v="3"/>
    <x v="4"/>
    <x v="5"/>
    <x v="0"/>
    <x v="0"/>
    <x v="2"/>
    <x v="11"/>
    <n v="0"/>
    <n v="0"/>
    <n v="22.331"/>
    <n v="22.331"/>
    <n v="22.331"/>
    <n v="22.331"/>
    <n v="92"/>
    <x v="0"/>
    <n v="0"/>
    <n v="0"/>
    <n v="53"/>
    <n v="76"/>
    <n v="0"/>
    <n v="469.16"/>
    <n v="144.18"/>
    <m/>
    <n v="497.39156791023203"/>
    <n v="191.08562403544431"/>
    <n v="0"/>
    <n v="10476.811960000001"/>
    <n v="3219.6835799999999"/>
    <n v="0"/>
    <n v="11107.251103003391"/>
    <n v="4267.133070335507"/>
  </r>
  <r>
    <s v="Regular"/>
    <x v="1"/>
    <x v="3"/>
    <x v="4"/>
    <x v="6"/>
    <x v="0"/>
    <x v="0"/>
    <x v="2"/>
    <x v="0"/>
    <n v="0"/>
    <n v="0"/>
    <n v="4.0590000000000002"/>
    <n v="4.0590000000000002"/>
    <n v="4.0590000000000002"/>
    <n v="4.0590000000000002"/>
    <n v="47"/>
    <x v="0"/>
    <n v="0"/>
    <n v="0"/>
    <n v="54"/>
    <n v="24"/>
    <n v="0"/>
    <n v="703.74"/>
    <n v="216.26"/>
    <m/>
    <n v="746.08735186534807"/>
    <n v="286.62843605316647"/>
    <n v="0"/>
    <n v="2856.4806600000002"/>
    <n v="877.79934000000003"/>
    <n v="0"/>
    <n v="3028.3685612214481"/>
    <n v="1163.4248219398028"/>
  </r>
  <r>
    <s v="Regular"/>
    <x v="1"/>
    <x v="3"/>
    <x v="4"/>
    <x v="6"/>
    <x v="0"/>
    <x v="0"/>
    <x v="2"/>
    <x v="1"/>
    <n v="0"/>
    <n v="0"/>
    <n v="2.5710000000000002"/>
    <n v="2.5710000000000002"/>
    <n v="2.5710000000000002"/>
    <n v="2.5710000000000002"/>
    <n v="53"/>
    <x v="0"/>
    <n v="0"/>
    <n v="0"/>
    <n v="54"/>
    <n v="24"/>
    <n v="0"/>
    <n v="703.74"/>
    <n v="216.26"/>
    <m/>
    <n v="746.08735186534807"/>
    <n v="286.62843605316647"/>
    <n v="0"/>
    <n v="1809.3155400000001"/>
    <n v="556.00445999999999"/>
    <n v="0"/>
    <n v="1918.19058164581"/>
    <n v="736.921709092691"/>
  </r>
  <r>
    <s v="Regular"/>
    <x v="1"/>
    <x v="3"/>
    <x v="4"/>
    <x v="6"/>
    <x v="0"/>
    <x v="0"/>
    <x v="2"/>
    <x v="2"/>
    <n v="0"/>
    <n v="0"/>
    <n v="3.3809999999999998"/>
    <n v="3.3809999999999998"/>
    <n v="3.3809999999999998"/>
    <n v="3.3809999999999998"/>
    <n v="53"/>
    <x v="0"/>
    <n v="0"/>
    <n v="0"/>
    <n v="54"/>
    <n v="24"/>
    <n v="0"/>
    <n v="703.74"/>
    <n v="216.26"/>
    <m/>
    <n v="746.08735186534807"/>
    <n v="286.62843605316647"/>
    <n v="0"/>
    <n v="2379.34494"/>
    <n v="731.17505999999992"/>
    <n v="0"/>
    <n v="2522.5213366567418"/>
    <n v="969.09074229575572"/>
  </r>
  <r>
    <s v="Regular"/>
    <x v="1"/>
    <x v="3"/>
    <x v="4"/>
    <x v="6"/>
    <x v="0"/>
    <x v="0"/>
    <x v="2"/>
    <x v="3"/>
    <n v="0"/>
    <n v="0"/>
    <n v="1.5980000000000001"/>
    <n v="1.5980000000000001"/>
    <n v="1.5980000000000001"/>
    <n v="1.5980000000000001"/>
    <n v="42"/>
    <x v="0"/>
    <n v="0"/>
    <n v="0"/>
    <n v="54"/>
    <n v="24"/>
    <n v="0"/>
    <n v="703.74"/>
    <n v="216.26"/>
    <m/>
    <n v="746.08735186534807"/>
    <n v="286.62843605316647"/>
    <n v="0"/>
    <n v="1124.5765200000001"/>
    <n v="345.58348000000001"/>
    <n v="0"/>
    <n v="1192.2475882808262"/>
    <n v="458.03224081296003"/>
  </r>
  <r>
    <s v="Regular"/>
    <x v="1"/>
    <x v="3"/>
    <x v="4"/>
    <x v="6"/>
    <x v="0"/>
    <x v="0"/>
    <x v="2"/>
    <x v="4"/>
    <n v="0"/>
    <n v="0"/>
    <n v="1.5640000000000001"/>
    <n v="1.5640000000000001"/>
    <n v="1.5640000000000001"/>
    <n v="1.5640000000000001"/>
    <n v="39"/>
    <x v="0"/>
    <n v="0"/>
    <n v="0"/>
    <n v="54"/>
    <n v="24"/>
    <n v="0"/>
    <n v="703.74"/>
    <n v="216.26"/>
    <m/>
    <n v="746.08735186534807"/>
    <n v="286.62843605316647"/>
    <n v="0"/>
    <n v="1100.6493600000001"/>
    <n v="338.23063999999999"/>
    <n v="0"/>
    <n v="1166.8806183174045"/>
    <n v="448.28687398715238"/>
  </r>
  <r>
    <s v="Regular"/>
    <x v="1"/>
    <x v="3"/>
    <x v="4"/>
    <x v="6"/>
    <x v="0"/>
    <x v="0"/>
    <x v="2"/>
    <x v="5"/>
    <n v="0"/>
    <n v="0"/>
    <n v="2.6970000000000001"/>
    <n v="2.6970000000000001"/>
    <n v="2.6970000000000001"/>
    <n v="2.6970000000000001"/>
    <n v="52"/>
    <x v="0"/>
    <n v="0"/>
    <n v="0"/>
    <n v="54"/>
    <n v="24"/>
    <n v="0"/>
    <n v="703.74"/>
    <n v="216.26"/>
    <m/>
    <n v="746.08735186534807"/>
    <n v="286.62843605316647"/>
    <n v="0"/>
    <n v="1897.9867800000002"/>
    <n v="583.25321999999994"/>
    <n v="0"/>
    <n v="2012.1975879808438"/>
    <n v="773.03689203539"/>
  </r>
  <r>
    <s v="Regular"/>
    <x v="1"/>
    <x v="3"/>
    <x v="4"/>
    <x v="6"/>
    <x v="0"/>
    <x v="0"/>
    <x v="2"/>
    <x v="6"/>
    <n v="0"/>
    <n v="0"/>
    <n v="2.8450000000000002"/>
    <n v="2.8450000000000002"/>
    <n v="2.8450000000000002"/>
    <n v="2.8450000000000002"/>
    <n v="54"/>
    <x v="0"/>
    <n v="0"/>
    <n v="0"/>
    <n v="54"/>
    <n v="24"/>
    <n v="0"/>
    <n v="703.74"/>
    <n v="216.26"/>
    <m/>
    <n v="746.08735186534807"/>
    <n v="286.62843605316647"/>
    <n v="0"/>
    <n v="2002.1403000000003"/>
    <n v="615.25970000000007"/>
    <n v="0"/>
    <n v="2122.6185160569153"/>
    <n v="815.45790057125862"/>
  </r>
  <r>
    <s v="Regular"/>
    <x v="1"/>
    <x v="3"/>
    <x v="4"/>
    <x v="6"/>
    <x v="0"/>
    <x v="0"/>
    <x v="2"/>
    <x v="7"/>
    <n v="0"/>
    <n v="0"/>
    <n v="2.488"/>
    <n v="2.488"/>
    <n v="2.488"/>
    <n v="2.488"/>
    <n v="51"/>
    <x v="0"/>
    <n v="0"/>
    <n v="0"/>
    <n v="54"/>
    <n v="24"/>
    <n v="0"/>
    <n v="703.74"/>
    <n v="216.26"/>
    <m/>
    <n v="746.08735186534807"/>
    <n v="286.62843605316647"/>
    <n v="0"/>
    <n v="1750.9051200000001"/>
    <n v="538.05488000000003"/>
    <n v="0"/>
    <n v="1856.2653314409861"/>
    <n v="713.13154890027818"/>
  </r>
  <r>
    <s v="Regular"/>
    <x v="1"/>
    <x v="3"/>
    <x v="4"/>
    <x v="6"/>
    <x v="0"/>
    <x v="0"/>
    <x v="2"/>
    <x v="8"/>
    <n v="0"/>
    <n v="0"/>
    <n v="3.766"/>
    <n v="3.766"/>
    <n v="3.766"/>
    <n v="3.766"/>
    <n v="59"/>
    <x v="0"/>
    <n v="0"/>
    <n v="0"/>
    <n v="54"/>
    <n v="24"/>
    <n v="0"/>
    <n v="703.74"/>
    <n v="216.26"/>
    <m/>
    <n v="746.08735186534807"/>
    <n v="286.62843605316647"/>
    <n v="0"/>
    <n v="2650.2848400000003"/>
    <n v="814.43516"/>
    <n v="0"/>
    <n v="2809.764967124901"/>
    <n v="1079.4426901762249"/>
  </r>
  <r>
    <s v="Regular"/>
    <x v="1"/>
    <x v="3"/>
    <x v="4"/>
    <x v="6"/>
    <x v="0"/>
    <x v="0"/>
    <x v="2"/>
    <x v="9"/>
    <n v="0"/>
    <n v="0"/>
    <n v="4.38"/>
    <n v="4.38"/>
    <n v="4.38"/>
    <n v="4.38"/>
    <n v="60"/>
    <x v="0"/>
    <n v="0"/>
    <n v="0"/>
    <n v="54"/>
    <n v="24"/>
    <n v="0"/>
    <n v="703.74"/>
    <n v="216.26"/>
    <m/>
    <n v="746.08735186534807"/>
    <n v="286.62843605316647"/>
    <n v="0"/>
    <n v="3082.3811999999998"/>
    <n v="947.21879999999999"/>
    <n v="0"/>
    <n v="3267.8626011702245"/>
    <n v="1255.432549912869"/>
  </r>
  <r>
    <s v="Regular"/>
    <x v="1"/>
    <x v="3"/>
    <x v="4"/>
    <x v="6"/>
    <x v="0"/>
    <x v="0"/>
    <x v="2"/>
    <x v="10"/>
    <n v="0"/>
    <n v="0"/>
    <n v="6.0750000000000002"/>
    <n v="6.0750000000000002"/>
    <n v="6.0750000000000002"/>
    <n v="6.0750000000000002"/>
    <n v="68"/>
    <x v="0"/>
    <n v="0"/>
    <n v="0"/>
    <n v="54"/>
    <n v="24"/>
    <n v="0"/>
    <n v="703.74"/>
    <n v="216.26"/>
    <m/>
    <n v="746.08735186534807"/>
    <n v="286.62843605316647"/>
    <n v="0"/>
    <n v="4275.2205000000004"/>
    <n v="1313.7794999999999"/>
    <n v="0"/>
    <n v="4532.4806625819892"/>
    <n v="1741.2677490229864"/>
  </r>
  <r>
    <s v="Regular"/>
    <x v="1"/>
    <x v="3"/>
    <x v="4"/>
    <x v="6"/>
    <x v="0"/>
    <x v="0"/>
    <x v="2"/>
    <x v="11"/>
    <n v="0"/>
    <n v="0"/>
    <n v="19.045999999999999"/>
    <n v="19.045999999999999"/>
    <n v="19.045999999999999"/>
    <n v="19.045999999999999"/>
    <n v="199"/>
    <x v="0"/>
    <n v="0"/>
    <n v="0"/>
    <n v="54"/>
    <n v="24"/>
    <n v="0"/>
    <n v="703.74"/>
    <n v="216.26"/>
    <m/>
    <n v="746.08735186534807"/>
    <n v="286.62843605316647"/>
    <n v="0"/>
    <n v="13403.43204"/>
    <n v="4118.88796"/>
    <n v="0"/>
    <n v="14209.979703627419"/>
    <n v="5459.1251930686085"/>
  </r>
  <r>
    <s v="Regular"/>
    <x v="1"/>
    <x v="3"/>
    <x v="4"/>
    <x v="7"/>
    <x v="0"/>
    <x v="0"/>
    <x v="2"/>
    <x v="0"/>
    <n v="0"/>
    <n v="0"/>
    <n v="0.97699999999999998"/>
    <n v="0.97699999999999998"/>
    <n v="0.97699999999999998"/>
    <n v="0.97699999999999998"/>
    <n v="9"/>
    <x v="0"/>
    <n v="0"/>
    <n v="0"/>
    <n v="10"/>
    <n v="25"/>
    <n v="0"/>
    <n v="781.93"/>
    <n v="240.29"/>
    <m/>
    <n v="828.98594651705343"/>
    <n v="318.47604005907385"/>
    <n v="0"/>
    <n v="763.94560999999999"/>
    <n v="234.76333"/>
    <n v="0"/>
    <n v="809.91926974716114"/>
    <n v="311.15109113771513"/>
  </r>
  <r>
    <s v="Regular"/>
    <x v="1"/>
    <x v="3"/>
    <x v="4"/>
    <x v="7"/>
    <x v="0"/>
    <x v="0"/>
    <x v="2"/>
    <x v="1"/>
    <n v="0"/>
    <n v="0"/>
    <n v="0.21199999999999999"/>
    <n v="0.21199999999999999"/>
    <n v="0.21199999999999999"/>
    <n v="0.21199999999999999"/>
    <n v="4"/>
    <x v="0"/>
    <n v="0"/>
    <n v="0"/>
    <n v="10"/>
    <n v="25"/>
    <n v="0"/>
    <n v="781.93"/>
    <n v="240.29"/>
    <m/>
    <n v="828.98594651705343"/>
    <n v="318.47604005907385"/>
    <n v="0"/>
    <n v="165.76915999999997"/>
    <n v="50.941479999999999"/>
    <n v="0"/>
    <n v="175.74502066161531"/>
    <n v="67.516920492523653"/>
  </r>
  <r>
    <s v="Regular"/>
    <x v="1"/>
    <x v="3"/>
    <x v="4"/>
    <x v="7"/>
    <x v="0"/>
    <x v="0"/>
    <x v="2"/>
    <x v="2"/>
    <n v="0"/>
    <n v="0"/>
    <n v="0.38800000000000001"/>
    <n v="0.38800000000000001"/>
    <n v="0.38800000000000001"/>
    <n v="0.38800000000000001"/>
    <n v="4"/>
    <x v="0"/>
    <n v="0"/>
    <n v="0"/>
    <n v="10"/>
    <n v="25"/>
    <n v="0"/>
    <n v="781.93"/>
    <n v="240.29"/>
    <m/>
    <n v="828.98594651705343"/>
    <n v="318.47604005907385"/>
    <n v="0"/>
    <n v="303.38884000000002"/>
    <n v="93.232519999999994"/>
    <n v="0"/>
    <n v="321.64654724861674"/>
    <n v="123.56870354292066"/>
  </r>
  <r>
    <s v="Regular"/>
    <x v="1"/>
    <x v="3"/>
    <x v="4"/>
    <x v="7"/>
    <x v="0"/>
    <x v="0"/>
    <x v="2"/>
    <x v="3"/>
    <n v="0"/>
    <n v="0"/>
    <n v="0.18"/>
    <n v="0.18"/>
    <n v="0.18"/>
    <n v="0.18"/>
    <n v="3"/>
    <x v="0"/>
    <n v="0"/>
    <n v="0"/>
    <n v="10"/>
    <n v="25"/>
    <n v="0"/>
    <n v="781.93"/>
    <n v="240.29"/>
    <m/>
    <n v="828.98594651705343"/>
    <n v="318.47604005907385"/>
    <n v="0"/>
    <n v="140.7474"/>
    <n v="43.252199999999995"/>
    <n v="0"/>
    <n v="149.2174703730696"/>
    <n v="57.325687210633291"/>
  </r>
  <r>
    <s v="Regular"/>
    <x v="1"/>
    <x v="3"/>
    <x v="4"/>
    <x v="7"/>
    <x v="0"/>
    <x v="0"/>
    <x v="2"/>
    <x v="4"/>
    <n v="0"/>
    <n v="0"/>
    <n v="6.2E-2"/>
    <n v="6.2E-2"/>
    <n v="6.2E-2"/>
    <n v="6.2E-2"/>
    <n v="2"/>
    <x v="0"/>
    <n v="0"/>
    <n v="0"/>
    <n v="10"/>
    <n v="25"/>
    <n v="0"/>
    <n v="781.93"/>
    <n v="240.29"/>
    <m/>
    <n v="828.98594651705343"/>
    <n v="318.47604005907385"/>
    <n v="0"/>
    <n v="48.479659999999996"/>
    <n v="14.897979999999999"/>
    <n v="0"/>
    <n v="51.397128684057314"/>
    <n v="19.745514483662578"/>
  </r>
  <r>
    <s v="Regular"/>
    <x v="1"/>
    <x v="3"/>
    <x v="4"/>
    <x v="7"/>
    <x v="0"/>
    <x v="0"/>
    <x v="2"/>
    <x v="5"/>
    <n v="0"/>
    <n v="0"/>
    <n v="0.153"/>
    <n v="0.153"/>
    <n v="0.153"/>
    <n v="0.153"/>
    <n v="4"/>
    <x v="0"/>
    <n v="0"/>
    <n v="0"/>
    <n v="10"/>
    <n v="25"/>
    <n v="0"/>
    <n v="781.93"/>
    <n v="240.29"/>
    <m/>
    <n v="828.98594651705343"/>
    <n v="318.47604005907385"/>
    <n v="0"/>
    <n v="119.63528999999998"/>
    <n v="36.76437"/>
    <n v="0"/>
    <n v="126.83484981710917"/>
    <n v="48.726834129038302"/>
  </r>
  <r>
    <s v="Regular"/>
    <x v="1"/>
    <x v="3"/>
    <x v="4"/>
    <x v="7"/>
    <x v="0"/>
    <x v="0"/>
    <x v="2"/>
    <x v="6"/>
    <n v="0"/>
    <n v="0"/>
    <n v="0.43"/>
    <n v="0.43"/>
    <n v="0.43"/>
    <n v="0.43"/>
    <n v="6"/>
    <x v="0"/>
    <n v="0"/>
    <n v="0"/>
    <n v="10"/>
    <n v="25"/>
    <n v="0"/>
    <n v="781.93"/>
    <n v="240.29"/>
    <m/>
    <n v="828.98594651705343"/>
    <n v="318.47604005907385"/>
    <n v="0"/>
    <n v="336.22989999999999"/>
    <n v="103.32469999999999"/>
    <n v="0"/>
    <n v="356.46395700233296"/>
    <n v="136.94469722540177"/>
  </r>
  <r>
    <s v="Regular"/>
    <x v="1"/>
    <x v="3"/>
    <x v="4"/>
    <x v="7"/>
    <x v="0"/>
    <x v="0"/>
    <x v="2"/>
    <x v="7"/>
    <n v="0"/>
    <n v="0"/>
    <n v="0.222"/>
    <n v="0.222"/>
    <n v="0.222"/>
    <n v="0.222"/>
    <n v="4"/>
    <x v="0"/>
    <n v="0"/>
    <n v="0"/>
    <n v="10"/>
    <n v="25"/>
    <n v="0"/>
    <n v="781.93"/>
    <n v="240.29"/>
    <m/>
    <n v="828.98594651705343"/>
    <n v="318.47604005907385"/>
    <n v="0"/>
    <n v="173.58846"/>
    <n v="53.344380000000001"/>
    <n v="0"/>
    <n v="184.03488012678588"/>
    <n v="70.7016808931144"/>
  </r>
  <r>
    <s v="Regular"/>
    <x v="1"/>
    <x v="3"/>
    <x v="4"/>
    <x v="7"/>
    <x v="0"/>
    <x v="0"/>
    <x v="2"/>
    <x v="8"/>
    <n v="0"/>
    <n v="0"/>
    <n v="0.36599999999999999"/>
    <n v="0.36599999999999999"/>
    <n v="0.36599999999999999"/>
    <n v="0.36599999999999999"/>
    <n v="7"/>
    <x v="0"/>
    <n v="0"/>
    <n v="0"/>
    <n v="10"/>
    <n v="25"/>
    <n v="0"/>
    <n v="781.93"/>
    <n v="240.29"/>
    <m/>
    <n v="828.98594651705343"/>
    <n v="318.47604005907385"/>
    <n v="0"/>
    <n v="286.18637999999999"/>
    <n v="87.94614"/>
    <n v="0"/>
    <n v="303.40885642524154"/>
    <n v="116.56223066162103"/>
  </r>
  <r>
    <s v="Regular"/>
    <x v="1"/>
    <x v="3"/>
    <x v="4"/>
    <x v="7"/>
    <x v="0"/>
    <x v="0"/>
    <x v="2"/>
    <x v="9"/>
    <n v="0"/>
    <n v="0"/>
    <n v="0.46"/>
    <n v="0.46"/>
    <n v="0.46"/>
    <n v="0.46"/>
    <n v="9"/>
    <x v="0"/>
    <n v="0"/>
    <n v="0"/>
    <n v="10"/>
    <n v="25"/>
    <n v="0"/>
    <n v="781.93"/>
    <n v="240.29"/>
    <m/>
    <n v="828.98594651705343"/>
    <n v="318.47604005907385"/>
    <n v="0"/>
    <n v="359.68779999999998"/>
    <n v="110.5334"/>
    <n v="0"/>
    <n v="381.33353539784457"/>
    <n v="146.49897842717397"/>
  </r>
  <r>
    <s v="Regular"/>
    <x v="1"/>
    <x v="3"/>
    <x v="4"/>
    <x v="7"/>
    <x v="0"/>
    <x v="0"/>
    <x v="2"/>
    <x v="10"/>
    <n v="0"/>
    <n v="0"/>
    <n v="1.0629999999999999"/>
    <n v="1.0629999999999999"/>
    <n v="1.0629999999999999"/>
    <n v="1.0629999999999999"/>
    <n v="19"/>
    <x v="0"/>
    <n v="0"/>
    <n v="0"/>
    <n v="10"/>
    <n v="25"/>
    <n v="0"/>
    <n v="781.93"/>
    <n v="240.29"/>
    <m/>
    <n v="828.98594651705343"/>
    <n v="318.47604005907385"/>
    <n v="0"/>
    <n v="831.19158999999991"/>
    <n v="255.42826999999997"/>
    <n v="0"/>
    <n v="881.21206114762776"/>
    <n v="338.54003058279551"/>
  </r>
  <r>
    <s v="Regular"/>
    <x v="1"/>
    <x v="3"/>
    <x v="4"/>
    <x v="7"/>
    <x v="0"/>
    <x v="0"/>
    <x v="2"/>
    <x v="11"/>
    <n v="0"/>
    <n v="0"/>
    <n v="4.6040000000000001"/>
    <n v="4.6040000000000001"/>
    <n v="4.6040000000000001"/>
    <n v="4.6040000000000001"/>
    <n v="68"/>
    <x v="0"/>
    <n v="0"/>
    <n v="0"/>
    <n v="10"/>
    <n v="25"/>
    <n v="0"/>
    <n v="781.93"/>
    <n v="240.29"/>
    <m/>
    <n v="828.98594651705343"/>
    <n v="318.47604005907385"/>
    <n v="0"/>
    <n v="3600.0057199999997"/>
    <n v="1106.2951599999999"/>
    <n v="0"/>
    <n v="3816.6512977645143"/>
    <n v="1466.2636884319761"/>
  </r>
  <r>
    <s v="Regular"/>
    <x v="2"/>
    <x v="3"/>
    <x v="2"/>
    <x v="1"/>
    <x v="2"/>
    <x v="0"/>
    <x v="2"/>
    <x v="0"/>
    <n v="0"/>
    <n v="0"/>
    <n v="1.222"/>
    <n v="1.222"/>
    <n v="1.222"/>
    <n v="1.222"/>
    <n v="0"/>
    <x v="0"/>
    <n v="0"/>
    <n v="0"/>
    <n v="57"/>
    <n v="31"/>
    <n v="0"/>
    <n v="763.29"/>
    <n v="211.46"/>
    <m/>
    <n v="893.37980365440046"/>
    <n v="299.3674776555294"/>
    <n v="0"/>
    <n v="932.74037999999996"/>
    <n v="258.40411999999998"/>
    <n v="0"/>
    <n v="1091.7101200656773"/>
    <n v="365.82705769505691"/>
  </r>
  <r>
    <s v="Regular"/>
    <x v="2"/>
    <x v="3"/>
    <x v="2"/>
    <x v="1"/>
    <x v="2"/>
    <x v="0"/>
    <x v="2"/>
    <x v="1"/>
    <n v="0"/>
    <n v="0"/>
    <n v="0.61199999999999999"/>
    <n v="0.61199999999999999"/>
    <n v="0.61199999999999999"/>
    <n v="0.61199999999999999"/>
    <n v="0"/>
    <x v="0"/>
    <n v="0"/>
    <n v="0"/>
    <n v="57"/>
    <n v="31"/>
    <n v="0"/>
    <n v="763.29"/>
    <n v="211.46"/>
    <m/>
    <n v="893.37980365440046"/>
    <n v="299.3674776555294"/>
    <n v="0"/>
    <n v="467.13347999999996"/>
    <n v="129.41352000000001"/>
    <n v="0"/>
    <n v="546.74843983649305"/>
    <n v="183.21289632518398"/>
  </r>
  <r>
    <s v="Regular"/>
    <x v="2"/>
    <x v="3"/>
    <x v="2"/>
    <x v="1"/>
    <x v="2"/>
    <x v="0"/>
    <x v="2"/>
    <x v="2"/>
    <n v="0"/>
    <n v="0"/>
    <n v="1.256"/>
    <n v="1.256"/>
    <n v="1.256"/>
    <n v="1.256"/>
    <n v="0"/>
    <x v="0"/>
    <n v="0"/>
    <n v="0"/>
    <n v="57"/>
    <n v="31"/>
    <n v="0"/>
    <n v="763.29"/>
    <n v="211.46"/>
    <m/>
    <n v="893.37980365440046"/>
    <n v="299.3674776555294"/>
    <n v="0"/>
    <n v="958.69223999999997"/>
    <n v="265.59376000000003"/>
    <n v="0"/>
    <n v="1122.085033389927"/>
    <n v="376.00555193534495"/>
  </r>
  <r>
    <s v="Regular"/>
    <x v="2"/>
    <x v="3"/>
    <x v="2"/>
    <x v="1"/>
    <x v="2"/>
    <x v="0"/>
    <x v="2"/>
    <x v="3"/>
    <n v="0"/>
    <n v="0"/>
    <n v="1.0760000000000001"/>
    <n v="1.0760000000000001"/>
    <n v="1.0760000000000001"/>
    <n v="1.0760000000000001"/>
    <n v="0"/>
    <x v="0"/>
    <n v="0"/>
    <n v="0"/>
    <n v="57"/>
    <n v="31"/>
    <n v="0"/>
    <n v="763.29"/>
    <n v="211.46"/>
    <m/>
    <n v="893.37980365440046"/>
    <n v="299.3674776555294"/>
    <n v="0"/>
    <n v="821.30003999999997"/>
    <n v="227.53096000000002"/>
    <n v="0"/>
    <n v="961.27666873213491"/>
    <n v="322.11940595734967"/>
  </r>
  <r>
    <s v="Regular"/>
    <x v="2"/>
    <x v="3"/>
    <x v="2"/>
    <x v="1"/>
    <x v="2"/>
    <x v="0"/>
    <x v="2"/>
    <x v="4"/>
    <n v="0"/>
    <n v="0"/>
    <n v="1.0289999999999999"/>
    <n v="1.0289999999999999"/>
    <n v="1.0289999999999999"/>
    <n v="1.0289999999999999"/>
    <n v="0"/>
    <x v="0"/>
    <n v="0"/>
    <n v="0"/>
    <n v="57"/>
    <n v="31"/>
    <n v="0"/>
    <n v="763.29"/>
    <n v="211.46"/>
    <m/>
    <n v="893.37980365440046"/>
    <n v="299.3674776555294"/>
    <n v="0"/>
    <n v="785.42540999999994"/>
    <n v="217.59233999999998"/>
    <n v="0"/>
    <n v="919.28781796037799"/>
    <n v="308.04913450753975"/>
  </r>
  <r>
    <s v="Regular"/>
    <x v="2"/>
    <x v="3"/>
    <x v="2"/>
    <x v="1"/>
    <x v="2"/>
    <x v="0"/>
    <x v="2"/>
    <x v="5"/>
    <n v="0"/>
    <n v="0"/>
    <n v="1.3660000000000001"/>
    <n v="1.3660000000000001"/>
    <n v="1.3660000000000001"/>
    <n v="1.3660000000000001"/>
    <n v="0"/>
    <x v="0"/>
    <n v="0"/>
    <n v="0"/>
    <n v="57"/>
    <n v="31"/>
    <n v="0"/>
    <n v="763.29"/>
    <n v="211.46"/>
    <m/>
    <n v="893.37980365440046"/>
    <n v="299.3674776555294"/>
    <n v="0"/>
    <n v="1042.6541400000001"/>
    <n v="288.85436000000004"/>
    <n v="0"/>
    <n v="1220.356811791911"/>
    <n v="408.93597447745321"/>
  </r>
  <r>
    <s v="Regular"/>
    <x v="2"/>
    <x v="3"/>
    <x v="2"/>
    <x v="1"/>
    <x v="2"/>
    <x v="0"/>
    <x v="2"/>
    <x v="6"/>
    <n v="0"/>
    <n v="0"/>
    <n v="1.696"/>
    <n v="1.696"/>
    <n v="1.696"/>
    <n v="1.696"/>
    <n v="0"/>
    <x v="0"/>
    <n v="0"/>
    <n v="0"/>
    <n v="57"/>
    <n v="31"/>
    <n v="0"/>
    <n v="763.29"/>
    <n v="211.46"/>
    <m/>
    <n v="893.37980365440046"/>
    <n v="299.3674776555294"/>
    <n v="0"/>
    <n v="1294.5398399999999"/>
    <n v="358.63616000000002"/>
    <n v="0"/>
    <n v="1515.1721469978631"/>
    <n v="507.72724210377783"/>
  </r>
  <r>
    <s v="Regular"/>
    <x v="2"/>
    <x v="3"/>
    <x v="2"/>
    <x v="1"/>
    <x v="2"/>
    <x v="0"/>
    <x v="2"/>
    <x v="7"/>
    <n v="0"/>
    <n v="0"/>
    <n v="0.5"/>
    <n v="0.5"/>
    <n v="0.5"/>
    <n v="0.5"/>
    <n v="0"/>
    <x v="0"/>
    <n v="0"/>
    <n v="0"/>
    <n v="57"/>
    <n v="31"/>
    <n v="0"/>
    <n v="763.29"/>
    <n v="211.46"/>
    <m/>
    <n v="893.37980365440046"/>
    <n v="299.3674776555294"/>
    <n v="0"/>
    <n v="381.64499999999998"/>
    <n v="105.73"/>
    <n v="0"/>
    <n v="446.68990182720023"/>
    <n v="149.6837388277647"/>
  </r>
  <r>
    <s v="Regular"/>
    <x v="2"/>
    <x v="3"/>
    <x v="2"/>
    <x v="1"/>
    <x v="2"/>
    <x v="0"/>
    <x v="2"/>
    <x v="8"/>
    <n v="0"/>
    <n v="0"/>
    <n v="0.373"/>
    <n v="0.373"/>
    <n v="0.373"/>
    <n v="0.373"/>
    <n v="0"/>
    <x v="0"/>
    <n v="0"/>
    <n v="0"/>
    <n v="57"/>
    <n v="31"/>
    <n v="0"/>
    <n v="763.29"/>
    <n v="211.46"/>
    <m/>
    <n v="893.37980365440046"/>
    <n v="299.3674776555294"/>
    <n v="0"/>
    <n v="284.70716999999996"/>
    <n v="78.874580000000009"/>
    <n v="0"/>
    <n v="333.23066676309139"/>
    <n v="111.66406916551246"/>
  </r>
  <r>
    <s v="Regular"/>
    <x v="2"/>
    <x v="3"/>
    <x v="2"/>
    <x v="1"/>
    <x v="2"/>
    <x v="0"/>
    <x v="2"/>
    <x v="9"/>
    <n v="0"/>
    <n v="0"/>
    <n v="0.52100000000000002"/>
    <n v="0.52100000000000002"/>
    <n v="0.52100000000000002"/>
    <n v="0.52100000000000002"/>
    <n v="0"/>
    <x v="0"/>
    <n v="0"/>
    <n v="0"/>
    <n v="57"/>
    <n v="31"/>
    <n v="0"/>
    <n v="763.29"/>
    <n v="211.46"/>
    <m/>
    <n v="893.37980365440046"/>
    <n v="299.3674776555294"/>
    <n v="0"/>
    <n v="397.67408999999998"/>
    <n v="110.17066000000001"/>
    <n v="0"/>
    <n v="465.45087770394264"/>
    <n v="155.97045585853081"/>
  </r>
  <r>
    <s v="Regular"/>
    <x v="2"/>
    <x v="3"/>
    <x v="2"/>
    <x v="1"/>
    <x v="2"/>
    <x v="0"/>
    <x v="2"/>
    <x v="10"/>
    <n v="0"/>
    <n v="0"/>
    <n v="0.45200000000000001"/>
    <n v="0.45200000000000001"/>
    <n v="0.45200000000000001"/>
    <n v="0.45200000000000001"/>
    <n v="0"/>
    <x v="0"/>
    <n v="0"/>
    <n v="0"/>
    <n v="57"/>
    <n v="31"/>
    <n v="0"/>
    <n v="763.29"/>
    <n v="211.46"/>
    <m/>
    <n v="893.37980365440046"/>
    <n v="299.3674776555294"/>
    <n v="0"/>
    <n v="345.00707999999997"/>
    <n v="95.579920000000001"/>
    <n v="0"/>
    <n v="403.80767125178903"/>
    <n v="135.31409990029928"/>
  </r>
  <r>
    <s v="Regular"/>
    <x v="2"/>
    <x v="3"/>
    <x v="2"/>
    <x v="1"/>
    <x v="2"/>
    <x v="0"/>
    <x v="2"/>
    <x v="11"/>
    <n v="0"/>
    <n v="0"/>
    <n v="0.59499999999999997"/>
    <n v="0.59499999999999997"/>
    <n v="0.59499999999999997"/>
    <n v="0.59499999999999997"/>
    <n v="0"/>
    <x v="0"/>
    <n v="0"/>
    <n v="0"/>
    <n v="57"/>
    <n v="31"/>
    <n v="0"/>
    <n v="763.29"/>
    <n v="211.46"/>
    <m/>
    <n v="893.37980365440046"/>
    <n v="299.3674776555294"/>
    <n v="0"/>
    <n v="454.15754999999996"/>
    <n v="125.81869999999999"/>
    <n v="0"/>
    <n v="531.56098317436829"/>
    <n v="178.12364920503998"/>
  </r>
  <r>
    <s v="Regular"/>
    <x v="2"/>
    <x v="3"/>
    <x v="2"/>
    <x v="1"/>
    <x v="1"/>
    <x v="0"/>
    <x v="2"/>
    <x v="0"/>
    <n v="0"/>
    <n v="0"/>
    <n v="0.125"/>
    <n v="0.05"/>
    <n v="0.125"/>
    <n v="0.05"/>
    <n v="0"/>
    <x v="0"/>
    <n v="0"/>
    <n v="0"/>
    <n v="57"/>
    <n v="31"/>
    <n v="0"/>
    <n v="763.29"/>
    <n v="211.46"/>
    <m/>
    <n v="893.37980365440046"/>
    <n v="299.3674776555294"/>
    <n v="0"/>
    <n v="38.164499999999997"/>
    <n v="10.573"/>
    <n v="0"/>
    <n v="44.668990182720023"/>
    <n v="14.96837388277647"/>
  </r>
  <r>
    <s v="Regular"/>
    <x v="2"/>
    <x v="3"/>
    <x v="2"/>
    <x v="1"/>
    <x v="1"/>
    <x v="0"/>
    <x v="2"/>
    <x v="1"/>
    <n v="0"/>
    <n v="0"/>
    <n v="0.152"/>
    <n v="6.08E-2"/>
    <n v="0.152"/>
    <n v="6.08E-2"/>
    <n v="0"/>
    <x v="0"/>
    <n v="0"/>
    <n v="0"/>
    <n v="57"/>
    <n v="31"/>
    <n v="0"/>
    <n v="763.29"/>
    <n v="211.46"/>
    <m/>
    <n v="893.37980365440046"/>
    <n v="299.3674776555294"/>
    <n v="0"/>
    <n v="46.408031999999999"/>
    <n v="12.856768000000001"/>
    <n v="0"/>
    <n v="54.317492062187547"/>
    <n v="18.201542641456186"/>
  </r>
  <r>
    <s v="Regular"/>
    <x v="2"/>
    <x v="3"/>
    <x v="2"/>
    <x v="1"/>
    <x v="1"/>
    <x v="0"/>
    <x v="2"/>
    <x v="2"/>
    <n v="0"/>
    <n v="0"/>
    <n v="4.0000000000000001E-3"/>
    <n v="1.6000000000000001E-3"/>
    <n v="4.0000000000000001E-3"/>
    <n v="1.6000000000000001E-3"/>
    <n v="0"/>
    <x v="0"/>
    <n v="0"/>
    <n v="0"/>
    <n v="57"/>
    <n v="31"/>
    <n v="0"/>
    <n v="763.29"/>
    <n v="211.46"/>
    <m/>
    <n v="893.37980365440046"/>
    <n v="299.3674776555294"/>
    <n v="0"/>
    <n v="1.2212639999999999"/>
    <n v="0.33833600000000003"/>
    <n v="0"/>
    <n v="1.4294076858470408"/>
    <n v="0.47898796424884704"/>
  </r>
  <r>
    <s v="Regular"/>
    <x v="2"/>
    <x v="3"/>
    <x v="2"/>
    <x v="1"/>
    <x v="1"/>
    <x v="0"/>
    <x v="2"/>
    <x v="3"/>
    <n v="0"/>
    <n v="0"/>
    <n v="3.0000000000000001E-3"/>
    <n v="1.1999999999999999E-3"/>
    <n v="3.0000000000000001E-3"/>
    <n v="1.1999999999999999E-3"/>
    <n v="0"/>
    <x v="0"/>
    <n v="0"/>
    <n v="0"/>
    <n v="57"/>
    <n v="31"/>
    <n v="0"/>
    <n v="763.29"/>
    <n v="211.46"/>
    <m/>
    <n v="893.37980365440046"/>
    <n v="299.3674776555294"/>
    <n v="0"/>
    <n v="0.91594799999999987"/>
    <n v="0.25375199999999998"/>
    <n v="0"/>
    <n v="1.0720557643852804"/>
    <n v="0.35924097318663523"/>
  </r>
  <r>
    <s v="Regular"/>
    <x v="2"/>
    <x v="3"/>
    <x v="2"/>
    <x v="1"/>
    <x v="1"/>
    <x v="0"/>
    <x v="2"/>
    <x v="4"/>
    <n v="0"/>
    <n v="0"/>
    <n v="0.23799999999999999"/>
    <n v="9.5200000000000007E-2"/>
    <n v="0.23799999999999999"/>
    <n v="9.5200000000000007E-2"/>
    <n v="0"/>
    <x v="0"/>
    <n v="0"/>
    <n v="0"/>
    <n v="57"/>
    <n v="31"/>
    <n v="0"/>
    <n v="763.29"/>
    <n v="211.46"/>
    <m/>
    <n v="893.37980365440046"/>
    <n v="299.3674776555294"/>
    <n v="0"/>
    <n v="72.665208000000007"/>
    <n v="20.130992000000003"/>
    <n v="0"/>
    <n v="85.049757307898929"/>
    <n v="28.4997838728064"/>
  </r>
  <r>
    <s v="Regular"/>
    <x v="2"/>
    <x v="3"/>
    <x v="2"/>
    <x v="1"/>
    <x v="1"/>
    <x v="0"/>
    <x v="2"/>
    <x v="5"/>
    <n v="0"/>
    <n v="0"/>
    <n v="2.9000000000000001E-2"/>
    <n v="1.1599999999999999E-2"/>
    <n v="2.9000000000000001E-2"/>
    <n v="1.1599999999999999E-2"/>
    <n v="0"/>
    <x v="0"/>
    <n v="0"/>
    <n v="0"/>
    <n v="57"/>
    <n v="31"/>
    <n v="0"/>
    <n v="763.29"/>
    <n v="211.46"/>
    <m/>
    <n v="893.37980365440046"/>
    <n v="299.3674776555294"/>
    <n v="0"/>
    <n v="8.854163999999999"/>
    <n v="2.4529359999999998"/>
    <n v="0"/>
    <n v="10.363205722391045"/>
    <n v="3.4726627408041408"/>
  </r>
  <r>
    <s v="Regular"/>
    <x v="2"/>
    <x v="3"/>
    <x v="2"/>
    <x v="1"/>
    <x v="1"/>
    <x v="0"/>
    <x v="2"/>
    <x v="6"/>
    <n v="0"/>
    <n v="0"/>
    <n v="5.8999999999999997E-2"/>
    <n v="2.3599999999999999E-2"/>
    <n v="5.8999999999999997E-2"/>
    <n v="2.3599999999999999E-2"/>
    <n v="0"/>
    <x v="0"/>
    <n v="0"/>
    <n v="0"/>
    <n v="57"/>
    <n v="31"/>
    <n v="0"/>
    <n v="763.29"/>
    <n v="211.46"/>
    <m/>
    <n v="893.37980365440046"/>
    <n v="299.3674776555294"/>
    <n v="0"/>
    <n v="18.013643999999999"/>
    <n v="4.990456"/>
    <n v="0"/>
    <n v="21.083763366243851"/>
    <n v="7.0650724726704937"/>
  </r>
  <r>
    <s v="Regular"/>
    <x v="2"/>
    <x v="3"/>
    <x v="2"/>
    <x v="1"/>
    <x v="1"/>
    <x v="0"/>
    <x v="2"/>
    <x v="8"/>
    <n v="0"/>
    <n v="0"/>
    <n v="0.621"/>
    <n v="0.24840000000000001"/>
    <n v="0.621"/>
    <n v="0.24840000000000001"/>
    <n v="0"/>
    <x v="0"/>
    <n v="0"/>
    <n v="0"/>
    <n v="57"/>
    <n v="31"/>
    <n v="0"/>
    <n v="763.29"/>
    <n v="211.46"/>
    <m/>
    <n v="893.37980365440046"/>
    <n v="299.3674776555294"/>
    <n v="0"/>
    <n v="189.601236"/>
    <n v="52.526664000000004"/>
    <n v="0"/>
    <n v="221.91554322775309"/>
    <n v="74.362881449633505"/>
  </r>
  <r>
    <s v="Regular"/>
    <x v="2"/>
    <x v="3"/>
    <x v="2"/>
    <x v="1"/>
    <x v="1"/>
    <x v="0"/>
    <x v="2"/>
    <x v="9"/>
    <n v="0"/>
    <n v="0"/>
    <n v="5.2999999999999999E-2"/>
    <n v="2.12E-2"/>
    <n v="5.2999999999999999E-2"/>
    <n v="2.12E-2"/>
    <n v="0"/>
    <x v="0"/>
    <n v="0"/>
    <n v="0"/>
    <n v="57"/>
    <n v="31"/>
    <n v="0"/>
    <n v="763.29"/>
    <n v="211.46"/>
    <m/>
    <n v="893.37980365440046"/>
    <n v="299.3674776555294"/>
    <n v="0"/>
    <n v="16.181747999999999"/>
    <n v="4.482952"/>
    <n v="0"/>
    <n v="18.939651837473289"/>
    <n v="6.3465905262972235"/>
  </r>
  <r>
    <s v="Regular"/>
    <x v="2"/>
    <x v="3"/>
    <x v="2"/>
    <x v="1"/>
    <x v="1"/>
    <x v="0"/>
    <x v="2"/>
    <x v="10"/>
    <n v="0"/>
    <n v="0"/>
    <n v="0.80700000000000005"/>
    <n v="0.32279999999999998"/>
    <n v="0.80700000000000005"/>
    <n v="0.32279999999999998"/>
    <n v="0"/>
    <x v="0"/>
    <n v="0"/>
    <n v="0"/>
    <n v="57"/>
    <n v="31"/>
    <n v="0"/>
    <n v="763.29"/>
    <n v="211.46"/>
    <m/>
    <n v="893.37980365440046"/>
    <n v="299.3674776555294"/>
    <n v="0"/>
    <n v="246.39001199999996"/>
    <n v="68.259287999999998"/>
    <n v="0"/>
    <n v="288.38300061964043"/>
    <n v="96.63582178720489"/>
  </r>
  <r>
    <s v="Regular"/>
    <x v="2"/>
    <x v="3"/>
    <x v="2"/>
    <x v="1"/>
    <x v="1"/>
    <x v="0"/>
    <x v="2"/>
    <x v="11"/>
    <n v="0"/>
    <n v="0"/>
    <n v="1.63"/>
    <n v="0.65200000000000002"/>
    <n v="1.63"/>
    <n v="0.65200000000000002"/>
    <n v="0"/>
    <x v="0"/>
    <n v="0"/>
    <n v="0"/>
    <n v="57"/>
    <n v="31"/>
    <n v="0"/>
    <n v="763.29"/>
    <n v="211.46"/>
    <m/>
    <n v="893.37980365440046"/>
    <n v="299.3674776555294"/>
    <n v="0"/>
    <n v="497.66507999999999"/>
    <n v="137.87192000000002"/>
    <n v="0"/>
    <n v="582.48363198266907"/>
    <n v="195.18759543140519"/>
  </r>
  <r>
    <s v="Regular"/>
    <x v="2"/>
    <x v="3"/>
    <x v="2"/>
    <x v="8"/>
    <x v="2"/>
    <x v="0"/>
    <x v="2"/>
    <x v="4"/>
    <n v="0"/>
    <n v="0"/>
    <n v="5.8970000000000002"/>
    <n v="5.8970000000000002"/>
    <n v="5.8970000000000002"/>
    <n v="5.8970000000000002"/>
    <n v="0"/>
    <x v="0"/>
    <n v="0"/>
    <n v="0"/>
    <n v="57"/>
    <n v="31"/>
    <n v="0"/>
    <n v="763.29"/>
    <n v="211.46"/>
    <m/>
    <n v="893.37980365440046"/>
    <n v="299.3674776555294"/>
    <n v="0"/>
    <n v="4501.1211299999995"/>
    <n v="1246.9796200000001"/>
    <n v="0"/>
    <n v="5268.2607021499998"/>
    <n v="1765.370015734657"/>
  </r>
  <r>
    <s v="Regular"/>
    <x v="2"/>
    <x v="3"/>
    <x v="2"/>
    <x v="8"/>
    <x v="2"/>
    <x v="0"/>
    <x v="2"/>
    <x v="5"/>
    <n v="0"/>
    <n v="0"/>
    <n v="6.6459999999999999"/>
    <n v="6.6459999999999999"/>
    <n v="6.6459999999999999"/>
    <n v="6.6459999999999999"/>
    <n v="0"/>
    <x v="0"/>
    <n v="0"/>
    <n v="0"/>
    <n v="57"/>
    <n v="31"/>
    <n v="0"/>
    <n v="763.29"/>
    <n v="211.46"/>
    <m/>
    <n v="893.37980365440046"/>
    <n v="299.3674776555294"/>
    <n v="0"/>
    <n v="5072.8253399999994"/>
    <n v="1405.3631600000001"/>
    <n v="0"/>
    <n v="5937.4021750871452"/>
    <n v="1989.5962564986482"/>
  </r>
  <r>
    <s v="Sistema de Compensação"/>
    <x v="2"/>
    <x v="3"/>
    <x v="2"/>
    <x v="8"/>
    <x v="2"/>
    <x v="0"/>
    <x v="2"/>
    <x v="6"/>
    <n v="0"/>
    <n v="0"/>
    <n v="4.4130000000000003"/>
    <n v="4.4130000000000003"/>
    <n v="4.4130000000000003"/>
    <n v="4.4130000000000003"/>
    <n v="0"/>
    <x v="0"/>
    <n v="0"/>
    <n v="0"/>
    <n v="57"/>
    <n v="31"/>
    <n v="0"/>
    <n v="763.29"/>
    <n v="211.46"/>
    <m/>
    <n v="893.37980365440046"/>
    <n v="299.3674776555294"/>
    <n v="0"/>
    <n v="3368.3987700000002"/>
    <n v="933.17298000000005"/>
    <n v="0"/>
    <n v="3942.4850735268697"/>
    <n v="1321.1086788938512"/>
  </r>
  <r>
    <s v="Sistema de Compensação"/>
    <x v="2"/>
    <x v="3"/>
    <x v="2"/>
    <x v="8"/>
    <x v="2"/>
    <x v="0"/>
    <x v="2"/>
    <x v="7"/>
    <n v="0"/>
    <n v="0"/>
    <n v="0.93600000000000005"/>
    <n v="0.93600000000000005"/>
    <n v="0.93600000000000005"/>
    <n v="0.93600000000000005"/>
    <n v="0"/>
    <x v="0"/>
    <n v="0"/>
    <n v="0"/>
    <n v="57"/>
    <n v="31"/>
    <n v="0"/>
    <n v="763.29"/>
    <n v="211.46"/>
    <m/>
    <n v="893.37980365440046"/>
    <n v="299.3674776555294"/>
    <n v="0"/>
    <n v="714.43943999999999"/>
    <n v="197.92656000000002"/>
    <n v="0"/>
    <n v="836.2034962205189"/>
    <n v="280.20795908557551"/>
  </r>
  <r>
    <s v="Sistema de Compensação"/>
    <x v="2"/>
    <x v="3"/>
    <x v="2"/>
    <x v="8"/>
    <x v="2"/>
    <x v="0"/>
    <x v="2"/>
    <x v="9"/>
    <n v="0"/>
    <n v="0"/>
    <n v="0.85699999999999998"/>
    <n v="0.85699999999999998"/>
    <n v="0.85699999999999998"/>
    <n v="0.85699999999999998"/>
    <n v="0"/>
    <x v="0"/>
    <n v="0"/>
    <n v="0"/>
    <n v="57"/>
    <n v="31"/>
    <n v="0"/>
    <n v="763.29"/>
    <n v="211.46"/>
    <m/>
    <n v="893.37980365440046"/>
    <n v="299.3674776555294"/>
    <n v="0"/>
    <n v="654.13952999999992"/>
    <n v="181.22122000000002"/>
    <n v="0"/>
    <n v="765.62649173182115"/>
    <n v="256.5579283507887"/>
  </r>
  <r>
    <s v="Sistema de Compensação"/>
    <x v="2"/>
    <x v="3"/>
    <x v="2"/>
    <x v="8"/>
    <x v="2"/>
    <x v="0"/>
    <x v="2"/>
    <x v="10"/>
    <n v="0"/>
    <n v="0"/>
    <n v="0.29299999999999998"/>
    <n v="0.29299999999999998"/>
    <n v="0.29299999999999998"/>
    <n v="0.29299999999999998"/>
    <n v="0"/>
    <x v="0"/>
    <n v="0"/>
    <n v="0"/>
    <n v="57"/>
    <n v="31"/>
    <n v="0"/>
    <n v="763.29"/>
    <n v="211.46"/>
    <m/>
    <n v="893.37980365440046"/>
    <n v="299.3674776555294"/>
    <n v="0"/>
    <n v="223.64396999999997"/>
    <n v="61.95778"/>
    <n v="0"/>
    <n v="261.7602824707393"/>
    <n v="87.714670953070112"/>
  </r>
  <r>
    <s v="Sistema de Compensação"/>
    <x v="2"/>
    <x v="3"/>
    <x v="2"/>
    <x v="8"/>
    <x v="2"/>
    <x v="0"/>
    <x v="2"/>
    <x v="11"/>
    <n v="0"/>
    <n v="0"/>
    <n v="7.0000000000000007E-2"/>
    <n v="7.0000000000000007E-2"/>
    <n v="7.0000000000000007E-2"/>
    <n v="7.0000000000000007E-2"/>
    <n v="0"/>
    <x v="0"/>
    <n v="0"/>
    <n v="0"/>
    <n v="57"/>
    <n v="31"/>
    <n v="0"/>
    <n v="763.29"/>
    <n v="211.46"/>
    <m/>
    <n v="893.37980365440046"/>
    <n v="299.3674776555294"/>
    <n v="0"/>
    <n v="53.430300000000003"/>
    <n v="14.802200000000003"/>
    <n v="0"/>
    <n v="62.536586255808039"/>
    <n v="20.955723435887059"/>
  </r>
  <r>
    <s v="Regular"/>
    <x v="2"/>
    <x v="3"/>
    <x v="2"/>
    <x v="8"/>
    <x v="1"/>
    <x v="0"/>
    <x v="2"/>
    <x v="4"/>
    <n v="0"/>
    <n v="0"/>
    <n v="2.9569999999999999"/>
    <n v="1.1828000000000001"/>
    <n v="2.9569999999999999"/>
    <n v="1.1828000000000001"/>
    <n v="0"/>
    <x v="0"/>
    <n v="0"/>
    <n v="0"/>
    <n v="57"/>
    <n v="31"/>
    <n v="0"/>
    <n v="763.29"/>
    <n v="211.46"/>
    <m/>
    <n v="893.37980365440046"/>
    <n v="299.3674776555294"/>
    <n v="0"/>
    <n v="902.81941200000006"/>
    <n v="250.11488800000004"/>
    <n v="0"/>
    <n v="1056.6896317624248"/>
    <n v="354.09185257096021"/>
  </r>
  <r>
    <s v="Regular"/>
    <x v="2"/>
    <x v="3"/>
    <x v="2"/>
    <x v="8"/>
    <x v="1"/>
    <x v="0"/>
    <x v="2"/>
    <x v="5"/>
    <n v="0"/>
    <n v="0"/>
    <n v="2.016"/>
    <n v="0.80640000000000001"/>
    <n v="2.016"/>
    <n v="0.80640000000000001"/>
    <n v="0"/>
    <x v="0"/>
    <n v="0"/>
    <n v="0"/>
    <n v="57"/>
    <n v="31"/>
    <n v="0"/>
    <n v="763.29"/>
    <n v="211.46"/>
    <m/>
    <n v="893.37980365440046"/>
    <n v="299.3674776555294"/>
    <n v="0"/>
    <n v="615.51705600000003"/>
    <n v="170.521344"/>
    <n v="0"/>
    <n v="720.42147366690858"/>
    <n v="241.4099339814189"/>
  </r>
  <r>
    <s v="Sistema de Compensação"/>
    <x v="2"/>
    <x v="3"/>
    <x v="2"/>
    <x v="8"/>
    <x v="1"/>
    <x v="0"/>
    <x v="2"/>
    <x v="6"/>
    <n v="0"/>
    <n v="0"/>
    <n v="2.2589999999999999"/>
    <n v="2.2589999999999999"/>
    <n v="2.2589999999999999"/>
    <n v="2.2589999999999999"/>
    <n v="0"/>
    <x v="0"/>
    <n v="0"/>
    <n v="0"/>
    <n v="57"/>
    <n v="31"/>
    <n v="0"/>
    <n v="763.29"/>
    <n v="211.46"/>
    <m/>
    <n v="893.37980365440046"/>
    <n v="299.3674776555294"/>
    <n v="0"/>
    <n v="1724.2721099999999"/>
    <n v="477.68813999999998"/>
    <n v="0"/>
    <n v="2018.1449764552906"/>
    <n v="676.27113202384089"/>
  </r>
  <r>
    <s v="Sistema de Compensação"/>
    <x v="2"/>
    <x v="3"/>
    <x v="2"/>
    <x v="8"/>
    <x v="1"/>
    <x v="0"/>
    <x v="2"/>
    <x v="7"/>
    <n v="0"/>
    <n v="0"/>
    <n v="2.1850000000000001"/>
    <n v="2.1850000000000001"/>
    <n v="2.1850000000000001"/>
    <n v="2.1850000000000001"/>
    <n v="0"/>
    <x v="0"/>
    <n v="0"/>
    <n v="0"/>
    <n v="57"/>
    <n v="31"/>
    <n v="0"/>
    <n v="763.29"/>
    <n v="211.46"/>
    <m/>
    <n v="893.37980365440046"/>
    <n v="299.3674776555294"/>
    <n v="0"/>
    <n v="1667.78865"/>
    <n v="462.04010000000005"/>
    <n v="0"/>
    <n v="1952.0348709848652"/>
    <n v="654.11793867733172"/>
  </r>
  <r>
    <s v="Sistema de Compensação"/>
    <x v="2"/>
    <x v="3"/>
    <x v="2"/>
    <x v="8"/>
    <x v="1"/>
    <x v="0"/>
    <x v="2"/>
    <x v="8"/>
    <n v="0"/>
    <n v="0"/>
    <n v="0.78300000000000003"/>
    <n v="0.78300000000000003"/>
    <n v="0.78300000000000003"/>
    <n v="0.78300000000000003"/>
    <n v="0"/>
    <x v="0"/>
    <n v="0"/>
    <n v="0"/>
    <n v="57"/>
    <n v="31"/>
    <n v="0"/>
    <n v="763.29"/>
    <n v="211.46"/>
    <m/>
    <n v="893.37980365440046"/>
    <n v="299.3674776555294"/>
    <n v="0"/>
    <n v="597.65607"/>
    <n v="165.57318000000001"/>
    <n v="0"/>
    <n v="699.51638626139561"/>
    <n v="234.40473500427953"/>
  </r>
  <r>
    <s v="Sistema de Compensação"/>
    <x v="2"/>
    <x v="3"/>
    <x v="2"/>
    <x v="8"/>
    <x v="1"/>
    <x v="0"/>
    <x v="2"/>
    <x v="9"/>
    <n v="0"/>
    <n v="0"/>
    <n v="3.4180000000000001"/>
    <n v="3.4180000000000001"/>
    <n v="3.4180000000000001"/>
    <n v="3.4180000000000001"/>
    <n v="0"/>
    <x v="0"/>
    <n v="0"/>
    <n v="0"/>
    <n v="57"/>
    <n v="31"/>
    <n v="0"/>
    <n v="763.29"/>
    <n v="211.46"/>
    <m/>
    <n v="893.37980365440046"/>
    <n v="299.3674776555294"/>
    <n v="0"/>
    <n v="2608.9252200000001"/>
    <n v="722.77028000000007"/>
    <n v="0"/>
    <n v="3053.5721688907411"/>
    <n v="1023.2380386265995"/>
  </r>
  <r>
    <s v="Sistema de Compensação"/>
    <x v="2"/>
    <x v="3"/>
    <x v="2"/>
    <x v="8"/>
    <x v="1"/>
    <x v="0"/>
    <x v="2"/>
    <x v="10"/>
    <n v="0"/>
    <n v="0"/>
    <n v="2.7970000000000002"/>
    <n v="2.7970000000000002"/>
    <n v="2.7970000000000002"/>
    <n v="2.7970000000000002"/>
    <n v="0"/>
    <x v="0"/>
    <n v="0"/>
    <n v="0"/>
    <n v="57"/>
    <n v="31"/>
    <n v="0"/>
    <n v="763.29"/>
    <n v="211.46"/>
    <m/>
    <n v="893.37980365440046"/>
    <n v="299.3674776555294"/>
    <n v="0"/>
    <n v="2134.9221299999999"/>
    <n v="591.45362"/>
    <n v="0"/>
    <n v="2498.7833108213581"/>
    <n v="837.33083500251576"/>
  </r>
  <r>
    <s v="Sistema de Compensação"/>
    <x v="2"/>
    <x v="3"/>
    <x v="2"/>
    <x v="8"/>
    <x v="1"/>
    <x v="0"/>
    <x v="2"/>
    <x v="11"/>
    <n v="0"/>
    <n v="0"/>
    <n v="2.8650000000000002"/>
    <n v="2.8650000000000002"/>
    <n v="2.8650000000000002"/>
    <n v="2.8650000000000002"/>
    <n v="0"/>
    <x v="0"/>
    <n v="0"/>
    <n v="0"/>
    <n v="57"/>
    <n v="31"/>
    <n v="0"/>
    <n v="763.29"/>
    <n v="211.46"/>
    <m/>
    <n v="893.37980365440046"/>
    <n v="299.3674776555294"/>
    <n v="0"/>
    <n v="2186.8258500000002"/>
    <n v="605.83290000000011"/>
    <n v="0"/>
    <n v="2559.5331374698576"/>
    <n v="857.68782348309185"/>
  </r>
  <r>
    <s v="Regular"/>
    <x v="2"/>
    <x v="3"/>
    <x v="2"/>
    <x v="0"/>
    <x v="0"/>
    <x v="0"/>
    <x v="2"/>
    <x v="0"/>
    <n v="0"/>
    <n v="0"/>
    <n v="56.527999999999999"/>
    <n v="56.527999999999999"/>
    <n v="56.527999999999999"/>
    <n v="56.527999999999999"/>
    <n v="171"/>
    <x v="0"/>
    <n v="0"/>
    <n v="0"/>
    <n v="57"/>
    <n v="31"/>
    <n v="0"/>
    <n v="763.29"/>
    <n v="211.46"/>
    <m/>
    <n v="893.37980365440046"/>
    <n v="299.3674776555294"/>
    <n v="0"/>
    <n v="43147.257119999995"/>
    <n v="11953.410879999999"/>
    <n v="0"/>
    <n v="50500.973540975945"/>
    <n v="16922.644776911766"/>
  </r>
  <r>
    <s v="Sistema de Compensação"/>
    <x v="2"/>
    <x v="3"/>
    <x v="2"/>
    <x v="0"/>
    <x v="0"/>
    <x v="0"/>
    <x v="2"/>
    <x v="0"/>
    <n v="0"/>
    <n v="0"/>
    <n v="0.1"/>
    <n v="0.1"/>
    <n v="0.1"/>
    <n v="0.1"/>
    <n v="2"/>
    <x v="0"/>
    <n v="0"/>
    <n v="0"/>
    <n v="57"/>
    <n v="31"/>
    <n v="0"/>
    <n v="763.29"/>
    <n v="211.46"/>
    <m/>
    <n v="893.37980365440046"/>
    <n v="299.3674776555294"/>
    <n v="0"/>
    <n v="76.328999999999994"/>
    <n v="21.146000000000001"/>
    <n v="0"/>
    <n v="89.337980365440046"/>
    <n v="29.936747765552941"/>
  </r>
  <r>
    <s v="Regular"/>
    <x v="2"/>
    <x v="3"/>
    <x v="2"/>
    <x v="0"/>
    <x v="0"/>
    <x v="0"/>
    <x v="2"/>
    <x v="1"/>
    <n v="0"/>
    <n v="0"/>
    <n v="43.643999999999998"/>
    <n v="43.643999999999998"/>
    <n v="43.643999999999998"/>
    <n v="43.643999999999998"/>
    <n v="167"/>
    <x v="0"/>
    <n v="0"/>
    <n v="0"/>
    <n v="57"/>
    <n v="31"/>
    <n v="0"/>
    <n v="763.29"/>
    <n v="211.46"/>
    <m/>
    <n v="893.37980365440046"/>
    <n v="299.3674776555294"/>
    <n v="0"/>
    <n v="33313.028759999994"/>
    <n v="9228.9602400000003"/>
    <n v="0"/>
    <n v="38990.668150692654"/>
    <n v="13065.594194797925"/>
  </r>
  <r>
    <s v="Refaturamento - Regular"/>
    <x v="2"/>
    <x v="3"/>
    <x v="2"/>
    <x v="0"/>
    <x v="0"/>
    <x v="0"/>
    <x v="2"/>
    <x v="1"/>
    <n v="0"/>
    <n v="0"/>
    <n v="-0.23200000000000001"/>
    <n v="-0.23200000000000001"/>
    <n v="-0.23200000000000001"/>
    <n v="-0.23200000000000001"/>
    <n v="0"/>
    <x v="0"/>
    <n v="0"/>
    <n v="0"/>
    <n v="57"/>
    <n v="31"/>
    <n v="0"/>
    <n v="763.29"/>
    <n v="211.46"/>
    <m/>
    <n v="893.37980365440046"/>
    <n v="299.3674776555294"/>
    <n v="0"/>
    <n v="-177.08328"/>
    <n v="-49.058720000000001"/>
    <n v="0"/>
    <n v="-207.26411444782093"/>
    <n v="-69.453254816082818"/>
  </r>
  <r>
    <s v="Sistema de Compensação"/>
    <x v="2"/>
    <x v="3"/>
    <x v="2"/>
    <x v="0"/>
    <x v="0"/>
    <x v="0"/>
    <x v="2"/>
    <x v="1"/>
    <n v="0"/>
    <n v="0"/>
    <n v="0.246"/>
    <n v="0.246"/>
    <n v="0.246"/>
    <n v="0.246"/>
    <n v="3"/>
    <x v="0"/>
    <n v="0"/>
    <n v="0"/>
    <n v="57"/>
    <n v="31"/>
    <n v="0"/>
    <n v="763.29"/>
    <n v="211.46"/>
    <m/>
    <n v="893.37980365440046"/>
    <n v="299.3674776555294"/>
    <n v="0"/>
    <n v="187.76934"/>
    <n v="52.019159999999999"/>
    <n v="0"/>
    <n v="219.7714316989825"/>
    <n v="73.644399503260232"/>
  </r>
  <r>
    <s v="Regular"/>
    <x v="2"/>
    <x v="3"/>
    <x v="2"/>
    <x v="0"/>
    <x v="0"/>
    <x v="0"/>
    <x v="2"/>
    <x v="2"/>
    <n v="0"/>
    <n v="0"/>
    <n v="47.582999999999998"/>
    <n v="47.582999999999998"/>
    <n v="47.582999999999998"/>
    <n v="47.582999999999998"/>
    <n v="166"/>
    <x v="0"/>
    <n v="0"/>
    <n v="0"/>
    <n v="57"/>
    <n v="31"/>
    <n v="0"/>
    <n v="763.29"/>
    <n v="211.46"/>
    <m/>
    <n v="893.37980365440046"/>
    <n v="299.3674776555294"/>
    <n v="0"/>
    <n v="36319.628069999999"/>
    <n v="10061.901180000001"/>
    <n v="0"/>
    <n v="42509.691197287335"/>
    <n v="14244.802689283055"/>
  </r>
  <r>
    <s v="Sistema de Compensação"/>
    <x v="2"/>
    <x v="3"/>
    <x v="2"/>
    <x v="0"/>
    <x v="0"/>
    <x v="0"/>
    <x v="2"/>
    <x v="2"/>
    <n v="0"/>
    <n v="0"/>
    <n v="0.34200000000000003"/>
    <n v="0.34200000000000003"/>
    <n v="0.34200000000000003"/>
    <n v="0.34200000000000003"/>
    <n v="3"/>
    <x v="0"/>
    <n v="0"/>
    <n v="0"/>
    <n v="57"/>
    <n v="31"/>
    <n v="0"/>
    <n v="763.29"/>
    <n v="211.46"/>
    <m/>
    <n v="893.37980365440046"/>
    <n v="299.3674776555294"/>
    <n v="0"/>
    <n v="261.04518000000002"/>
    <n v="72.319320000000005"/>
    <n v="0"/>
    <n v="305.53589284980501"/>
    <n v="102.38367735819106"/>
  </r>
  <r>
    <s v="Regular"/>
    <x v="2"/>
    <x v="3"/>
    <x v="2"/>
    <x v="0"/>
    <x v="0"/>
    <x v="0"/>
    <x v="2"/>
    <x v="3"/>
    <n v="0"/>
    <n v="0"/>
    <n v="63.924999999999997"/>
    <n v="63.924999999999997"/>
    <n v="63.924999999999997"/>
    <n v="63.924999999999997"/>
    <n v="162"/>
    <x v="0"/>
    <n v="0"/>
    <n v="0"/>
    <n v="57"/>
    <n v="31"/>
    <n v="0"/>
    <n v="763.29"/>
    <n v="211.46"/>
    <m/>
    <n v="893.37980365440046"/>
    <n v="299.3674776555294"/>
    <n v="0"/>
    <n v="48793.313249999992"/>
    <n v="13517.5805"/>
    <n v="0"/>
    <n v="57109.30394860755"/>
    <n v="19137.066009129718"/>
  </r>
  <r>
    <s v="Sistema de Compensação"/>
    <x v="2"/>
    <x v="3"/>
    <x v="2"/>
    <x v="0"/>
    <x v="0"/>
    <x v="0"/>
    <x v="2"/>
    <x v="3"/>
    <n v="0"/>
    <n v="0"/>
    <n v="0.58699999999999997"/>
    <n v="0.58699999999999997"/>
    <n v="0.58699999999999997"/>
    <n v="0.58699999999999997"/>
    <n v="5"/>
    <x v="0"/>
    <n v="0"/>
    <n v="0"/>
    <n v="57"/>
    <n v="31"/>
    <n v="0"/>
    <n v="763.29"/>
    <n v="211.46"/>
    <m/>
    <n v="893.37980365440046"/>
    <n v="299.3674776555294"/>
    <n v="0"/>
    <n v="448.05122999999998"/>
    <n v="124.12702"/>
    <n v="0"/>
    <n v="524.41394474513299"/>
    <n v="175.72870938379575"/>
  </r>
  <r>
    <s v="Regular"/>
    <x v="2"/>
    <x v="3"/>
    <x v="2"/>
    <x v="0"/>
    <x v="0"/>
    <x v="0"/>
    <x v="2"/>
    <x v="4"/>
    <n v="0"/>
    <n v="0"/>
    <n v="39.451999999999998"/>
    <n v="39.451999999999998"/>
    <n v="39.451999999999998"/>
    <n v="39.451999999999998"/>
    <n v="160"/>
    <x v="0"/>
    <n v="0"/>
    <n v="0"/>
    <n v="57"/>
    <n v="31"/>
    <n v="0"/>
    <n v="763.29"/>
    <n v="211.46"/>
    <m/>
    <n v="893.37980365440046"/>
    <n v="299.3674776555294"/>
    <n v="0"/>
    <n v="30113.317079999997"/>
    <n v="8342.5199200000006"/>
    <n v="0"/>
    <n v="35245.620013773405"/>
    <n v="11810.645728465945"/>
  </r>
  <r>
    <s v="Refaturamento - Regular"/>
    <x v="2"/>
    <x v="3"/>
    <x v="2"/>
    <x v="0"/>
    <x v="0"/>
    <x v="0"/>
    <x v="2"/>
    <x v="4"/>
    <n v="0"/>
    <n v="0"/>
    <n v="-9.7000000000000003E-2"/>
    <n v="-9.7000000000000003E-2"/>
    <n v="-9.7000000000000003E-2"/>
    <n v="-9.7000000000000003E-2"/>
    <n v="0"/>
    <x v="0"/>
    <n v="0"/>
    <n v="0"/>
    <n v="57"/>
    <n v="31"/>
    <n v="0"/>
    <n v="763.29"/>
    <n v="211.46"/>
    <m/>
    <n v="893.37980365440046"/>
    <n v="299.3674776555294"/>
    <n v="0"/>
    <n v="-74.03913"/>
    <n v="-20.511620000000001"/>
    <n v="0"/>
    <n v="-86.657840954476853"/>
    <n v="-29.038645332586352"/>
  </r>
  <r>
    <s v="Sistema de Compensação"/>
    <x v="2"/>
    <x v="3"/>
    <x v="2"/>
    <x v="0"/>
    <x v="0"/>
    <x v="0"/>
    <x v="2"/>
    <x v="4"/>
    <n v="0"/>
    <n v="0"/>
    <n v="0.56000000000000005"/>
    <n v="0.56000000000000005"/>
    <n v="0.56000000000000005"/>
    <n v="0.56000000000000005"/>
    <n v="5"/>
    <x v="0"/>
    <n v="0"/>
    <n v="0"/>
    <n v="57"/>
    <n v="31"/>
    <n v="0"/>
    <n v="763.29"/>
    <n v="211.46"/>
    <m/>
    <n v="893.37980365440046"/>
    <n v="299.3674776555294"/>
    <n v="0"/>
    <n v="427.44240000000002"/>
    <n v="118.41760000000002"/>
    <n v="0"/>
    <n v="500.29269004646432"/>
    <n v="167.64578748709647"/>
  </r>
  <r>
    <s v="Regular"/>
    <x v="2"/>
    <x v="3"/>
    <x v="2"/>
    <x v="0"/>
    <x v="0"/>
    <x v="0"/>
    <x v="2"/>
    <x v="5"/>
    <n v="0"/>
    <n v="0"/>
    <n v="42.475999999999999"/>
    <n v="42.475999999999999"/>
    <n v="42.475999999999999"/>
    <n v="42.475999999999999"/>
    <n v="161"/>
    <x v="0"/>
    <n v="0"/>
    <n v="0"/>
    <n v="57"/>
    <n v="31"/>
    <n v="0"/>
    <n v="763.29"/>
    <n v="211.46"/>
    <m/>
    <n v="893.37980365440046"/>
    <n v="299.3674776555294"/>
    <n v="0"/>
    <n v="32421.506039999997"/>
    <n v="8981.9749599999996"/>
    <n v="0"/>
    <n v="37947.200540024314"/>
    <n v="12715.932980896267"/>
  </r>
  <r>
    <s v="Refaturamento - Regular"/>
    <x v="2"/>
    <x v="3"/>
    <x v="2"/>
    <x v="0"/>
    <x v="0"/>
    <x v="0"/>
    <x v="2"/>
    <x v="5"/>
    <n v="0"/>
    <n v="0"/>
    <n v="-0.309"/>
    <n v="-0.309"/>
    <n v="-0.309"/>
    <n v="-0.309"/>
    <n v="0"/>
    <x v="0"/>
    <n v="0"/>
    <n v="0"/>
    <n v="57"/>
    <n v="31"/>
    <n v="0"/>
    <n v="763.29"/>
    <n v="211.46"/>
    <m/>
    <n v="893.37980365440046"/>
    <n v="299.3674776555294"/>
    <n v="0"/>
    <n v="-235.85660999999999"/>
    <n v="-65.341139999999996"/>
    <n v="0"/>
    <n v="-276.05435932920972"/>
    <n v="-92.504550595558584"/>
  </r>
  <r>
    <s v="Sistema de Compensação"/>
    <x v="2"/>
    <x v="3"/>
    <x v="2"/>
    <x v="0"/>
    <x v="0"/>
    <x v="0"/>
    <x v="2"/>
    <x v="5"/>
    <n v="0"/>
    <n v="0"/>
    <n v="0.45300000000000001"/>
    <n v="0.45300000000000001"/>
    <n v="0.45300000000000001"/>
    <n v="0.45300000000000001"/>
    <n v="5"/>
    <x v="0"/>
    <n v="0"/>
    <n v="0"/>
    <n v="57"/>
    <n v="31"/>
    <n v="0"/>
    <n v="763.29"/>
    <n v="211.46"/>
    <m/>
    <n v="893.37980365440046"/>
    <n v="299.3674776555294"/>
    <n v="0"/>
    <n v="345.77037000000001"/>
    <n v="95.791380000000004"/>
    <n v="0"/>
    <n v="404.70105105544343"/>
    <n v="135.61346737795483"/>
  </r>
  <r>
    <s v="Regular"/>
    <x v="2"/>
    <x v="3"/>
    <x v="2"/>
    <x v="0"/>
    <x v="0"/>
    <x v="0"/>
    <x v="2"/>
    <x v="6"/>
    <n v="0"/>
    <n v="0"/>
    <n v="40.125"/>
    <n v="40.125"/>
    <n v="40.125"/>
    <n v="40.125"/>
    <n v="150"/>
    <x v="0"/>
    <n v="0"/>
    <n v="0"/>
    <n v="57"/>
    <n v="31"/>
    <n v="0"/>
    <n v="763.29"/>
    <n v="211.46"/>
    <m/>
    <n v="893.37980365440046"/>
    <n v="299.3674776555294"/>
    <n v="0"/>
    <n v="30627.01125"/>
    <n v="8484.8325000000004"/>
    <n v="0"/>
    <n v="35846.86462163282"/>
    <n v="12012.120040928117"/>
  </r>
  <r>
    <s v="Sistema de Compensação"/>
    <x v="2"/>
    <x v="3"/>
    <x v="2"/>
    <x v="0"/>
    <x v="0"/>
    <x v="0"/>
    <x v="2"/>
    <x v="6"/>
    <n v="0"/>
    <n v="0"/>
    <n v="0.55300000000000005"/>
    <n v="0.55300000000000005"/>
    <n v="0.55300000000000005"/>
    <n v="0.55300000000000005"/>
    <n v="5"/>
    <x v="0"/>
    <n v="0"/>
    <n v="0"/>
    <n v="57"/>
    <n v="31"/>
    <n v="0"/>
    <n v="763.29"/>
    <n v="211.46"/>
    <m/>
    <n v="893.37980365440046"/>
    <n v="299.3674776555294"/>
    <n v="0"/>
    <n v="422.09937000000002"/>
    <n v="116.93738000000002"/>
    <n v="0"/>
    <n v="494.03903142088348"/>
    <n v="165.55021514350778"/>
  </r>
  <r>
    <s v="Regular"/>
    <x v="2"/>
    <x v="3"/>
    <x v="2"/>
    <x v="0"/>
    <x v="0"/>
    <x v="0"/>
    <x v="2"/>
    <x v="7"/>
    <n v="0"/>
    <n v="0"/>
    <n v="38.409999999999997"/>
    <n v="38.409999999999997"/>
    <n v="38.409999999999997"/>
    <n v="38.409999999999997"/>
    <n v="147"/>
    <x v="0"/>
    <n v="0"/>
    <n v="0"/>
    <n v="57"/>
    <n v="31"/>
    <n v="0"/>
    <n v="763.29"/>
    <n v="211.46"/>
    <m/>
    <n v="893.37980365440046"/>
    <n v="299.3674776555294"/>
    <n v="0"/>
    <n v="29317.968899999996"/>
    <n v="8122.1785999999993"/>
    <n v="0"/>
    <n v="34314.718258365516"/>
    <n v="11498.704816748883"/>
  </r>
  <r>
    <s v="Sistema de Compensação"/>
    <x v="2"/>
    <x v="3"/>
    <x v="2"/>
    <x v="0"/>
    <x v="0"/>
    <x v="0"/>
    <x v="2"/>
    <x v="7"/>
    <n v="0"/>
    <n v="0"/>
    <n v="0.52"/>
    <n v="0.52"/>
    <n v="0.52"/>
    <n v="0.52"/>
    <n v="5"/>
    <x v="0"/>
    <n v="0"/>
    <n v="0"/>
    <n v="57"/>
    <n v="31"/>
    <n v="0"/>
    <n v="763.29"/>
    <n v="211.46"/>
    <m/>
    <n v="893.37980365440046"/>
    <n v="299.3674776555294"/>
    <n v="0"/>
    <n v="396.91079999999999"/>
    <n v="109.95920000000001"/>
    <n v="0"/>
    <n v="464.55749790028824"/>
    <n v="155.67108838087529"/>
  </r>
  <r>
    <s v="Regular"/>
    <x v="2"/>
    <x v="3"/>
    <x v="2"/>
    <x v="0"/>
    <x v="0"/>
    <x v="0"/>
    <x v="2"/>
    <x v="8"/>
    <n v="0"/>
    <n v="0"/>
    <n v="38.148000000000003"/>
    <n v="38.148000000000003"/>
    <n v="38.148000000000003"/>
    <n v="38.148000000000003"/>
    <n v="145"/>
    <x v="0"/>
    <n v="0"/>
    <n v="0"/>
    <n v="57"/>
    <n v="31"/>
    <n v="0"/>
    <n v="763.29"/>
    <n v="211.46"/>
    <m/>
    <n v="893.37980365440046"/>
    <n v="299.3674776555294"/>
    <n v="0"/>
    <n v="29117.986919999999"/>
    <n v="8066.7760800000005"/>
    <n v="0"/>
    <n v="34080.652749808069"/>
    <n v="11420.270537603137"/>
  </r>
  <r>
    <s v="Sistema de Compensação"/>
    <x v="2"/>
    <x v="3"/>
    <x v="2"/>
    <x v="0"/>
    <x v="0"/>
    <x v="0"/>
    <x v="2"/>
    <x v="8"/>
    <n v="0"/>
    <n v="0"/>
    <n v="3.2010000000000001"/>
    <n v="3.2010000000000001"/>
    <n v="3.2010000000000001"/>
    <n v="3.2010000000000001"/>
    <n v="7"/>
    <x v="0"/>
    <n v="0"/>
    <n v="0"/>
    <n v="57"/>
    <n v="31"/>
    <n v="0"/>
    <n v="763.29"/>
    <n v="211.46"/>
    <m/>
    <n v="893.37980365440046"/>
    <n v="299.3674776555294"/>
    <n v="0"/>
    <n v="2443.2912900000001"/>
    <n v="676.88346000000001"/>
    <n v="0"/>
    <n v="2859.7087514977361"/>
    <n v="958.27529597534965"/>
  </r>
  <r>
    <s v="Regular"/>
    <x v="2"/>
    <x v="3"/>
    <x v="2"/>
    <x v="0"/>
    <x v="0"/>
    <x v="0"/>
    <x v="2"/>
    <x v="9"/>
    <n v="0"/>
    <n v="0"/>
    <n v="41.704999999999998"/>
    <n v="41.704999999999998"/>
    <n v="41.704999999999998"/>
    <n v="41.704999999999998"/>
    <n v="142"/>
    <x v="0"/>
    <n v="0"/>
    <n v="0"/>
    <n v="57"/>
    <n v="31"/>
    <n v="0"/>
    <n v="763.29"/>
    <n v="211.46"/>
    <m/>
    <n v="893.37980365440046"/>
    <n v="299.3674776555294"/>
    <n v="0"/>
    <n v="31833.009449999998"/>
    <n v="8818.9393"/>
    <n v="0"/>
    <n v="37258.404711406773"/>
    <n v="12485.120655623854"/>
  </r>
  <r>
    <s v="Sistema de Compensação"/>
    <x v="2"/>
    <x v="3"/>
    <x v="2"/>
    <x v="0"/>
    <x v="0"/>
    <x v="0"/>
    <x v="2"/>
    <x v="9"/>
    <n v="0"/>
    <n v="0"/>
    <n v="2.4119999999999999"/>
    <n v="2.4119999999999999"/>
    <n v="2.4119999999999999"/>
    <n v="2.4119999999999999"/>
    <n v="7"/>
    <x v="0"/>
    <n v="0"/>
    <n v="0"/>
    <n v="57"/>
    <n v="31"/>
    <n v="0"/>
    <n v="763.29"/>
    <n v="211.46"/>
    <m/>
    <n v="893.37980365440046"/>
    <n v="299.3674776555294"/>
    <n v="0"/>
    <n v="1841.0554799999998"/>
    <n v="510.04151999999999"/>
    <n v="0"/>
    <n v="2154.8320864144139"/>
    <n v="722.07435610513687"/>
  </r>
  <r>
    <s v="Regular"/>
    <x v="2"/>
    <x v="3"/>
    <x v="2"/>
    <x v="0"/>
    <x v="0"/>
    <x v="0"/>
    <x v="2"/>
    <x v="10"/>
    <n v="0"/>
    <n v="0"/>
    <n v="42.475000000000001"/>
    <n v="42.475000000000001"/>
    <n v="42.475000000000001"/>
    <n v="42.475000000000001"/>
    <n v="142"/>
    <x v="0"/>
    <n v="0"/>
    <n v="0"/>
    <n v="57"/>
    <n v="31"/>
    <n v="0"/>
    <n v="763.29"/>
    <n v="211.46"/>
    <m/>
    <n v="893.37980365440046"/>
    <n v="299.3674776555294"/>
    <n v="0"/>
    <n v="32420.742750000001"/>
    <n v="8981.7635000000009"/>
    <n v="0"/>
    <n v="37946.307160220662"/>
    <n v="12715.633613418611"/>
  </r>
  <r>
    <s v="Sistema de Compensação"/>
    <x v="2"/>
    <x v="3"/>
    <x v="2"/>
    <x v="0"/>
    <x v="0"/>
    <x v="0"/>
    <x v="2"/>
    <x v="10"/>
    <n v="0"/>
    <n v="0"/>
    <n v="1.849"/>
    <n v="1.849"/>
    <n v="1.849"/>
    <n v="1.849"/>
    <n v="7"/>
    <x v="0"/>
    <n v="0"/>
    <n v="0"/>
    <n v="57"/>
    <n v="31"/>
    <n v="0"/>
    <n v="763.29"/>
    <n v="211.46"/>
    <m/>
    <n v="893.37980365440046"/>
    <n v="299.3674776555294"/>
    <n v="0"/>
    <n v="1411.32321"/>
    <n v="390.98954000000003"/>
    <n v="0"/>
    <n v="1651.8592569569864"/>
    <n v="553.53046618507381"/>
  </r>
  <r>
    <s v="Regular"/>
    <x v="2"/>
    <x v="3"/>
    <x v="2"/>
    <x v="0"/>
    <x v="0"/>
    <x v="0"/>
    <x v="2"/>
    <x v="11"/>
    <n v="0"/>
    <n v="0"/>
    <n v="41.295000000000002"/>
    <n v="41.295000000000002"/>
    <n v="41.295000000000002"/>
    <n v="41.295000000000002"/>
    <n v="142"/>
    <x v="0"/>
    <n v="0"/>
    <n v="0"/>
    <n v="57"/>
    <n v="31"/>
    <n v="0"/>
    <n v="763.29"/>
    <n v="211.46"/>
    <m/>
    <n v="893.37980365440046"/>
    <n v="299.3674776555294"/>
    <n v="0"/>
    <n v="31520.060549999998"/>
    <n v="8732.2407000000003"/>
    <n v="0"/>
    <n v="36892.118991908472"/>
    <n v="12362.379989785088"/>
  </r>
  <r>
    <s v="Sistema de Compensação"/>
    <x v="2"/>
    <x v="3"/>
    <x v="2"/>
    <x v="0"/>
    <x v="0"/>
    <x v="0"/>
    <x v="2"/>
    <x v="11"/>
    <n v="0"/>
    <n v="0"/>
    <n v="1.4870000000000001"/>
    <n v="1.4870000000000001"/>
    <n v="1.4870000000000001"/>
    <n v="1.4870000000000001"/>
    <n v="7"/>
    <x v="0"/>
    <n v="0"/>
    <n v="0"/>
    <n v="57"/>
    <n v="31"/>
    <n v="0"/>
    <n v="763.29"/>
    <n v="211.46"/>
    <m/>
    <n v="893.37980365440046"/>
    <n v="299.3674776555294"/>
    <n v="0"/>
    <n v="1135.01223"/>
    <n v="314.44102000000004"/>
    <n v="0"/>
    <n v="1328.4557680340936"/>
    <n v="445.15943927377225"/>
  </r>
  <r>
    <s v="Regular"/>
    <x v="3"/>
    <x v="2"/>
    <x v="0"/>
    <x v="0"/>
    <x v="0"/>
    <x v="0"/>
    <x v="0"/>
    <x v="0"/>
    <n v="0"/>
    <n v="0"/>
    <n v="0.22600000000000001"/>
    <n v="0.22600000000000001"/>
    <n v="0.22600000000000001"/>
    <n v="0.22600000000000001"/>
    <n v="0"/>
    <x v="0"/>
    <n v="0"/>
    <n v="0"/>
    <n v="71"/>
    <n v="45"/>
    <n v="0"/>
    <n v="578.25"/>
    <n v="240.29"/>
    <m/>
    <n v="637.90161264195035"/>
    <n v="318.47604005907385"/>
    <n v="0"/>
    <n v="130.68450000000001"/>
    <n v="54.305540000000001"/>
    <n v="0"/>
    <n v="144.1657644570808"/>
    <n v="71.975585053350699"/>
  </r>
  <r>
    <s v="Regular"/>
    <x v="3"/>
    <x v="2"/>
    <x v="0"/>
    <x v="0"/>
    <x v="0"/>
    <x v="0"/>
    <x v="0"/>
    <x v="1"/>
    <n v="0"/>
    <n v="0"/>
    <n v="0.23599999999999999"/>
    <n v="0.23599999999999999"/>
    <n v="0.23599999999999999"/>
    <n v="0.23599999999999999"/>
    <n v="0"/>
    <x v="0"/>
    <n v="0"/>
    <n v="0"/>
    <n v="71"/>
    <n v="45"/>
    <n v="0"/>
    <n v="578.25"/>
    <n v="240.29"/>
    <m/>
    <n v="637.90161264195035"/>
    <n v="318.47604005907385"/>
    <n v="0"/>
    <n v="136.46699999999998"/>
    <n v="56.708439999999996"/>
    <n v="0"/>
    <n v="150.54478058350028"/>
    <n v="75.160345453941432"/>
  </r>
  <r>
    <s v="Regular"/>
    <x v="3"/>
    <x v="2"/>
    <x v="0"/>
    <x v="0"/>
    <x v="0"/>
    <x v="0"/>
    <x v="0"/>
    <x v="2"/>
    <n v="0"/>
    <n v="0"/>
    <n v="0.35499999999999998"/>
    <n v="0.35499999999999998"/>
    <n v="0.35499999999999998"/>
    <n v="0.35499999999999998"/>
    <n v="0"/>
    <x v="0"/>
    <n v="0"/>
    <n v="0"/>
    <n v="71"/>
    <n v="45"/>
    <n v="0"/>
    <n v="578.25"/>
    <n v="240.29"/>
    <m/>
    <n v="637.90161264195035"/>
    <n v="318.47604005907385"/>
    <n v="0"/>
    <n v="205.27875"/>
    <n v="85.302949999999996"/>
    <n v="0"/>
    <n v="226.45507248789235"/>
    <n v="113.05899422097121"/>
  </r>
  <r>
    <s v="Regular"/>
    <x v="3"/>
    <x v="2"/>
    <x v="0"/>
    <x v="0"/>
    <x v="0"/>
    <x v="0"/>
    <x v="0"/>
    <x v="3"/>
    <n v="0"/>
    <n v="0"/>
    <n v="0.16"/>
    <n v="0.16"/>
    <n v="0.16"/>
    <n v="0.16"/>
    <n v="0"/>
    <x v="0"/>
    <n v="0"/>
    <n v="0"/>
    <n v="71"/>
    <n v="45"/>
    <n v="0"/>
    <n v="578.25"/>
    <n v="240.29"/>
    <m/>
    <n v="637.90161264195035"/>
    <n v="318.47604005907385"/>
    <n v="0"/>
    <n v="92.52"/>
    <n v="38.446399999999997"/>
    <n v="0"/>
    <n v="102.06425802271205"/>
    <n v="50.956166409451818"/>
  </r>
  <r>
    <s v="Regular"/>
    <x v="3"/>
    <x v="2"/>
    <x v="0"/>
    <x v="0"/>
    <x v="0"/>
    <x v="0"/>
    <x v="0"/>
    <x v="4"/>
    <n v="0"/>
    <n v="0"/>
    <n v="0.20100000000000001"/>
    <n v="0.20100000000000001"/>
    <n v="0.20100000000000001"/>
    <n v="0.20100000000000001"/>
    <n v="0"/>
    <x v="0"/>
    <n v="0"/>
    <n v="0"/>
    <n v="71"/>
    <n v="45"/>
    <n v="0"/>
    <n v="578.25"/>
    <n v="240.29"/>
    <m/>
    <n v="637.90161264195035"/>
    <n v="318.47604005907385"/>
    <n v="0"/>
    <n v="116.22825"/>
    <n v="48.298290000000001"/>
    <n v="0"/>
    <n v="128.21822414103204"/>
    <n v="64.013684051873852"/>
  </r>
  <r>
    <s v="Regular"/>
    <x v="3"/>
    <x v="2"/>
    <x v="0"/>
    <x v="0"/>
    <x v="0"/>
    <x v="0"/>
    <x v="0"/>
    <x v="5"/>
    <n v="0"/>
    <n v="0"/>
    <n v="0.20399999999999999"/>
    <n v="0.20399999999999999"/>
    <n v="0.20399999999999999"/>
    <n v="0.20399999999999999"/>
    <n v="0"/>
    <x v="0"/>
    <n v="0"/>
    <n v="0"/>
    <n v="71"/>
    <n v="45"/>
    <n v="0"/>
    <n v="578.25"/>
    <n v="240.29"/>
    <m/>
    <n v="637.90161264195035"/>
    <n v="318.47604005907385"/>
    <n v="0"/>
    <n v="117.96299999999999"/>
    <n v="49.019159999999992"/>
    <n v="0"/>
    <n v="130.13192897895786"/>
    <n v="64.969112172051055"/>
  </r>
  <r>
    <s v="Regular"/>
    <x v="3"/>
    <x v="2"/>
    <x v="0"/>
    <x v="0"/>
    <x v="0"/>
    <x v="0"/>
    <x v="0"/>
    <x v="6"/>
    <n v="0"/>
    <n v="0"/>
    <n v="0.19800000000000001"/>
    <n v="0.19800000000000001"/>
    <n v="0.19800000000000001"/>
    <n v="0.19800000000000001"/>
    <n v="0"/>
    <x v="0"/>
    <n v="0"/>
    <n v="0"/>
    <n v="71"/>
    <n v="45"/>
    <n v="0"/>
    <n v="578.25"/>
    <n v="240.29"/>
    <m/>
    <n v="637.90161264195035"/>
    <n v="318.47604005907385"/>
    <n v="0"/>
    <n v="114.49350000000001"/>
    <n v="47.577420000000004"/>
    <n v="0"/>
    <n v="126.30451930310618"/>
    <n v="63.058255931696628"/>
  </r>
  <r>
    <s v="Regular"/>
    <x v="3"/>
    <x v="2"/>
    <x v="0"/>
    <x v="0"/>
    <x v="0"/>
    <x v="0"/>
    <x v="0"/>
    <x v="7"/>
    <n v="0"/>
    <n v="0"/>
    <n v="0.182"/>
    <n v="0.182"/>
    <n v="0.182"/>
    <n v="0.182"/>
    <n v="0"/>
    <x v="0"/>
    <n v="0"/>
    <n v="0"/>
    <n v="71"/>
    <n v="45"/>
    <n v="0"/>
    <n v="578.25"/>
    <n v="240.29"/>
    <m/>
    <n v="637.90161264195035"/>
    <n v="318.47604005907385"/>
    <n v="0"/>
    <n v="105.2415"/>
    <n v="43.732779999999998"/>
    <n v="0"/>
    <n v="116.09809350083496"/>
    <n v="57.96263929075144"/>
  </r>
  <r>
    <s v="Regular"/>
    <x v="3"/>
    <x v="2"/>
    <x v="0"/>
    <x v="0"/>
    <x v="0"/>
    <x v="0"/>
    <x v="0"/>
    <x v="8"/>
    <n v="0"/>
    <n v="0"/>
    <n v="0.21299999999999999"/>
    <n v="0.21299999999999999"/>
    <n v="0.21299999999999999"/>
    <n v="0.21299999999999999"/>
    <n v="0"/>
    <x v="0"/>
    <n v="0"/>
    <n v="0"/>
    <n v="71"/>
    <n v="45"/>
    <n v="0"/>
    <n v="578.25"/>
    <n v="240.29"/>
    <m/>
    <n v="637.90161264195035"/>
    <n v="318.47604005907385"/>
    <n v="0"/>
    <n v="123.16725"/>
    <n v="51.18177"/>
    <n v="0"/>
    <n v="135.87304349273543"/>
    <n v="67.835396532582735"/>
  </r>
  <r>
    <s v="Regular"/>
    <x v="3"/>
    <x v="2"/>
    <x v="0"/>
    <x v="0"/>
    <x v="0"/>
    <x v="0"/>
    <x v="0"/>
    <x v="9"/>
    <n v="0"/>
    <n v="0"/>
    <n v="0.308"/>
    <n v="0.308"/>
    <n v="0.308"/>
    <n v="0.308"/>
    <n v="0"/>
    <x v="0"/>
    <n v="0"/>
    <n v="0"/>
    <n v="71"/>
    <n v="45"/>
    <n v="0"/>
    <n v="578.25"/>
    <n v="240.29"/>
    <m/>
    <n v="637.90161264195035"/>
    <n v="318.47604005907385"/>
    <n v="0"/>
    <n v="178.101"/>
    <n v="74.009320000000002"/>
    <n v="0"/>
    <n v="196.47369669372071"/>
    <n v="98.090620338194739"/>
  </r>
  <r>
    <s v="Regular"/>
    <x v="3"/>
    <x v="2"/>
    <x v="0"/>
    <x v="0"/>
    <x v="0"/>
    <x v="0"/>
    <x v="0"/>
    <x v="10"/>
    <n v="0"/>
    <n v="0"/>
    <n v="0.27"/>
    <n v="0.27"/>
    <n v="0.27"/>
    <n v="0.27"/>
    <n v="0"/>
    <x v="0"/>
    <n v="0"/>
    <n v="0"/>
    <n v="71"/>
    <n v="45"/>
    <n v="0"/>
    <n v="578.25"/>
    <n v="240.29"/>
    <m/>
    <n v="637.90161264195035"/>
    <n v="318.47604005907385"/>
    <n v="0"/>
    <n v="156.1275"/>
    <n v="64.878299999999996"/>
    <n v="0"/>
    <n v="172.23343541332662"/>
    <n v="85.988530815949943"/>
  </r>
  <r>
    <s v="Regular"/>
    <x v="3"/>
    <x v="2"/>
    <x v="0"/>
    <x v="0"/>
    <x v="0"/>
    <x v="0"/>
    <x v="0"/>
    <x v="11"/>
    <n v="0"/>
    <n v="0"/>
    <n v="0.27500000000000002"/>
    <n v="0.27500000000000002"/>
    <n v="0.27500000000000002"/>
    <n v="0.27500000000000002"/>
    <n v="0"/>
    <x v="0"/>
    <n v="0"/>
    <n v="0"/>
    <n v="71"/>
    <n v="45"/>
    <n v="0"/>
    <n v="578.25"/>
    <n v="240.29"/>
    <m/>
    <n v="637.90161264195035"/>
    <n v="318.47604005907385"/>
    <n v="0"/>
    <n v="159.01875000000001"/>
    <n v="66.079750000000004"/>
    <n v="0"/>
    <n v="175.42294347653635"/>
    <n v="87.580911016245309"/>
  </r>
  <r>
    <s v="Regular"/>
    <x v="3"/>
    <x v="2"/>
    <x v="0"/>
    <x v="0"/>
    <x v="0"/>
    <x v="0"/>
    <x v="3"/>
    <x v="0"/>
    <n v="0"/>
    <n v="0"/>
    <n v="1.4E-2"/>
    <n v="1.4E-2"/>
    <n v="1.4E-2"/>
    <n v="1.4E-2"/>
    <n v="0"/>
    <x v="0"/>
    <n v="0"/>
    <n v="0"/>
    <n v="70"/>
    <n v="39"/>
    <n v="0"/>
    <n v="1482.7"/>
    <n v="240.29"/>
    <m/>
    <n v="1615.474779530733"/>
    <n v="318.47604005907385"/>
    <n v="0"/>
    <n v="20.7578"/>
    <n v="3.3640599999999998"/>
    <n v="0"/>
    <n v="22.616646913430262"/>
    <n v="4.4586645608270343"/>
  </r>
  <r>
    <s v="Regular"/>
    <x v="3"/>
    <x v="2"/>
    <x v="0"/>
    <x v="0"/>
    <x v="0"/>
    <x v="0"/>
    <x v="3"/>
    <x v="1"/>
    <n v="0"/>
    <n v="0"/>
    <n v="1.7999999999999999E-2"/>
    <n v="1.7999999999999999E-2"/>
    <n v="1.7999999999999999E-2"/>
    <n v="1.7999999999999999E-2"/>
    <n v="0"/>
    <x v="0"/>
    <n v="0"/>
    <n v="0"/>
    <n v="70"/>
    <n v="39"/>
    <n v="0"/>
    <n v="1482.7"/>
    <n v="240.29"/>
    <m/>
    <n v="1615.474779530733"/>
    <n v="318.47604005907385"/>
    <n v="0"/>
    <n v="26.688599999999997"/>
    <n v="4.3252199999999998"/>
    <n v="0"/>
    <n v="29.078546031553191"/>
    <n v="5.7325687210633287"/>
  </r>
  <r>
    <s v="Regular"/>
    <x v="3"/>
    <x v="2"/>
    <x v="0"/>
    <x v="0"/>
    <x v="0"/>
    <x v="0"/>
    <x v="3"/>
    <x v="2"/>
    <n v="0"/>
    <n v="0"/>
    <n v="3.6999999999999998E-2"/>
    <n v="3.6999999999999998E-2"/>
    <n v="3.6999999999999998E-2"/>
    <n v="3.6999999999999998E-2"/>
    <n v="0"/>
    <x v="0"/>
    <n v="0"/>
    <n v="0"/>
    <n v="70"/>
    <n v="39"/>
    <n v="0"/>
    <n v="1482.7"/>
    <n v="240.29"/>
    <m/>
    <n v="1615.474779530733"/>
    <n v="318.47604005907385"/>
    <n v="0"/>
    <n v="54.859899999999996"/>
    <n v="8.8907299999999996"/>
    <n v="0"/>
    <n v="59.772566842637119"/>
    <n v="11.783613482185732"/>
  </r>
  <r>
    <s v="Regular"/>
    <x v="3"/>
    <x v="2"/>
    <x v="0"/>
    <x v="0"/>
    <x v="0"/>
    <x v="0"/>
    <x v="3"/>
    <x v="3"/>
    <n v="0"/>
    <n v="0"/>
    <n v="1.4999999999999999E-2"/>
    <n v="1.4999999999999999E-2"/>
    <n v="1.4999999999999999E-2"/>
    <n v="1.4999999999999999E-2"/>
    <n v="0"/>
    <x v="0"/>
    <n v="0"/>
    <n v="0"/>
    <n v="70"/>
    <n v="39"/>
    <n v="0"/>
    <n v="1482.7"/>
    <n v="240.29"/>
    <m/>
    <n v="1615.474779530733"/>
    <n v="318.47604005907385"/>
    <n v="0"/>
    <n v="22.240500000000001"/>
    <n v="3.6043499999999997"/>
    <n v="0"/>
    <n v="24.232121692960995"/>
    <n v="4.7771406008861073"/>
  </r>
  <r>
    <s v="Regular"/>
    <x v="3"/>
    <x v="2"/>
    <x v="0"/>
    <x v="0"/>
    <x v="0"/>
    <x v="0"/>
    <x v="3"/>
    <x v="4"/>
    <n v="0"/>
    <n v="0"/>
    <n v="0.02"/>
    <n v="0.02"/>
    <n v="0.02"/>
    <n v="0.02"/>
    <n v="0"/>
    <x v="0"/>
    <n v="0"/>
    <n v="0"/>
    <n v="70"/>
    <n v="39"/>
    <n v="0"/>
    <n v="1482.7"/>
    <n v="240.29"/>
    <m/>
    <n v="1615.474779530733"/>
    <n v="318.47604005907385"/>
    <n v="0"/>
    <n v="29.654"/>
    <n v="4.8057999999999996"/>
    <n v="0"/>
    <n v="32.309495590614659"/>
    <n v="6.3695208011814772"/>
  </r>
  <r>
    <s v="Regular"/>
    <x v="3"/>
    <x v="2"/>
    <x v="0"/>
    <x v="0"/>
    <x v="0"/>
    <x v="0"/>
    <x v="3"/>
    <x v="5"/>
    <n v="0"/>
    <n v="0"/>
    <n v="1.9E-2"/>
    <n v="1.9E-2"/>
    <n v="1.9E-2"/>
    <n v="1.9E-2"/>
    <n v="0"/>
    <x v="0"/>
    <n v="0"/>
    <n v="0"/>
    <n v="70"/>
    <n v="39"/>
    <n v="0"/>
    <n v="1482.7"/>
    <n v="240.29"/>
    <m/>
    <n v="1615.474779530733"/>
    <n v="318.47604005907385"/>
    <n v="0"/>
    <n v="28.171299999999999"/>
    <n v="4.5655099999999997"/>
    <n v="0"/>
    <n v="30.694020811083927"/>
    <n v="6.0510447611224034"/>
  </r>
  <r>
    <s v="Regular"/>
    <x v="3"/>
    <x v="2"/>
    <x v="0"/>
    <x v="0"/>
    <x v="0"/>
    <x v="0"/>
    <x v="3"/>
    <x v="6"/>
    <n v="0"/>
    <n v="0"/>
    <n v="1.7000000000000001E-2"/>
    <n v="1.7000000000000001E-2"/>
    <n v="1.7000000000000001E-2"/>
    <n v="1.7000000000000001E-2"/>
    <n v="0"/>
    <x v="0"/>
    <n v="0"/>
    <n v="0"/>
    <n v="70"/>
    <n v="39"/>
    <n v="0"/>
    <n v="1482.7"/>
    <n v="240.29"/>
    <m/>
    <n v="1615.474779530733"/>
    <n v="318.47604005907385"/>
    <n v="0"/>
    <n v="25.205900000000003"/>
    <n v="4.0849299999999999"/>
    <n v="0"/>
    <n v="27.463071252022463"/>
    <n v="5.4140926810042558"/>
  </r>
  <r>
    <s v="Regular"/>
    <x v="3"/>
    <x v="2"/>
    <x v="0"/>
    <x v="0"/>
    <x v="0"/>
    <x v="0"/>
    <x v="3"/>
    <x v="7"/>
    <n v="0"/>
    <n v="0"/>
    <n v="1.6E-2"/>
    <n v="1.6E-2"/>
    <n v="1.6E-2"/>
    <n v="1.6E-2"/>
    <n v="0"/>
    <x v="0"/>
    <n v="0"/>
    <n v="0"/>
    <n v="70"/>
    <n v="39"/>
    <n v="0"/>
    <n v="1482.7"/>
    <n v="240.29"/>
    <m/>
    <n v="1615.474779530733"/>
    <n v="318.47604005907385"/>
    <n v="0"/>
    <n v="23.723200000000002"/>
    <n v="3.8446400000000001"/>
    <n v="0"/>
    <n v="25.84759647249173"/>
    <n v="5.095616640945182"/>
  </r>
  <r>
    <s v="Regular"/>
    <x v="3"/>
    <x v="2"/>
    <x v="0"/>
    <x v="0"/>
    <x v="0"/>
    <x v="0"/>
    <x v="3"/>
    <x v="8"/>
    <n v="0"/>
    <n v="0"/>
    <n v="1.7999999999999999E-2"/>
    <n v="1.7999999999999999E-2"/>
    <n v="1.7999999999999999E-2"/>
    <n v="1.7999999999999999E-2"/>
    <n v="0"/>
    <x v="0"/>
    <n v="0"/>
    <n v="0"/>
    <n v="70"/>
    <n v="39"/>
    <n v="0"/>
    <n v="1482.7"/>
    <n v="240.29"/>
    <m/>
    <n v="1615.474779530733"/>
    <n v="318.47604005907385"/>
    <n v="0"/>
    <n v="26.688599999999997"/>
    <n v="4.3252199999999998"/>
    <n v="0"/>
    <n v="29.078546031553191"/>
    <n v="5.7325687210633287"/>
  </r>
  <r>
    <s v="Regular"/>
    <x v="3"/>
    <x v="2"/>
    <x v="0"/>
    <x v="0"/>
    <x v="0"/>
    <x v="0"/>
    <x v="3"/>
    <x v="9"/>
    <n v="0"/>
    <n v="0"/>
    <n v="2.5000000000000001E-2"/>
    <n v="2.5000000000000001E-2"/>
    <n v="2.5000000000000001E-2"/>
    <n v="2.5000000000000001E-2"/>
    <n v="0"/>
    <x v="0"/>
    <n v="0"/>
    <n v="0"/>
    <n v="70"/>
    <n v="39"/>
    <n v="0"/>
    <n v="1482.7"/>
    <n v="240.29"/>
    <m/>
    <n v="1615.474779530733"/>
    <n v="318.47604005907385"/>
    <n v="0"/>
    <n v="37.067500000000003"/>
    <n v="6.00725"/>
    <n v="0"/>
    <n v="40.386869488268331"/>
    <n v="7.9619010014768463"/>
  </r>
  <r>
    <s v="Regular"/>
    <x v="3"/>
    <x v="2"/>
    <x v="0"/>
    <x v="0"/>
    <x v="0"/>
    <x v="0"/>
    <x v="3"/>
    <x v="10"/>
    <n v="0"/>
    <n v="0"/>
    <n v="0.02"/>
    <n v="0.02"/>
    <n v="0.02"/>
    <n v="0.02"/>
    <n v="0"/>
    <x v="0"/>
    <n v="0"/>
    <n v="0"/>
    <n v="70"/>
    <n v="39"/>
    <n v="0"/>
    <n v="1482.7"/>
    <n v="240.29"/>
    <m/>
    <n v="1615.474779530733"/>
    <n v="318.47604005907385"/>
    <n v="0"/>
    <n v="29.654"/>
    <n v="4.8057999999999996"/>
    <n v="0"/>
    <n v="32.309495590614659"/>
    <n v="6.3695208011814772"/>
  </r>
  <r>
    <s v="Regular"/>
    <x v="3"/>
    <x v="2"/>
    <x v="0"/>
    <x v="0"/>
    <x v="0"/>
    <x v="0"/>
    <x v="3"/>
    <x v="11"/>
    <n v="0"/>
    <n v="0"/>
    <n v="1.9E-2"/>
    <n v="1.9E-2"/>
    <n v="1.9E-2"/>
    <n v="1.9E-2"/>
    <n v="0"/>
    <x v="0"/>
    <n v="0"/>
    <n v="0"/>
    <n v="70"/>
    <n v="39"/>
    <n v="0"/>
    <n v="1482.7"/>
    <n v="240.29"/>
    <m/>
    <n v="1615.474779530733"/>
    <n v="318.47604005907385"/>
    <n v="0"/>
    <n v="28.171299999999999"/>
    <n v="4.5655099999999997"/>
    <n v="0"/>
    <n v="30.694020811083927"/>
    <n v="6.0510447611224034"/>
  </r>
  <r>
    <s v="Regular"/>
    <x v="3"/>
    <x v="2"/>
    <x v="0"/>
    <x v="0"/>
    <x v="0"/>
    <x v="0"/>
    <x v="1"/>
    <x v="0"/>
    <n v="0"/>
    <n v="0"/>
    <n v="2.1999999999999999E-2"/>
    <n v="2.1999999999999999E-2"/>
    <n v="2.1999999999999999E-2"/>
    <n v="2.1999999999999999E-2"/>
    <n v="0"/>
    <x v="0"/>
    <n v="0"/>
    <n v="0"/>
    <n v="65"/>
    <n v="38"/>
    <n v="0"/>
    <n v="2387.14"/>
    <n v="240.29"/>
    <m/>
    <n v="2593.0477271361806"/>
    <n v="318.47604005907385"/>
    <n v="0"/>
    <n v="52.517079999999993"/>
    <n v="5.2863799999999994"/>
    <n v="0"/>
    <n v="57.047049996995966"/>
    <n v="7.006472881299624"/>
  </r>
  <r>
    <s v="Regular"/>
    <x v="3"/>
    <x v="2"/>
    <x v="0"/>
    <x v="0"/>
    <x v="0"/>
    <x v="0"/>
    <x v="1"/>
    <x v="1"/>
    <n v="0"/>
    <n v="0"/>
    <n v="2.7E-2"/>
    <n v="2.7E-2"/>
    <n v="2.7E-2"/>
    <n v="2.7E-2"/>
    <n v="0"/>
    <x v="0"/>
    <n v="0"/>
    <n v="0"/>
    <n v="65"/>
    <n v="38"/>
    <n v="0"/>
    <n v="2387.14"/>
    <n v="240.29"/>
    <m/>
    <n v="2593.0477271361806"/>
    <n v="318.47604005907385"/>
    <n v="0"/>
    <n v="64.45277999999999"/>
    <n v="6.4878299999999998"/>
    <n v="0"/>
    <n v="70.012288632676871"/>
    <n v="8.598853081594994"/>
  </r>
  <r>
    <s v="Regular"/>
    <x v="3"/>
    <x v="2"/>
    <x v="0"/>
    <x v="0"/>
    <x v="0"/>
    <x v="0"/>
    <x v="1"/>
    <x v="2"/>
    <n v="0"/>
    <n v="0"/>
    <n v="5.3999999999999999E-2"/>
    <n v="5.3999999999999999E-2"/>
    <n v="5.3999999999999999E-2"/>
    <n v="5.3999999999999999E-2"/>
    <n v="0"/>
    <x v="0"/>
    <n v="0"/>
    <n v="0"/>
    <n v="65"/>
    <n v="38"/>
    <n v="0"/>
    <n v="2387.14"/>
    <n v="240.29"/>
    <m/>
    <n v="2593.0477271361806"/>
    <n v="318.47604005907385"/>
    <n v="0"/>
    <n v="128.90555999999998"/>
    <n v="12.97566"/>
    <n v="0"/>
    <n v="140.02457726535374"/>
    <n v="17.197706163189988"/>
  </r>
  <r>
    <s v="Regular"/>
    <x v="3"/>
    <x v="2"/>
    <x v="0"/>
    <x v="0"/>
    <x v="0"/>
    <x v="0"/>
    <x v="1"/>
    <x v="3"/>
    <n v="0"/>
    <n v="0"/>
    <n v="0.02"/>
    <n v="0.02"/>
    <n v="0.02"/>
    <n v="0.02"/>
    <n v="0"/>
    <x v="0"/>
    <n v="0"/>
    <n v="0"/>
    <n v="65"/>
    <n v="38"/>
    <n v="0"/>
    <n v="2387.14"/>
    <n v="240.29"/>
    <m/>
    <n v="2593.0477271361806"/>
    <n v="318.47604005907385"/>
    <n v="0"/>
    <n v="47.742799999999995"/>
    <n v="4.8057999999999996"/>
    <n v="0"/>
    <n v="51.860954542723611"/>
    <n v="6.3695208011814772"/>
  </r>
  <r>
    <s v="Regular"/>
    <x v="3"/>
    <x v="2"/>
    <x v="0"/>
    <x v="0"/>
    <x v="0"/>
    <x v="0"/>
    <x v="1"/>
    <x v="4"/>
    <n v="0"/>
    <n v="0"/>
    <n v="3.4000000000000002E-2"/>
    <n v="3.4000000000000002E-2"/>
    <n v="3.4000000000000002E-2"/>
    <n v="3.4000000000000002E-2"/>
    <n v="0"/>
    <x v="0"/>
    <n v="0"/>
    <n v="0"/>
    <n v="65"/>
    <n v="38"/>
    <n v="0"/>
    <n v="2387.14"/>
    <n v="240.29"/>
    <m/>
    <n v="2593.0477271361806"/>
    <n v="318.47604005907385"/>
    <n v="0"/>
    <n v="81.162760000000006"/>
    <n v="8.1698599999999999"/>
    <n v="0"/>
    <n v="88.163622722630151"/>
    <n v="10.828185362008512"/>
  </r>
  <r>
    <s v="Regular"/>
    <x v="3"/>
    <x v="2"/>
    <x v="0"/>
    <x v="0"/>
    <x v="0"/>
    <x v="0"/>
    <x v="1"/>
    <x v="5"/>
    <n v="0"/>
    <n v="0"/>
    <n v="3.6999999999999998E-2"/>
    <n v="3.6999999999999998E-2"/>
    <n v="3.6999999999999998E-2"/>
    <n v="3.6999999999999998E-2"/>
    <n v="0"/>
    <x v="0"/>
    <n v="0"/>
    <n v="0"/>
    <n v="65"/>
    <n v="38"/>
    <n v="0"/>
    <n v="2387.14"/>
    <n v="240.29"/>
    <m/>
    <n v="2593.0477271361806"/>
    <n v="318.47604005907385"/>
    <n v="0"/>
    <n v="88.324179999999984"/>
    <n v="8.8907299999999996"/>
    <n v="0"/>
    <n v="95.94276590403868"/>
    <n v="11.783613482185732"/>
  </r>
  <r>
    <s v="Regular"/>
    <x v="3"/>
    <x v="2"/>
    <x v="0"/>
    <x v="0"/>
    <x v="0"/>
    <x v="0"/>
    <x v="1"/>
    <x v="6"/>
    <n v="0"/>
    <n v="0"/>
    <n v="3.1E-2"/>
    <n v="3.1E-2"/>
    <n v="3.1E-2"/>
    <n v="3.1E-2"/>
    <n v="0"/>
    <x v="0"/>
    <n v="0"/>
    <n v="0"/>
    <n v="65"/>
    <n v="38"/>
    <n v="0"/>
    <n v="2387.14"/>
    <n v="240.29"/>
    <m/>
    <n v="2593.0477271361806"/>
    <n v="318.47604005907385"/>
    <n v="0"/>
    <n v="74.001339999999999"/>
    <n v="7.4489899999999993"/>
    <n v="0"/>
    <n v="80.384479541221594"/>
    <n v="9.8727572418312892"/>
  </r>
  <r>
    <s v="Regular"/>
    <x v="3"/>
    <x v="2"/>
    <x v="0"/>
    <x v="0"/>
    <x v="0"/>
    <x v="0"/>
    <x v="1"/>
    <x v="7"/>
    <n v="0"/>
    <n v="0"/>
    <n v="2.7E-2"/>
    <n v="2.7E-2"/>
    <n v="2.7E-2"/>
    <n v="2.7E-2"/>
    <n v="0"/>
    <x v="0"/>
    <n v="0"/>
    <n v="0"/>
    <n v="65"/>
    <n v="38"/>
    <n v="0"/>
    <n v="2387.14"/>
    <n v="240.29"/>
    <m/>
    <n v="2593.0477271361806"/>
    <n v="318.47604005907385"/>
    <n v="0"/>
    <n v="64.45277999999999"/>
    <n v="6.4878299999999998"/>
    <n v="0"/>
    <n v="70.012288632676871"/>
    <n v="8.598853081594994"/>
  </r>
  <r>
    <s v="Regular"/>
    <x v="3"/>
    <x v="2"/>
    <x v="0"/>
    <x v="0"/>
    <x v="0"/>
    <x v="0"/>
    <x v="1"/>
    <x v="8"/>
    <n v="0"/>
    <n v="0"/>
    <n v="3.3000000000000002E-2"/>
    <n v="3.3000000000000002E-2"/>
    <n v="3.3000000000000002E-2"/>
    <n v="3.3000000000000002E-2"/>
    <n v="0"/>
    <x v="0"/>
    <n v="0"/>
    <n v="0"/>
    <n v="65"/>
    <n v="38"/>
    <n v="0"/>
    <n v="2387.14"/>
    <n v="240.29"/>
    <m/>
    <n v="2593.0477271361806"/>
    <n v="318.47604005907385"/>
    <n v="0"/>
    <n v="78.775620000000004"/>
    <n v="7.92957"/>
    <n v="0"/>
    <n v="85.570574995493956"/>
    <n v="10.509709321949437"/>
  </r>
  <r>
    <s v="Regular"/>
    <x v="3"/>
    <x v="2"/>
    <x v="0"/>
    <x v="0"/>
    <x v="0"/>
    <x v="0"/>
    <x v="1"/>
    <x v="9"/>
    <n v="0"/>
    <n v="0"/>
    <n v="4.4999999999999998E-2"/>
    <n v="4.4999999999999998E-2"/>
    <n v="4.4999999999999998E-2"/>
    <n v="4.4999999999999998E-2"/>
    <n v="0"/>
    <x v="0"/>
    <n v="0"/>
    <n v="0"/>
    <n v="65"/>
    <n v="38"/>
    <n v="0"/>
    <n v="2387.14"/>
    <n v="240.29"/>
    <m/>
    <n v="2593.0477271361806"/>
    <n v="318.47604005907385"/>
    <n v="0"/>
    <n v="107.42129999999999"/>
    <n v="10.813049999999999"/>
    <n v="0"/>
    <n v="116.68714772112813"/>
    <n v="14.331421802658323"/>
  </r>
  <r>
    <s v="Regular"/>
    <x v="3"/>
    <x v="2"/>
    <x v="0"/>
    <x v="0"/>
    <x v="0"/>
    <x v="0"/>
    <x v="1"/>
    <x v="10"/>
    <n v="0"/>
    <n v="0"/>
    <n v="0.03"/>
    <n v="0.03"/>
    <n v="0.03"/>
    <n v="0.03"/>
    <n v="0"/>
    <x v="0"/>
    <n v="0"/>
    <n v="0"/>
    <n v="65"/>
    <n v="38"/>
    <n v="0"/>
    <n v="2387.14"/>
    <n v="240.29"/>
    <m/>
    <n v="2593.0477271361806"/>
    <n v="318.47604005907385"/>
    <n v="0"/>
    <n v="71.614199999999997"/>
    <n v="7.2086999999999994"/>
    <n v="0"/>
    <n v="77.791431814085414"/>
    <n v="9.5542812017722145"/>
  </r>
  <r>
    <s v="Regular"/>
    <x v="3"/>
    <x v="2"/>
    <x v="0"/>
    <x v="0"/>
    <x v="0"/>
    <x v="0"/>
    <x v="1"/>
    <x v="11"/>
    <n v="0"/>
    <n v="0"/>
    <n v="2.9000000000000001E-2"/>
    <n v="2.9000000000000001E-2"/>
    <n v="2.9000000000000001E-2"/>
    <n v="2.9000000000000001E-2"/>
    <n v="0"/>
    <x v="0"/>
    <n v="0"/>
    <n v="0"/>
    <n v="65"/>
    <n v="38"/>
    <n v="0"/>
    <n v="2387.14"/>
    <n v="240.29"/>
    <m/>
    <n v="2593.0477271361806"/>
    <n v="318.47604005907385"/>
    <n v="0"/>
    <n v="69.227059999999994"/>
    <n v="6.9684100000000004"/>
    <n v="0"/>
    <n v="75.198384086949247"/>
    <n v="9.2358051617131416"/>
  </r>
  <r>
    <s v="Regular"/>
    <x v="3"/>
    <x v="3"/>
    <x v="0"/>
    <x v="0"/>
    <x v="0"/>
    <x v="0"/>
    <x v="2"/>
    <x v="0"/>
    <n v="0"/>
    <n v="0"/>
    <n v="114.044"/>
    <n v="114.044"/>
    <n v="114.044"/>
    <n v="114.044"/>
    <n v="231"/>
    <x v="0"/>
    <n v="0"/>
    <n v="0"/>
    <n v="17"/>
    <n v="46"/>
    <n v="0"/>
    <n v="867.38"/>
    <n v="240.29"/>
    <m/>
    <n v="950.40404644085163"/>
    <n v="318.47604005907385"/>
    <n v="0"/>
    <n v="98919.484719999993"/>
    <n v="27403.632759999997"/>
    <n v="0"/>
    <n v="108387.87907230048"/>
    <n v="36320.281512497015"/>
  </r>
  <r>
    <s v="Sistema de Compensação"/>
    <x v="3"/>
    <x v="3"/>
    <x v="0"/>
    <x v="0"/>
    <x v="0"/>
    <x v="0"/>
    <x v="2"/>
    <x v="0"/>
    <n v="0"/>
    <n v="0"/>
    <n v="0.55000000000000004"/>
    <n v="0.55000000000000004"/>
    <n v="0.55000000000000004"/>
    <n v="0.55000000000000004"/>
    <n v="6"/>
    <x v="0"/>
    <n v="0"/>
    <n v="0"/>
    <n v="17"/>
    <n v="46"/>
    <n v="0"/>
    <n v="867.38"/>
    <n v="240.29"/>
    <m/>
    <n v="950.40404644085163"/>
    <n v="318.47604005907385"/>
    <n v="0"/>
    <n v="477.05900000000003"/>
    <n v="132.15950000000001"/>
    <n v="0"/>
    <n v="522.72222554246844"/>
    <n v="175.16182203249062"/>
  </r>
  <r>
    <s v="Regular"/>
    <x v="3"/>
    <x v="3"/>
    <x v="0"/>
    <x v="0"/>
    <x v="0"/>
    <x v="0"/>
    <x v="2"/>
    <x v="1"/>
    <n v="0"/>
    <n v="0"/>
    <n v="88.447000000000003"/>
    <n v="88.447000000000003"/>
    <n v="88.447000000000003"/>
    <n v="88.447000000000003"/>
    <n v="232"/>
    <x v="0"/>
    <n v="0"/>
    <n v="0"/>
    <n v="17"/>
    <n v="46"/>
    <n v="0"/>
    <n v="867.38"/>
    <n v="240.29"/>
    <m/>
    <n v="950.40404644085163"/>
    <n v="318.47604005907385"/>
    <n v="0"/>
    <n v="76717.158859999996"/>
    <n v="21252.929629999999"/>
    <n v="0"/>
    <n v="84060.386695554"/>
    <n v="28168.250315104906"/>
  </r>
  <r>
    <s v="Sistema de Compensação"/>
    <x v="3"/>
    <x v="3"/>
    <x v="0"/>
    <x v="0"/>
    <x v="0"/>
    <x v="0"/>
    <x v="2"/>
    <x v="1"/>
    <n v="0"/>
    <n v="0"/>
    <n v="0.68600000000000005"/>
    <n v="0.68600000000000005"/>
    <n v="0.68600000000000005"/>
    <n v="0.68600000000000005"/>
    <n v="6"/>
    <x v="0"/>
    <n v="0"/>
    <n v="0"/>
    <n v="17"/>
    <n v="46"/>
    <n v="0"/>
    <n v="867.38"/>
    <n v="240.29"/>
    <m/>
    <n v="950.40404644085163"/>
    <n v="318.47604005907385"/>
    <n v="0"/>
    <n v="595.02268000000004"/>
    <n v="164.83894000000001"/>
    <n v="0"/>
    <n v="651.97717585842429"/>
    <n v="218.47456348052469"/>
  </r>
  <r>
    <s v="Regular"/>
    <x v="3"/>
    <x v="3"/>
    <x v="0"/>
    <x v="0"/>
    <x v="0"/>
    <x v="0"/>
    <x v="2"/>
    <x v="2"/>
    <n v="0"/>
    <n v="0"/>
    <n v="106.11"/>
    <n v="106.11"/>
    <n v="106.11"/>
    <n v="106.11"/>
    <n v="236"/>
    <x v="0"/>
    <n v="0"/>
    <n v="0"/>
    <n v="17"/>
    <n v="46"/>
    <n v="0"/>
    <n v="867.38"/>
    <n v="240.29"/>
    <m/>
    <n v="950.40404644085163"/>
    <n v="318.47604005907385"/>
    <n v="0"/>
    <n v="92037.691800000001"/>
    <n v="25497.171899999998"/>
    <n v="0"/>
    <n v="100847.37336783877"/>
    <n v="33793.492610668327"/>
  </r>
  <r>
    <s v="Sistema de Compensação"/>
    <x v="3"/>
    <x v="3"/>
    <x v="0"/>
    <x v="0"/>
    <x v="0"/>
    <x v="0"/>
    <x v="2"/>
    <x v="2"/>
    <n v="0"/>
    <n v="0"/>
    <n v="0.82799999999999996"/>
    <n v="0.82799999999999996"/>
    <n v="0.82799999999999996"/>
    <n v="0.82799999999999996"/>
    <n v="6"/>
    <x v="0"/>
    <n v="0"/>
    <n v="0"/>
    <n v="17"/>
    <n v="46"/>
    <n v="0"/>
    <n v="867.38"/>
    <n v="240.29"/>
    <m/>
    <n v="950.40404644085163"/>
    <n v="318.47604005907385"/>
    <n v="0"/>
    <n v="718.19063999999992"/>
    <n v="198.96011999999999"/>
    <n v="0"/>
    <n v="786.93455045302505"/>
    <n v="263.69816116891315"/>
  </r>
  <r>
    <s v="Regular"/>
    <x v="3"/>
    <x v="3"/>
    <x v="0"/>
    <x v="0"/>
    <x v="0"/>
    <x v="0"/>
    <x v="2"/>
    <x v="3"/>
    <n v="0"/>
    <n v="0"/>
    <n v="94.671000000000006"/>
    <n v="94.671000000000006"/>
    <n v="94.671000000000006"/>
    <n v="94.671000000000006"/>
    <n v="233"/>
    <x v="0"/>
    <n v="0"/>
    <n v="0"/>
    <n v="17"/>
    <n v="46"/>
    <n v="0"/>
    <n v="867.38"/>
    <n v="240.29"/>
    <m/>
    <n v="950.40404644085163"/>
    <n v="318.47604005907385"/>
    <n v="0"/>
    <n v="82115.731980000011"/>
    <n v="22748.494590000002"/>
    <n v="0"/>
    <n v="89975.701480601871"/>
    <n v="30150.445188432583"/>
  </r>
  <r>
    <s v="Sistema de Compensação"/>
    <x v="3"/>
    <x v="3"/>
    <x v="0"/>
    <x v="0"/>
    <x v="0"/>
    <x v="0"/>
    <x v="2"/>
    <x v="3"/>
    <n v="0"/>
    <n v="0"/>
    <n v="0.69599999999999995"/>
    <n v="0.69599999999999995"/>
    <n v="0.69599999999999995"/>
    <n v="0.69599999999999995"/>
    <n v="6"/>
    <x v="0"/>
    <n v="0"/>
    <n v="0"/>
    <n v="17"/>
    <n v="46"/>
    <n v="0"/>
    <n v="867.38"/>
    <n v="240.29"/>
    <m/>
    <n v="950.40404644085163"/>
    <n v="318.47604005907385"/>
    <n v="0"/>
    <n v="603.69647999999995"/>
    <n v="167.24184"/>
    <n v="0"/>
    <n v="661.48121632283267"/>
    <n v="221.6593238811154"/>
  </r>
  <r>
    <s v="Regular"/>
    <x v="3"/>
    <x v="3"/>
    <x v="0"/>
    <x v="0"/>
    <x v="0"/>
    <x v="0"/>
    <x v="2"/>
    <x v="4"/>
    <n v="0"/>
    <n v="0"/>
    <n v="92.972999999999999"/>
    <n v="92.972999999999999"/>
    <n v="92.972999999999999"/>
    <n v="92.972999999999999"/>
    <n v="234"/>
    <x v="0"/>
    <n v="0"/>
    <n v="0"/>
    <n v="17"/>
    <n v="46"/>
    <n v="0"/>
    <n v="867.38"/>
    <n v="240.29"/>
    <m/>
    <n v="950.40404644085163"/>
    <n v="318.47604005907385"/>
    <n v="0"/>
    <n v="80642.920740000001"/>
    <n v="22340.482169999999"/>
    <n v="0"/>
    <n v="88361.915409745299"/>
    <n v="29609.672872412273"/>
  </r>
  <r>
    <s v="Sistema de Compensação"/>
    <x v="3"/>
    <x v="3"/>
    <x v="0"/>
    <x v="0"/>
    <x v="0"/>
    <x v="0"/>
    <x v="2"/>
    <x v="4"/>
    <n v="0"/>
    <n v="0"/>
    <n v="0.66"/>
    <n v="0.66"/>
    <n v="0.66"/>
    <n v="0.66"/>
    <n v="6"/>
    <x v="0"/>
    <n v="0"/>
    <n v="0"/>
    <n v="17"/>
    <n v="46"/>
    <n v="0"/>
    <n v="867.38"/>
    <n v="240.29"/>
    <m/>
    <n v="950.40404644085163"/>
    <n v="318.47604005907385"/>
    <n v="0"/>
    <n v="572.47080000000005"/>
    <n v="158.59139999999999"/>
    <n v="0"/>
    <n v="627.26667065096206"/>
    <n v="210.19418643898877"/>
  </r>
  <r>
    <s v="Regular"/>
    <x v="3"/>
    <x v="3"/>
    <x v="0"/>
    <x v="0"/>
    <x v="0"/>
    <x v="0"/>
    <x v="2"/>
    <x v="5"/>
    <n v="0"/>
    <n v="0"/>
    <n v="97.465000000000003"/>
    <n v="97.465000000000003"/>
    <n v="97.465000000000003"/>
    <n v="97.465000000000003"/>
    <n v="236"/>
    <x v="0"/>
    <n v="0"/>
    <n v="0"/>
    <n v="17"/>
    <n v="46"/>
    <n v="0"/>
    <n v="867.38"/>
    <n v="240.29"/>
    <m/>
    <n v="950.40404644085163"/>
    <n v="318.47604005907385"/>
    <n v="0"/>
    <n v="84539.191699999996"/>
    <n v="23419.864850000002"/>
    <n v="0"/>
    <n v="92631.130386357603"/>
    <n v="31040.267244357634"/>
  </r>
  <r>
    <s v="Sistema de Compensação"/>
    <x v="3"/>
    <x v="3"/>
    <x v="0"/>
    <x v="0"/>
    <x v="0"/>
    <x v="0"/>
    <x v="2"/>
    <x v="5"/>
    <n v="0"/>
    <n v="0"/>
    <n v="1.004"/>
    <n v="1.004"/>
    <n v="1.004"/>
    <n v="1.004"/>
    <n v="7"/>
    <x v="0"/>
    <n v="0"/>
    <n v="0"/>
    <n v="17"/>
    <n v="46"/>
    <n v="0"/>
    <n v="867.38"/>
    <n v="240.29"/>
    <m/>
    <n v="950.40404644085163"/>
    <n v="318.47604005907385"/>
    <n v="0"/>
    <n v="870.84951999999998"/>
    <n v="241.25116"/>
    <n v="0"/>
    <n v="954.20566262661509"/>
    <n v="319.74994421931012"/>
  </r>
  <r>
    <s v="Regular"/>
    <x v="3"/>
    <x v="3"/>
    <x v="0"/>
    <x v="0"/>
    <x v="0"/>
    <x v="0"/>
    <x v="2"/>
    <x v="6"/>
    <n v="0"/>
    <n v="0"/>
    <n v="102.13800000000001"/>
    <n v="102.13800000000001"/>
    <n v="102.13800000000001"/>
    <n v="102.13800000000001"/>
    <n v="237"/>
    <x v="0"/>
    <n v="0"/>
    <n v="0"/>
    <n v="17"/>
    <n v="46"/>
    <n v="0"/>
    <n v="867.38"/>
    <n v="240.29"/>
    <m/>
    <n v="950.40404644085163"/>
    <n v="318.47604005907385"/>
    <n v="0"/>
    <n v="88592.458440000002"/>
    <n v="24542.740020000001"/>
    <n v="0"/>
    <n v="97072.368495375704"/>
    <n v="32528.505779553689"/>
  </r>
  <r>
    <s v="Sistema de Compensação"/>
    <x v="3"/>
    <x v="3"/>
    <x v="0"/>
    <x v="0"/>
    <x v="0"/>
    <x v="0"/>
    <x v="2"/>
    <x v="6"/>
    <n v="0"/>
    <n v="0"/>
    <n v="0.91300000000000003"/>
    <n v="0.91300000000000003"/>
    <n v="0.91300000000000003"/>
    <n v="0.91300000000000003"/>
    <n v="7"/>
    <x v="0"/>
    <n v="0"/>
    <n v="0"/>
    <n v="17"/>
    <n v="46"/>
    <n v="0"/>
    <n v="867.38"/>
    <n v="240.29"/>
    <m/>
    <n v="950.40404644085163"/>
    <n v="318.47604005907385"/>
    <n v="0"/>
    <n v="791.91794000000004"/>
    <n v="219.38477"/>
    <n v="0"/>
    <n v="867.71889440049756"/>
    <n v="290.76862457393446"/>
  </r>
  <r>
    <s v="Regular"/>
    <x v="3"/>
    <x v="3"/>
    <x v="0"/>
    <x v="0"/>
    <x v="0"/>
    <x v="0"/>
    <x v="2"/>
    <x v="7"/>
    <n v="0"/>
    <n v="0"/>
    <n v="98.225999999999999"/>
    <n v="98.225999999999999"/>
    <n v="98.225999999999999"/>
    <n v="98.225999999999999"/>
    <n v="238"/>
    <x v="0"/>
    <n v="0"/>
    <n v="0"/>
    <n v="17"/>
    <n v="46"/>
    <n v="0"/>
    <n v="867.38"/>
    <n v="240.29"/>
    <m/>
    <n v="950.40404644085163"/>
    <n v="318.47604005907385"/>
    <n v="0"/>
    <n v="85199.267879999999"/>
    <n v="23602.725539999999"/>
    <n v="0"/>
    <n v="93354.387865699086"/>
    <n v="31282.627510842587"/>
  </r>
  <r>
    <s v="Sistema de Compensação"/>
    <x v="3"/>
    <x v="3"/>
    <x v="0"/>
    <x v="0"/>
    <x v="0"/>
    <x v="0"/>
    <x v="2"/>
    <x v="7"/>
    <n v="0"/>
    <n v="0"/>
    <n v="0.94199999999999995"/>
    <n v="0.94199999999999995"/>
    <n v="0.94199999999999995"/>
    <n v="0.94199999999999995"/>
    <n v="7"/>
    <x v="0"/>
    <n v="0"/>
    <n v="0"/>
    <n v="17"/>
    <n v="46"/>
    <n v="0"/>
    <n v="867.38"/>
    <n v="240.29"/>
    <m/>
    <n v="950.40404644085163"/>
    <n v="318.47604005907385"/>
    <n v="0"/>
    <n v="817.07195999999999"/>
    <n v="226.35317999999998"/>
    <n v="0"/>
    <n v="895.28061174728214"/>
    <n v="300.00442973564753"/>
  </r>
  <r>
    <s v="Regular"/>
    <x v="3"/>
    <x v="3"/>
    <x v="0"/>
    <x v="0"/>
    <x v="0"/>
    <x v="0"/>
    <x v="2"/>
    <x v="8"/>
    <n v="0"/>
    <n v="0"/>
    <n v="108.366"/>
    <n v="108.366"/>
    <n v="108.366"/>
    <n v="108.366"/>
    <n v="237"/>
    <x v="0"/>
    <n v="0"/>
    <n v="0"/>
    <n v="17"/>
    <n v="46"/>
    <n v="0"/>
    <n v="867.38"/>
    <n v="240.29"/>
    <m/>
    <n v="950.40404644085163"/>
    <n v="318.47604005907385"/>
    <n v="0"/>
    <n v="93994.501080000002"/>
    <n v="26039.26614"/>
    <n v="0"/>
    <n v="102991.48489660933"/>
    <n v="34511.974557041598"/>
  </r>
  <r>
    <s v="Sistema de Compensação"/>
    <x v="3"/>
    <x v="3"/>
    <x v="0"/>
    <x v="0"/>
    <x v="0"/>
    <x v="0"/>
    <x v="2"/>
    <x v="8"/>
    <n v="0"/>
    <n v="0"/>
    <n v="1.165"/>
    <n v="1.165"/>
    <n v="1.165"/>
    <n v="1.165"/>
    <n v="7"/>
    <x v="0"/>
    <n v="0"/>
    <n v="0"/>
    <n v="17"/>
    <n v="46"/>
    <n v="0"/>
    <n v="867.38"/>
    <n v="240.29"/>
    <m/>
    <n v="950.40404644085163"/>
    <n v="318.47604005907385"/>
    <n v="0"/>
    <n v="1010.4977"/>
    <n v="279.93785000000003"/>
    <n v="0"/>
    <n v="1107.2207141035922"/>
    <n v="371.02458666882103"/>
  </r>
  <r>
    <s v="Regular"/>
    <x v="3"/>
    <x v="3"/>
    <x v="0"/>
    <x v="0"/>
    <x v="0"/>
    <x v="0"/>
    <x v="2"/>
    <x v="9"/>
    <n v="0"/>
    <n v="0"/>
    <n v="130.41300000000001"/>
    <n v="130.41300000000001"/>
    <n v="130.41300000000001"/>
    <n v="130.41300000000001"/>
    <n v="239"/>
    <x v="0"/>
    <n v="0"/>
    <n v="0"/>
    <n v="17"/>
    <n v="46"/>
    <n v="0"/>
    <n v="867.38"/>
    <n v="240.29"/>
    <m/>
    <n v="950.40404644085163"/>
    <n v="318.47604005907385"/>
    <n v="0"/>
    <n v="113117.62794000001"/>
    <n v="31336.939770000001"/>
    <n v="0"/>
    <n v="123945.0429084908"/>
    <n v="41533.415812224004"/>
  </r>
  <r>
    <s v="Refaturamento - Regular"/>
    <x v="3"/>
    <x v="3"/>
    <x v="0"/>
    <x v="0"/>
    <x v="0"/>
    <x v="0"/>
    <x v="2"/>
    <x v="9"/>
    <n v="0"/>
    <n v="0"/>
    <n v="-0.35799999999999998"/>
    <n v="-0.35799999999999998"/>
    <n v="-0.35799999999999998"/>
    <n v="-0.35799999999999998"/>
    <n v="0"/>
    <x v="0"/>
    <n v="0"/>
    <n v="0"/>
    <n v="17"/>
    <n v="46"/>
    <n v="0"/>
    <n v="867.38"/>
    <n v="240.29"/>
    <m/>
    <n v="950.40404644085163"/>
    <n v="318.47604005907385"/>
    <n v="0"/>
    <n v="-310.52204"/>
    <n v="-86.023820000000001"/>
    <n v="0"/>
    <n v="-340.24464862582488"/>
    <n v="-114.01442234114843"/>
  </r>
  <r>
    <s v="Sistema de Compensação"/>
    <x v="3"/>
    <x v="3"/>
    <x v="0"/>
    <x v="0"/>
    <x v="0"/>
    <x v="0"/>
    <x v="2"/>
    <x v="9"/>
    <n v="0"/>
    <n v="0"/>
    <n v="1.49"/>
    <n v="1.49"/>
    <n v="1.49"/>
    <n v="1.49"/>
    <n v="7"/>
    <x v="0"/>
    <n v="0"/>
    <n v="0"/>
    <n v="17"/>
    <n v="46"/>
    <n v="0"/>
    <n v="867.38"/>
    <n v="240.29"/>
    <m/>
    <n v="950.40404644085163"/>
    <n v="318.47604005907385"/>
    <n v="0"/>
    <n v="1292.3961999999999"/>
    <n v="358.03210000000001"/>
    <n v="0"/>
    <n v="1416.1020291968689"/>
    <n v="474.52929968802005"/>
  </r>
  <r>
    <s v="Regular"/>
    <x v="3"/>
    <x v="3"/>
    <x v="0"/>
    <x v="0"/>
    <x v="0"/>
    <x v="0"/>
    <x v="2"/>
    <x v="10"/>
    <n v="0"/>
    <n v="0"/>
    <n v="119.22199999999999"/>
    <n v="119.22199999999999"/>
    <n v="119.22199999999999"/>
    <n v="119.22199999999999"/>
    <n v="239"/>
    <x v="0"/>
    <n v="0"/>
    <n v="0"/>
    <n v="17"/>
    <n v="46"/>
    <n v="0"/>
    <n v="867.38"/>
    <n v="240.29"/>
    <m/>
    <n v="950.40404644085163"/>
    <n v="318.47604005907385"/>
    <n v="0"/>
    <n v="103410.77836"/>
    <n v="28647.854379999997"/>
    <n v="0"/>
    <n v="113309.07122477121"/>
    <n v="37969.350447922901"/>
  </r>
  <r>
    <s v="Sistema de Compensação"/>
    <x v="3"/>
    <x v="3"/>
    <x v="0"/>
    <x v="0"/>
    <x v="0"/>
    <x v="0"/>
    <x v="2"/>
    <x v="10"/>
    <n v="0"/>
    <n v="0"/>
    <n v="2.5470000000000002"/>
    <n v="2.5470000000000002"/>
    <n v="2.5470000000000002"/>
    <n v="2.5470000000000002"/>
    <n v="7"/>
    <x v="0"/>
    <n v="0"/>
    <n v="0"/>
    <n v="17"/>
    <n v="46"/>
    <n v="0"/>
    <n v="867.38"/>
    <n v="240.29"/>
    <m/>
    <n v="950.40404644085163"/>
    <n v="318.47604005907385"/>
    <n v="0"/>
    <n v="2209.21686"/>
    <n v="612.01863000000003"/>
    <n v="0"/>
    <n v="2420.6791062848492"/>
    <n v="811.15847403046121"/>
  </r>
  <r>
    <s v="Regular"/>
    <x v="3"/>
    <x v="3"/>
    <x v="0"/>
    <x v="0"/>
    <x v="0"/>
    <x v="0"/>
    <x v="2"/>
    <x v="11"/>
    <n v="0"/>
    <n v="0"/>
    <n v="124.955"/>
    <n v="124.955"/>
    <n v="124.955"/>
    <n v="124.955"/>
    <n v="238"/>
    <x v="0"/>
    <n v="0"/>
    <n v="0"/>
    <n v="17"/>
    <n v="46"/>
    <n v="0"/>
    <n v="867.38"/>
    <n v="240.29"/>
    <m/>
    <n v="950.40404644085163"/>
    <n v="318.47604005907385"/>
    <n v="0"/>
    <n v="108383.4679"/>
    <n v="30025.436949999999"/>
    <n v="0"/>
    <n v="118757.73762301661"/>
    <n v="39795.173585581571"/>
  </r>
  <r>
    <s v="Sistema de Compensação"/>
    <x v="3"/>
    <x v="3"/>
    <x v="0"/>
    <x v="0"/>
    <x v="0"/>
    <x v="0"/>
    <x v="2"/>
    <x v="11"/>
    <n v="0"/>
    <n v="0"/>
    <n v="3.899"/>
    <n v="3.899"/>
    <n v="3.899"/>
    <n v="3.899"/>
    <n v="7"/>
    <x v="0"/>
    <n v="0"/>
    <n v="0"/>
    <n v="17"/>
    <n v="46"/>
    <n v="0"/>
    <n v="867.38"/>
    <n v="240.29"/>
    <m/>
    <n v="950.40404644085163"/>
    <n v="318.47604005907385"/>
    <n v="0"/>
    <n v="3381.91462"/>
    <n v="936.89071000000001"/>
    <n v="0"/>
    <n v="3705.6253770728804"/>
    <n v="1241.7380801903289"/>
  </r>
  <r>
    <s v="Regular"/>
    <x v="3"/>
    <x v="3"/>
    <x v="5"/>
    <x v="0"/>
    <x v="0"/>
    <x v="0"/>
    <x v="2"/>
    <x v="0"/>
    <n v="0"/>
    <n v="0"/>
    <n v="3.5999999999999997E-2"/>
    <n v="3.5999999999999997E-2"/>
    <n v="3.5999999999999997E-2"/>
    <n v="3.5999999999999997E-2"/>
    <n v="1"/>
    <x v="0"/>
    <n v="0"/>
    <n v="0"/>
    <n v="17"/>
    <n v="46"/>
    <n v="0"/>
    <n v="867.38"/>
    <n v="240.29"/>
    <m/>
    <n v="950.40404644085163"/>
    <n v="318.47604005907385"/>
    <n v="0"/>
    <n v="31.225679999999997"/>
    <n v="8.6504399999999997"/>
    <n v="0"/>
    <n v="34.214545671870653"/>
    <n v="11.465137442126657"/>
  </r>
  <r>
    <s v="Regular"/>
    <x v="3"/>
    <x v="3"/>
    <x v="5"/>
    <x v="0"/>
    <x v="0"/>
    <x v="0"/>
    <x v="2"/>
    <x v="1"/>
    <n v="0"/>
    <n v="0"/>
    <n v="3.1E-2"/>
    <n v="3.1E-2"/>
    <n v="3.1E-2"/>
    <n v="3.1E-2"/>
    <n v="1"/>
    <x v="0"/>
    <n v="0"/>
    <n v="0"/>
    <n v="17"/>
    <n v="46"/>
    <n v="0"/>
    <n v="867.38"/>
    <n v="240.29"/>
    <m/>
    <n v="950.40404644085163"/>
    <n v="318.47604005907385"/>
    <n v="0"/>
    <n v="26.888780000000001"/>
    <n v="7.4489899999999993"/>
    <n v="0"/>
    <n v="29.4625254396664"/>
    <n v="9.8727572418312892"/>
  </r>
  <r>
    <s v="Regular"/>
    <x v="3"/>
    <x v="3"/>
    <x v="5"/>
    <x v="0"/>
    <x v="0"/>
    <x v="0"/>
    <x v="2"/>
    <x v="2"/>
    <n v="0"/>
    <n v="0"/>
    <n v="3.5000000000000003E-2"/>
    <n v="3.5000000000000003E-2"/>
    <n v="3.5000000000000003E-2"/>
    <n v="3.5000000000000003E-2"/>
    <n v="1"/>
    <x v="0"/>
    <n v="0"/>
    <n v="0"/>
    <n v="17"/>
    <n v="46"/>
    <n v="0"/>
    <n v="867.38"/>
    <n v="240.29"/>
    <m/>
    <n v="950.40404644085163"/>
    <n v="318.47604005907385"/>
    <n v="0"/>
    <n v="30.358300000000003"/>
    <n v="8.4101499999999998"/>
    <n v="0"/>
    <n v="33.264141625429808"/>
    <n v="11.146661402067586"/>
  </r>
  <r>
    <s v="Regular"/>
    <x v="3"/>
    <x v="3"/>
    <x v="5"/>
    <x v="0"/>
    <x v="0"/>
    <x v="0"/>
    <x v="2"/>
    <x v="3"/>
    <n v="0"/>
    <n v="0"/>
    <n v="0.03"/>
    <n v="0.03"/>
    <n v="0.03"/>
    <n v="0.03"/>
    <n v="1"/>
    <x v="0"/>
    <n v="0"/>
    <n v="0"/>
    <n v="17"/>
    <n v="46"/>
    <n v="0"/>
    <n v="867.38"/>
    <n v="240.29"/>
    <m/>
    <n v="950.40404644085163"/>
    <n v="318.47604005907385"/>
    <n v="0"/>
    <n v="26.0214"/>
    <n v="7.2086999999999994"/>
    <n v="0"/>
    <n v="28.512121393225549"/>
    <n v="9.5542812017722145"/>
  </r>
  <r>
    <s v="Regular"/>
    <x v="3"/>
    <x v="3"/>
    <x v="5"/>
    <x v="0"/>
    <x v="0"/>
    <x v="0"/>
    <x v="2"/>
    <x v="4"/>
    <n v="0"/>
    <n v="0"/>
    <n v="3.2000000000000001E-2"/>
    <n v="3.2000000000000001E-2"/>
    <n v="3.2000000000000001E-2"/>
    <n v="3.2000000000000001E-2"/>
    <n v="1"/>
    <x v="0"/>
    <n v="0"/>
    <n v="0"/>
    <n v="17"/>
    <n v="46"/>
    <n v="0"/>
    <n v="867.38"/>
    <n v="240.29"/>
    <m/>
    <n v="950.40404644085163"/>
    <n v="318.47604005907385"/>
    <n v="0"/>
    <n v="27.756160000000001"/>
    <n v="7.6892800000000001"/>
    <n v="0"/>
    <n v="30.412929486107252"/>
    <n v="10.191233281890364"/>
  </r>
  <r>
    <s v="Regular"/>
    <x v="3"/>
    <x v="3"/>
    <x v="5"/>
    <x v="0"/>
    <x v="0"/>
    <x v="0"/>
    <x v="2"/>
    <x v="5"/>
    <n v="0"/>
    <n v="0"/>
    <n v="3.3000000000000002E-2"/>
    <n v="3.3000000000000002E-2"/>
    <n v="3.3000000000000002E-2"/>
    <n v="3.3000000000000002E-2"/>
    <n v="1"/>
    <x v="0"/>
    <n v="0"/>
    <n v="0"/>
    <n v="17"/>
    <n v="46"/>
    <n v="0"/>
    <n v="867.38"/>
    <n v="240.29"/>
    <m/>
    <n v="950.40404644085163"/>
    <n v="318.47604005907385"/>
    <n v="0"/>
    <n v="28.623540000000002"/>
    <n v="7.92957"/>
    <n v="0"/>
    <n v="31.363333532548104"/>
    <n v="10.509709321949437"/>
  </r>
  <r>
    <s v="Regular"/>
    <x v="3"/>
    <x v="3"/>
    <x v="5"/>
    <x v="0"/>
    <x v="0"/>
    <x v="0"/>
    <x v="2"/>
    <x v="6"/>
    <n v="0"/>
    <n v="0"/>
    <n v="3.1E-2"/>
    <n v="3.1E-2"/>
    <n v="3.1E-2"/>
    <n v="3.1E-2"/>
    <n v="1"/>
    <x v="0"/>
    <n v="0"/>
    <n v="0"/>
    <n v="17"/>
    <n v="46"/>
    <n v="0"/>
    <n v="867.38"/>
    <n v="240.29"/>
    <m/>
    <n v="950.40404644085163"/>
    <n v="318.47604005907385"/>
    <n v="0"/>
    <n v="26.888780000000001"/>
    <n v="7.4489899999999993"/>
    <n v="0"/>
    <n v="29.4625254396664"/>
    <n v="9.8727572418312892"/>
  </r>
  <r>
    <s v="Regular"/>
    <x v="3"/>
    <x v="3"/>
    <x v="5"/>
    <x v="0"/>
    <x v="0"/>
    <x v="0"/>
    <x v="2"/>
    <x v="7"/>
    <n v="0"/>
    <n v="0"/>
    <n v="0.03"/>
    <n v="0.03"/>
    <n v="0.03"/>
    <n v="0.03"/>
    <n v="1"/>
    <x v="0"/>
    <n v="0"/>
    <n v="0"/>
    <n v="17"/>
    <n v="46"/>
    <n v="0"/>
    <n v="867.38"/>
    <n v="240.29"/>
    <m/>
    <n v="950.40404644085163"/>
    <n v="318.47604005907385"/>
    <n v="0"/>
    <n v="26.0214"/>
    <n v="7.2086999999999994"/>
    <n v="0"/>
    <n v="28.512121393225549"/>
    <n v="9.5542812017722145"/>
  </r>
  <r>
    <s v="Regular"/>
    <x v="3"/>
    <x v="3"/>
    <x v="5"/>
    <x v="0"/>
    <x v="0"/>
    <x v="0"/>
    <x v="2"/>
    <x v="8"/>
    <n v="0"/>
    <n v="0"/>
    <n v="0.03"/>
    <n v="0.03"/>
    <n v="0.03"/>
    <n v="0.03"/>
    <n v="1"/>
    <x v="0"/>
    <n v="0"/>
    <n v="0"/>
    <n v="17"/>
    <n v="46"/>
    <n v="0"/>
    <n v="867.38"/>
    <n v="240.29"/>
    <m/>
    <n v="950.40404644085163"/>
    <n v="318.47604005907385"/>
    <n v="0"/>
    <n v="26.0214"/>
    <n v="7.2086999999999994"/>
    <n v="0"/>
    <n v="28.512121393225549"/>
    <n v="9.5542812017722145"/>
  </r>
  <r>
    <s v="Regular"/>
    <x v="3"/>
    <x v="3"/>
    <x v="5"/>
    <x v="0"/>
    <x v="0"/>
    <x v="0"/>
    <x v="2"/>
    <x v="9"/>
    <n v="0"/>
    <n v="0"/>
    <n v="0.03"/>
    <n v="0.03"/>
    <n v="0.03"/>
    <n v="0.03"/>
    <n v="1"/>
    <x v="0"/>
    <n v="0"/>
    <n v="0"/>
    <n v="17"/>
    <n v="46"/>
    <n v="0"/>
    <n v="867.38"/>
    <n v="240.29"/>
    <m/>
    <n v="950.40404644085163"/>
    <n v="318.47604005907385"/>
    <n v="0"/>
    <n v="26.0214"/>
    <n v="7.2086999999999994"/>
    <n v="0"/>
    <n v="28.512121393225549"/>
    <n v="9.5542812017722145"/>
  </r>
  <r>
    <s v="Regular"/>
    <x v="3"/>
    <x v="3"/>
    <x v="5"/>
    <x v="0"/>
    <x v="0"/>
    <x v="0"/>
    <x v="2"/>
    <x v="10"/>
    <n v="0"/>
    <n v="0"/>
    <n v="0.03"/>
    <n v="0.03"/>
    <n v="0.03"/>
    <n v="0.03"/>
    <n v="1"/>
    <x v="0"/>
    <n v="0"/>
    <n v="0"/>
    <n v="17"/>
    <n v="46"/>
    <n v="0"/>
    <n v="867.38"/>
    <n v="240.29"/>
    <m/>
    <n v="950.40404644085163"/>
    <n v="318.47604005907385"/>
    <n v="0"/>
    <n v="26.0214"/>
    <n v="7.2086999999999994"/>
    <n v="0"/>
    <n v="28.512121393225549"/>
    <n v="9.5542812017722145"/>
  </r>
  <r>
    <s v="Regular"/>
    <x v="3"/>
    <x v="3"/>
    <x v="5"/>
    <x v="0"/>
    <x v="0"/>
    <x v="0"/>
    <x v="2"/>
    <x v="11"/>
    <n v="0"/>
    <n v="0"/>
    <n v="0.03"/>
    <n v="0.03"/>
    <n v="0.03"/>
    <n v="0.03"/>
    <n v="1"/>
    <x v="0"/>
    <n v="0"/>
    <n v="0"/>
    <n v="17"/>
    <n v="46"/>
    <n v="0"/>
    <n v="867.38"/>
    <n v="240.29"/>
    <m/>
    <n v="950.40404644085163"/>
    <n v="318.47604005907385"/>
    <n v="0"/>
    <n v="26.0214"/>
    <n v="7.2086999999999994"/>
    <n v="0"/>
    <n v="28.512121393225549"/>
    <n v="9.5542812017722145"/>
  </r>
  <r>
    <s v="Regular"/>
    <x v="3"/>
    <x v="3"/>
    <x v="1"/>
    <x v="0"/>
    <x v="0"/>
    <x v="0"/>
    <x v="2"/>
    <x v="0"/>
    <n v="0"/>
    <n v="0"/>
    <n v="6.56"/>
    <n v="6.56"/>
    <n v="6.56"/>
    <n v="6.56"/>
    <n v="9"/>
    <x v="0"/>
    <n v="0"/>
    <n v="0"/>
    <n v="17"/>
    <n v="46"/>
    <n v="0"/>
    <n v="867.38"/>
    <n v="240.29"/>
    <m/>
    <n v="950.40404644085163"/>
    <n v="318.47604005907385"/>
    <n v="0"/>
    <n v="5690.0127999999995"/>
    <n v="1576.3023999999998"/>
    <n v="0"/>
    <n v="6234.6505446519859"/>
    <n v="2089.2028227875244"/>
  </r>
  <r>
    <s v="Sistema de Compensação"/>
    <x v="3"/>
    <x v="3"/>
    <x v="1"/>
    <x v="0"/>
    <x v="0"/>
    <x v="0"/>
    <x v="2"/>
    <x v="0"/>
    <n v="0"/>
    <n v="0"/>
    <n v="0.1"/>
    <n v="0.1"/>
    <n v="0.1"/>
    <n v="0.1"/>
    <n v="1"/>
    <x v="0"/>
    <n v="0"/>
    <n v="0"/>
    <n v="17"/>
    <n v="46"/>
    <n v="0"/>
    <n v="867.38"/>
    <n v="240.29"/>
    <m/>
    <n v="950.40404644085163"/>
    <n v="318.47604005907385"/>
    <n v="0"/>
    <n v="86.738"/>
    <n v="24.029"/>
    <n v="0"/>
    <n v="95.040404644085172"/>
    <n v="31.847604005907385"/>
  </r>
  <r>
    <s v="Regular"/>
    <x v="3"/>
    <x v="3"/>
    <x v="1"/>
    <x v="0"/>
    <x v="0"/>
    <x v="0"/>
    <x v="2"/>
    <x v="1"/>
    <n v="0"/>
    <n v="0"/>
    <n v="4.6980000000000004"/>
    <n v="4.6980000000000004"/>
    <n v="4.6980000000000004"/>
    <n v="4.6980000000000004"/>
    <n v="9"/>
    <x v="0"/>
    <n v="0"/>
    <n v="0"/>
    <n v="17"/>
    <n v="46"/>
    <n v="0"/>
    <n v="867.38"/>
    <n v="240.29"/>
    <m/>
    <n v="950.40404644085163"/>
    <n v="318.47604005907385"/>
    <n v="0"/>
    <n v="4074.9512400000003"/>
    <n v="1128.8824200000001"/>
    <n v="0"/>
    <n v="4464.9982101791211"/>
    <n v="1496.2004361975291"/>
  </r>
  <r>
    <s v="Sistema de Compensação"/>
    <x v="3"/>
    <x v="3"/>
    <x v="1"/>
    <x v="0"/>
    <x v="0"/>
    <x v="0"/>
    <x v="2"/>
    <x v="1"/>
    <n v="0"/>
    <n v="0"/>
    <n v="0.65300000000000002"/>
    <n v="0.65300000000000002"/>
    <n v="0.65300000000000002"/>
    <n v="0.65300000000000002"/>
    <n v="1"/>
    <x v="0"/>
    <n v="0"/>
    <n v="0"/>
    <n v="17"/>
    <n v="46"/>
    <n v="0"/>
    <n v="867.38"/>
    <n v="240.29"/>
    <m/>
    <n v="950.40404644085163"/>
    <n v="318.47604005907385"/>
    <n v="0"/>
    <n v="566.39913999999999"/>
    <n v="156.90937"/>
    <n v="0"/>
    <n v="620.61384232587613"/>
    <n v="207.96485415857524"/>
  </r>
  <r>
    <s v="Regular"/>
    <x v="3"/>
    <x v="3"/>
    <x v="1"/>
    <x v="0"/>
    <x v="0"/>
    <x v="0"/>
    <x v="2"/>
    <x v="2"/>
    <n v="0"/>
    <n v="0"/>
    <n v="4.03"/>
    <n v="4.03"/>
    <n v="4.03"/>
    <n v="4.03"/>
    <n v="9"/>
    <x v="0"/>
    <n v="0"/>
    <n v="0"/>
    <n v="17"/>
    <n v="46"/>
    <n v="0"/>
    <n v="867.38"/>
    <n v="240.29"/>
    <m/>
    <n v="950.40404644085163"/>
    <n v="318.47604005907385"/>
    <n v="0"/>
    <n v="3495.5414000000001"/>
    <n v="968.36869999999999"/>
    <n v="0"/>
    <n v="3830.1283071566322"/>
    <n v="1283.4584414380677"/>
  </r>
  <r>
    <s v="Sistema de Compensação"/>
    <x v="3"/>
    <x v="3"/>
    <x v="1"/>
    <x v="0"/>
    <x v="0"/>
    <x v="0"/>
    <x v="2"/>
    <x v="2"/>
    <n v="0"/>
    <n v="0"/>
    <n v="0.79400000000000004"/>
    <n v="0.79400000000000004"/>
    <n v="0.79400000000000004"/>
    <n v="0.79400000000000004"/>
    <n v="1"/>
    <x v="0"/>
    <n v="0"/>
    <n v="0"/>
    <n v="17"/>
    <n v="46"/>
    <n v="0"/>
    <n v="867.38"/>
    <n v="240.29"/>
    <m/>
    <n v="950.40404644085163"/>
    <n v="318.47604005907385"/>
    <n v="0"/>
    <n v="688.69972000000007"/>
    <n v="190.79025999999999"/>
    <n v="0"/>
    <n v="754.62081287403623"/>
    <n v="252.86997580690465"/>
  </r>
  <r>
    <s v="Regular"/>
    <x v="3"/>
    <x v="3"/>
    <x v="1"/>
    <x v="0"/>
    <x v="0"/>
    <x v="0"/>
    <x v="2"/>
    <x v="3"/>
    <n v="0"/>
    <n v="0"/>
    <n v="3.4969999999999999"/>
    <n v="3.4969999999999999"/>
    <n v="3.4969999999999999"/>
    <n v="3.4969999999999999"/>
    <n v="9"/>
    <x v="0"/>
    <n v="0"/>
    <n v="0"/>
    <n v="17"/>
    <n v="46"/>
    <n v="0"/>
    <n v="867.38"/>
    <n v="240.29"/>
    <m/>
    <n v="950.40404644085163"/>
    <n v="318.47604005907385"/>
    <n v="0"/>
    <n v="3033.22786"/>
    <n v="840.29413"/>
    <n v="0"/>
    <n v="3323.5629504036579"/>
    <n v="1113.7107120865812"/>
  </r>
  <r>
    <s v="Sistema de Compensação"/>
    <x v="3"/>
    <x v="3"/>
    <x v="1"/>
    <x v="0"/>
    <x v="0"/>
    <x v="0"/>
    <x v="2"/>
    <x v="3"/>
    <n v="0"/>
    <n v="0"/>
    <n v="0.55800000000000005"/>
    <n v="0.55800000000000005"/>
    <n v="0.55800000000000005"/>
    <n v="0.55800000000000005"/>
    <n v="1"/>
    <x v="0"/>
    <n v="0"/>
    <n v="0"/>
    <n v="17"/>
    <n v="46"/>
    <n v="0"/>
    <n v="867.38"/>
    <n v="240.29"/>
    <m/>
    <n v="950.40404644085163"/>
    <n v="318.47604005907385"/>
    <n v="0"/>
    <n v="483.99804000000006"/>
    <n v="134.08182000000002"/>
    <n v="0"/>
    <n v="530.32545791399525"/>
    <n v="177.70963035296322"/>
  </r>
  <r>
    <s v="Regular"/>
    <x v="3"/>
    <x v="3"/>
    <x v="1"/>
    <x v="0"/>
    <x v="0"/>
    <x v="0"/>
    <x v="2"/>
    <x v="4"/>
    <n v="0"/>
    <n v="0"/>
    <n v="4.8650000000000002"/>
    <n v="4.8650000000000002"/>
    <n v="4.8650000000000002"/>
    <n v="4.8650000000000002"/>
    <n v="9"/>
    <x v="0"/>
    <n v="0"/>
    <n v="0"/>
    <n v="17"/>
    <n v="46"/>
    <n v="0"/>
    <n v="867.38"/>
    <n v="240.29"/>
    <m/>
    <n v="950.40404644085163"/>
    <n v="318.47604005907385"/>
    <n v="0"/>
    <n v="4219.8037000000004"/>
    <n v="1169.0108500000001"/>
    <n v="0"/>
    <n v="4623.7156859347433"/>
    <n v="1549.3859348873943"/>
  </r>
  <r>
    <s v="Sistema de Compensação"/>
    <x v="3"/>
    <x v="3"/>
    <x v="1"/>
    <x v="0"/>
    <x v="0"/>
    <x v="0"/>
    <x v="2"/>
    <x v="4"/>
    <n v="0"/>
    <n v="0"/>
    <n v="0.13200000000000001"/>
    <n v="0.13200000000000001"/>
    <n v="0.13200000000000001"/>
    <n v="0.13200000000000001"/>
    <n v="1"/>
    <x v="0"/>
    <n v="0"/>
    <n v="0"/>
    <n v="17"/>
    <n v="46"/>
    <n v="0"/>
    <n v="867.38"/>
    <n v="240.29"/>
    <m/>
    <n v="950.40404644085163"/>
    <n v="318.47604005907385"/>
    <n v="0"/>
    <n v="114.49416000000001"/>
    <n v="31.71828"/>
    <n v="0"/>
    <n v="125.45333413019242"/>
    <n v="42.038837287797747"/>
  </r>
  <r>
    <s v="Regular"/>
    <x v="3"/>
    <x v="3"/>
    <x v="1"/>
    <x v="0"/>
    <x v="0"/>
    <x v="0"/>
    <x v="2"/>
    <x v="5"/>
    <n v="0"/>
    <n v="0"/>
    <n v="5.9859999999999998"/>
    <n v="5.9859999999999998"/>
    <n v="5.9859999999999998"/>
    <n v="5.9859999999999998"/>
    <n v="9"/>
    <x v="0"/>
    <n v="0"/>
    <n v="0"/>
    <n v="17"/>
    <n v="46"/>
    <n v="0"/>
    <n v="867.38"/>
    <n v="240.29"/>
    <m/>
    <n v="950.40404644085163"/>
    <n v="318.47604005907385"/>
    <n v="0"/>
    <n v="5192.1366799999996"/>
    <n v="1438.3759399999999"/>
    <n v="0"/>
    <n v="5689.1186219949377"/>
    <n v="1906.3975757936159"/>
  </r>
  <r>
    <s v="Sistema de Compensação"/>
    <x v="3"/>
    <x v="3"/>
    <x v="1"/>
    <x v="0"/>
    <x v="0"/>
    <x v="0"/>
    <x v="2"/>
    <x v="5"/>
    <n v="0"/>
    <n v="0"/>
    <n v="0.1"/>
    <n v="0.1"/>
    <n v="0.1"/>
    <n v="0.1"/>
    <n v="1"/>
    <x v="0"/>
    <n v="0"/>
    <n v="0"/>
    <n v="17"/>
    <n v="46"/>
    <n v="0"/>
    <n v="867.38"/>
    <n v="240.29"/>
    <m/>
    <n v="950.40404644085163"/>
    <n v="318.47604005907385"/>
    <n v="0"/>
    <n v="86.738"/>
    <n v="24.029"/>
    <n v="0"/>
    <n v="95.040404644085172"/>
    <n v="31.847604005907385"/>
  </r>
  <r>
    <s v="Regular"/>
    <x v="3"/>
    <x v="3"/>
    <x v="1"/>
    <x v="0"/>
    <x v="0"/>
    <x v="0"/>
    <x v="2"/>
    <x v="6"/>
    <n v="0"/>
    <n v="0"/>
    <n v="5.6470000000000002"/>
    <n v="5.6470000000000002"/>
    <n v="5.6470000000000002"/>
    <n v="5.6470000000000002"/>
    <n v="9"/>
    <x v="0"/>
    <n v="0"/>
    <n v="0"/>
    <n v="17"/>
    <n v="46"/>
    <n v="0"/>
    <n v="867.38"/>
    <n v="240.29"/>
    <m/>
    <n v="950.40404644085163"/>
    <n v="318.47604005907385"/>
    <n v="0"/>
    <n v="4898.0948600000002"/>
    <n v="1356.9176299999999"/>
    <n v="0"/>
    <n v="5366.9316502514894"/>
    <n v="1798.4341982135902"/>
  </r>
  <r>
    <s v="Sistema de Compensação"/>
    <x v="3"/>
    <x v="3"/>
    <x v="1"/>
    <x v="0"/>
    <x v="0"/>
    <x v="0"/>
    <x v="2"/>
    <x v="6"/>
    <n v="0"/>
    <n v="0"/>
    <n v="0.43099999999999999"/>
    <n v="0.43099999999999999"/>
    <n v="0.43099999999999999"/>
    <n v="0.43099999999999999"/>
    <n v="1"/>
    <x v="0"/>
    <n v="0"/>
    <n v="0"/>
    <n v="17"/>
    <n v="46"/>
    <n v="0"/>
    <n v="867.38"/>
    <n v="240.29"/>
    <m/>
    <n v="950.40404644085163"/>
    <n v="318.47604005907385"/>
    <n v="0"/>
    <n v="373.84078"/>
    <n v="103.56498999999999"/>
    <n v="0"/>
    <n v="409.62414401600705"/>
    <n v="137.26317326546084"/>
  </r>
  <r>
    <s v="Regular"/>
    <x v="3"/>
    <x v="3"/>
    <x v="1"/>
    <x v="0"/>
    <x v="0"/>
    <x v="0"/>
    <x v="2"/>
    <x v="7"/>
    <n v="0"/>
    <n v="0"/>
    <n v="5.8319999999999999"/>
    <n v="5.8319999999999999"/>
    <n v="5.8319999999999999"/>
    <n v="5.8319999999999999"/>
    <n v="9"/>
    <x v="0"/>
    <n v="0"/>
    <n v="0"/>
    <n v="17"/>
    <n v="46"/>
    <n v="0"/>
    <n v="867.38"/>
    <n v="240.29"/>
    <m/>
    <n v="950.40404644085163"/>
    <n v="318.47604005907385"/>
    <n v="0"/>
    <n v="5058.56016"/>
    <n v="1401.3712799999998"/>
    <n v="0"/>
    <n v="5542.7563988430466"/>
    <n v="1857.3522656245186"/>
  </r>
  <r>
    <s v="Sistema de Compensação"/>
    <x v="3"/>
    <x v="3"/>
    <x v="1"/>
    <x v="0"/>
    <x v="0"/>
    <x v="0"/>
    <x v="2"/>
    <x v="7"/>
    <n v="0"/>
    <n v="0"/>
    <n v="0.54100000000000004"/>
    <n v="0.54100000000000004"/>
    <n v="0.54100000000000004"/>
    <n v="0.54100000000000004"/>
    <n v="1"/>
    <x v="0"/>
    <n v="0"/>
    <n v="0"/>
    <n v="17"/>
    <n v="46"/>
    <n v="0"/>
    <n v="867.38"/>
    <n v="240.29"/>
    <m/>
    <n v="950.40404644085163"/>
    <n v="318.47604005907385"/>
    <n v="0"/>
    <n v="469.25258000000002"/>
    <n v="129.99689000000001"/>
    <n v="0"/>
    <n v="514.16858912450073"/>
    <n v="172.29553767195895"/>
  </r>
  <r>
    <s v="Regular"/>
    <x v="3"/>
    <x v="3"/>
    <x v="1"/>
    <x v="0"/>
    <x v="0"/>
    <x v="0"/>
    <x v="2"/>
    <x v="8"/>
    <n v="0"/>
    <n v="0"/>
    <n v="7.0010000000000003"/>
    <n v="7.0010000000000003"/>
    <n v="7.0010000000000003"/>
    <n v="7.0010000000000003"/>
    <n v="10"/>
    <x v="0"/>
    <n v="0"/>
    <n v="0"/>
    <n v="17"/>
    <n v="46"/>
    <n v="0"/>
    <n v="867.38"/>
    <n v="240.29"/>
    <m/>
    <n v="950.40404644085163"/>
    <n v="318.47604005907385"/>
    <n v="0"/>
    <n v="6072.5273800000004"/>
    <n v="1682.2702899999999"/>
    <n v="0"/>
    <n v="6653.778729132403"/>
    <n v="2229.6507564535759"/>
  </r>
  <r>
    <s v="Sistema de Compensação"/>
    <x v="3"/>
    <x v="3"/>
    <x v="1"/>
    <x v="0"/>
    <x v="0"/>
    <x v="0"/>
    <x v="2"/>
    <x v="8"/>
    <n v="0"/>
    <n v="0"/>
    <n v="0.1"/>
    <n v="0.1"/>
    <n v="0.1"/>
    <n v="0.1"/>
    <n v="1"/>
    <x v="0"/>
    <n v="0"/>
    <n v="0"/>
    <n v="17"/>
    <n v="46"/>
    <n v="0"/>
    <n v="867.38"/>
    <n v="240.29"/>
    <m/>
    <n v="950.40404644085163"/>
    <n v="318.47604005907385"/>
    <n v="0"/>
    <n v="86.738"/>
    <n v="24.029"/>
    <n v="0"/>
    <n v="95.040404644085172"/>
    <n v="31.847604005907385"/>
  </r>
  <r>
    <s v="Regular"/>
    <x v="3"/>
    <x v="3"/>
    <x v="1"/>
    <x v="0"/>
    <x v="0"/>
    <x v="0"/>
    <x v="2"/>
    <x v="9"/>
    <n v="0"/>
    <n v="0"/>
    <n v="8.1530000000000005"/>
    <n v="8.1530000000000005"/>
    <n v="8.1530000000000005"/>
    <n v="8.1530000000000005"/>
    <n v="10"/>
    <x v="0"/>
    <n v="0"/>
    <n v="0"/>
    <n v="17"/>
    <n v="46"/>
    <n v="0"/>
    <n v="867.38"/>
    <n v="240.29"/>
    <m/>
    <n v="950.40404644085163"/>
    <n v="318.47604005907385"/>
    <n v="0"/>
    <n v="7071.7491400000008"/>
    <n v="1959.08437"/>
    <n v="0"/>
    <n v="7748.6441906322634"/>
    <n v="2596.5351546016291"/>
  </r>
  <r>
    <s v="Sistema de Compensação"/>
    <x v="3"/>
    <x v="3"/>
    <x v="1"/>
    <x v="0"/>
    <x v="0"/>
    <x v="0"/>
    <x v="2"/>
    <x v="9"/>
    <n v="0"/>
    <n v="0"/>
    <n v="0.1"/>
    <n v="0.1"/>
    <n v="0.1"/>
    <n v="0.1"/>
    <n v="1"/>
    <x v="0"/>
    <n v="0"/>
    <n v="0"/>
    <n v="17"/>
    <n v="46"/>
    <n v="0"/>
    <n v="867.38"/>
    <n v="240.29"/>
    <m/>
    <n v="950.40404644085163"/>
    <n v="318.47604005907385"/>
    <n v="0"/>
    <n v="86.738"/>
    <n v="24.029"/>
    <n v="0"/>
    <n v="95.040404644085172"/>
    <n v="31.847604005907385"/>
  </r>
  <r>
    <s v="Regular"/>
    <x v="3"/>
    <x v="3"/>
    <x v="1"/>
    <x v="0"/>
    <x v="0"/>
    <x v="0"/>
    <x v="2"/>
    <x v="10"/>
    <n v="0"/>
    <n v="0"/>
    <n v="9.3239999999999998"/>
    <n v="9.3239999999999998"/>
    <n v="9.3239999999999998"/>
    <n v="9.3239999999999998"/>
    <n v="10"/>
    <x v="0"/>
    <n v="0"/>
    <n v="0"/>
    <n v="17"/>
    <n v="46"/>
    <n v="0"/>
    <n v="867.38"/>
    <n v="240.29"/>
    <m/>
    <n v="950.40404644085163"/>
    <n v="318.47604005907385"/>
    <n v="0"/>
    <n v="8087.4511199999997"/>
    <n v="2240.46396"/>
    <n v="0"/>
    <n v="8861.5673290145005"/>
    <n v="2969.4705975108045"/>
  </r>
  <r>
    <s v="Sistema de Compensação"/>
    <x v="3"/>
    <x v="3"/>
    <x v="1"/>
    <x v="0"/>
    <x v="0"/>
    <x v="0"/>
    <x v="2"/>
    <x v="10"/>
    <n v="0"/>
    <n v="0"/>
    <n v="0.1"/>
    <n v="0.1"/>
    <n v="0.1"/>
    <n v="0.1"/>
    <n v="1"/>
    <x v="0"/>
    <n v="0"/>
    <n v="0"/>
    <n v="17"/>
    <n v="46"/>
    <n v="0"/>
    <n v="867.38"/>
    <n v="240.29"/>
    <m/>
    <n v="950.40404644085163"/>
    <n v="318.47604005907385"/>
    <n v="0"/>
    <n v="86.738"/>
    <n v="24.029"/>
    <n v="0"/>
    <n v="95.040404644085172"/>
    <n v="31.847604005907385"/>
  </r>
  <r>
    <s v="Regular"/>
    <x v="3"/>
    <x v="3"/>
    <x v="1"/>
    <x v="0"/>
    <x v="0"/>
    <x v="0"/>
    <x v="2"/>
    <x v="11"/>
    <n v="0"/>
    <n v="0"/>
    <n v="10.563000000000001"/>
    <n v="10.563000000000001"/>
    <n v="10.563000000000001"/>
    <n v="10.563000000000001"/>
    <n v="10"/>
    <x v="0"/>
    <n v="0"/>
    <n v="0"/>
    <n v="17"/>
    <n v="46"/>
    <n v="0"/>
    <n v="867.38"/>
    <n v="240.29"/>
    <m/>
    <n v="950.40404644085163"/>
    <n v="318.47604005907385"/>
    <n v="0"/>
    <n v="9162.1349399999999"/>
    <n v="2538.18327"/>
    <n v="0"/>
    <n v="10039.117942554716"/>
    <n v="3364.0624111439975"/>
  </r>
  <r>
    <s v="Sistema de Compensação"/>
    <x v="3"/>
    <x v="3"/>
    <x v="1"/>
    <x v="0"/>
    <x v="0"/>
    <x v="0"/>
    <x v="2"/>
    <x v="11"/>
    <n v="0"/>
    <n v="0"/>
    <n v="0.1"/>
    <n v="0.1"/>
    <n v="0.1"/>
    <n v="0.1"/>
    <n v="1"/>
    <x v="0"/>
    <n v="0"/>
    <n v="0"/>
    <n v="17"/>
    <n v="46"/>
    <n v="0"/>
    <n v="867.38"/>
    <n v="240.29"/>
    <m/>
    <n v="950.40404644085163"/>
    <n v="318.47604005907385"/>
    <n v="0"/>
    <n v="86.738"/>
    <n v="24.029"/>
    <n v="0"/>
    <n v="95.040404644085172"/>
    <n v="31.847604005907385"/>
  </r>
  <r>
    <s v="Regular"/>
    <x v="3"/>
    <x v="3"/>
    <x v="6"/>
    <x v="0"/>
    <x v="0"/>
    <x v="0"/>
    <x v="2"/>
    <x v="0"/>
    <n v="0"/>
    <n v="0"/>
    <n v="21.123000000000001"/>
    <n v="21.123000000000001"/>
    <n v="21.123000000000001"/>
    <n v="21.123000000000001"/>
    <n v="33"/>
    <x v="0"/>
    <n v="0"/>
    <n v="0"/>
    <n v="17"/>
    <n v="46"/>
    <n v="0"/>
    <n v="867.38"/>
    <n v="240.29"/>
    <m/>
    <n v="950.40404644085163"/>
    <n v="318.47604005907385"/>
    <n v="0"/>
    <n v="18321.667740000001"/>
    <n v="5075.6456699999999"/>
    <n v="0"/>
    <n v="20075.384672970111"/>
    <n v="6727.1693941678177"/>
  </r>
  <r>
    <s v="Regular"/>
    <x v="3"/>
    <x v="3"/>
    <x v="6"/>
    <x v="0"/>
    <x v="0"/>
    <x v="0"/>
    <x v="2"/>
    <x v="1"/>
    <n v="0"/>
    <n v="0"/>
    <n v="16"/>
    <n v="16"/>
    <n v="16"/>
    <n v="16"/>
    <n v="33"/>
    <x v="0"/>
    <n v="0"/>
    <n v="0"/>
    <n v="17"/>
    <n v="46"/>
    <n v="0"/>
    <n v="867.38"/>
    <n v="240.29"/>
    <m/>
    <n v="950.40404644085163"/>
    <n v="318.47604005907385"/>
    <n v="0"/>
    <n v="13878.08"/>
    <n v="3844.64"/>
    <n v="0"/>
    <n v="15206.464743053626"/>
    <n v="5095.6166409451816"/>
  </r>
  <r>
    <s v="Regular"/>
    <x v="3"/>
    <x v="3"/>
    <x v="6"/>
    <x v="0"/>
    <x v="0"/>
    <x v="0"/>
    <x v="2"/>
    <x v="2"/>
    <n v="0"/>
    <n v="0"/>
    <n v="18.064"/>
    <n v="18.064"/>
    <n v="18.064"/>
    <n v="18.064"/>
    <n v="33"/>
    <x v="0"/>
    <n v="0"/>
    <n v="0"/>
    <n v="17"/>
    <n v="46"/>
    <n v="0"/>
    <n v="867.38"/>
    <n v="240.29"/>
    <m/>
    <n v="950.40404644085163"/>
    <n v="318.47604005907385"/>
    <n v="0"/>
    <n v="15668.35232"/>
    <n v="4340.5985599999995"/>
    <n v="0"/>
    <n v="17168.098694907545"/>
    <n v="5752.9511876271099"/>
  </r>
  <r>
    <s v="Regular"/>
    <x v="3"/>
    <x v="3"/>
    <x v="6"/>
    <x v="0"/>
    <x v="0"/>
    <x v="0"/>
    <x v="2"/>
    <x v="3"/>
    <n v="0"/>
    <n v="0"/>
    <n v="16.027999999999999"/>
    <n v="16.027999999999999"/>
    <n v="16.027999999999999"/>
    <n v="16.027999999999999"/>
    <n v="33"/>
    <x v="0"/>
    <n v="0"/>
    <n v="0"/>
    <n v="17"/>
    <n v="46"/>
    <n v="0"/>
    <n v="867.38"/>
    <n v="240.29"/>
    <m/>
    <n v="950.40404644085163"/>
    <n v="318.47604005907385"/>
    <n v="0"/>
    <n v="13902.366639999998"/>
    <n v="3851.3681199999996"/>
    <n v="0"/>
    <n v="15233.076056353968"/>
    <n v="5104.5339700668355"/>
  </r>
  <r>
    <s v="Regular"/>
    <x v="3"/>
    <x v="3"/>
    <x v="6"/>
    <x v="0"/>
    <x v="0"/>
    <x v="0"/>
    <x v="2"/>
    <x v="4"/>
    <n v="0"/>
    <n v="0"/>
    <n v="16.106000000000002"/>
    <n v="16.106000000000002"/>
    <n v="16.106000000000002"/>
    <n v="16.106000000000002"/>
    <n v="33"/>
    <x v="0"/>
    <n v="0"/>
    <n v="0"/>
    <n v="17"/>
    <n v="46"/>
    <n v="0"/>
    <n v="867.38"/>
    <n v="240.29"/>
    <m/>
    <n v="950.40404644085163"/>
    <n v="318.47604005907385"/>
    <n v="0"/>
    <n v="13970.022280000001"/>
    <n v="3870.1107400000001"/>
    <n v="0"/>
    <n v="15307.207571976358"/>
    <n v="5129.3751011914437"/>
  </r>
  <r>
    <s v="Regular"/>
    <x v="3"/>
    <x v="3"/>
    <x v="6"/>
    <x v="0"/>
    <x v="0"/>
    <x v="0"/>
    <x v="2"/>
    <x v="5"/>
    <n v="0"/>
    <n v="0"/>
    <n v="20.225000000000001"/>
    <n v="20.225000000000001"/>
    <n v="20.225000000000001"/>
    <n v="20.225000000000001"/>
    <n v="31"/>
    <x v="0"/>
    <n v="0"/>
    <n v="0"/>
    <n v="17"/>
    <n v="46"/>
    <n v="0"/>
    <n v="867.38"/>
    <n v="240.29"/>
    <m/>
    <n v="950.40404644085163"/>
    <n v="318.47604005907385"/>
    <n v="0"/>
    <n v="17542.7605"/>
    <n v="4859.8652499999998"/>
    <n v="0"/>
    <n v="19221.921839266226"/>
    <n v="6441.1779101947695"/>
  </r>
  <r>
    <s v="Regular"/>
    <x v="3"/>
    <x v="3"/>
    <x v="6"/>
    <x v="0"/>
    <x v="0"/>
    <x v="0"/>
    <x v="2"/>
    <x v="6"/>
    <n v="0"/>
    <n v="0"/>
    <n v="20.686"/>
    <n v="20.686"/>
    <n v="20.686"/>
    <n v="20.686"/>
    <n v="31"/>
    <x v="0"/>
    <n v="0"/>
    <n v="0"/>
    <n v="17"/>
    <n v="46"/>
    <n v="0"/>
    <n v="867.38"/>
    <n v="240.29"/>
    <m/>
    <n v="950.40404644085163"/>
    <n v="318.47604005907385"/>
    <n v="0"/>
    <n v="17942.62268"/>
    <n v="4970.6389399999998"/>
    <n v="0"/>
    <n v="19660.058104675456"/>
    <n v="6587.9953646620015"/>
  </r>
  <r>
    <s v="Regular"/>
    <x v="3"/>
    <x v="3"/>
    <x v="6"/>
    <x v="0"/>
    <x v="0"/>
    <x v="0"/>
    <x v="2"/>
    <x v="7"/>
    <n v="0"/>
    <n v="0"/>
    <n v="20.233000000000001"/>
    <n v="20.233000000000001"/>
    <n v="20.233000000000001"/>
    <n v="20.233000000000001"/>
    <n v="31"/>
    <x v="0"/>
    <n v="0"/>
    <n v="0"/>
    <n v="17"/>
    <n v="46"/>
    <n v="0"/>
    <n v="867.38"/>
    <n v="240.29"/>
    <m/>
    <n v="950.40404644085163"/>
    <n v="318.47604005907385"/>
    <n v="0"/>
    <n v="17549.699540000001"/>
    <n v="4861.7875700000004"/>
    <n v="0"/>
    <n v="19229.525071637752"/>
    <n v="6443.7257185152412"/>
  </r>
  <r>
    <s v="Regular"/>
    <x v="3"/>
    <x v="3"/>
    <x v="6"/>
    <x v="0"/>
    <x v="0"/>
    <x v="0"/>
    <x v="2"/>
    <x v="8"/>
    <n v="0"/>
    <n v="0"/>
    <n v="22.812999999999999"/>
    <n v="22.812999999999999"/>
    <n v="22.812999999999999"/>
    <n v="22.812999999999999"/>
    <n v="31"/>
    <x v="0"/>
    <n v="0"/>
    <n v="0"/>
    <n v="17"/>
    <n v="46"/>
    <n v="0"/>
    <n v="867.38"/>
    <n v="240.29"/>
    <m/>
    <n v="950.40404644085163"/>
    <n v="318.47604005907385"/>
    <n v="0"/>
    <n v="19787.539939999999"/>
    <n v="5481.7357699999993"/>
    <n v="0"/>
    <n v="21681.567511455149"/>
    <n v="7265.393901867651"/>
  </r>
  <r>
    <s v="Regular"/>
    <x v="3"/>
    <x v="3"/>
    <x v="6"/>
    <x v="0"/>
    <x v="0"/>
    <x v="0"/>
    <x v="2"/>
    <x v="9"/>
    <n v="0"/>
    <n v="0"/>
    <n v="21.454000000000001"/>
    <n v="21.454000000000001"/>
    <n v="21.454000000000001"/>
    <n v="21.454000000000001"/>
    <n v="31"/>
    <x v="0"/>
    <n v="0"/>
    <n v="0"/>
    <n v="17"/>
    <n v="46"/>
    <n v="0"/>
    <n v="867.38"/>
    <n v="240.29"/>
    <m/>
    <n v="950.40404644085163"/>
    <n v="318.47604005907385"/>
    <n v="0"/>
    <n v="18608.770520000002"/>
    <n v="5155.1816600000002"/>
    <n v="0"/>
    <n v="20389.96841234203"/>
    <n v="6832.5849634273709"/>
  </r>
  <r>
    <s v="Regular"/>
    <x v="3"/>
    <x v="3"/>
    <x v="6"/>
    <x v="0"/>
    <x v="0"/>
    <x v="0"/>
    <x v="2"/>
    <x v="10"/>
    <n v="0"/>
    <n v="0"/>
    <n v="22.065000000000001"/>
    <n v="22.065000000000001"/>
    <n v="22.065000000000001"/>
    <n v="22.065000000000001"/>
    <n v="31"/>
    <x v="0"/>
    <n v="0"/>
    <n v="0"/>
    <n v="17"/>
    <n v="46"/>
    <n v="0"/>
    <n v="867.38"/>
    <n v="240.29"/>
    <m/>
    <n v="950.40404644085163"/>
    <n v="318.47604005907385"/>
    <n v="0"/>
    <n v="19138.739700000002"/>
    <n v="5301.9988499999999"/>
    <n v="0"/>
    <n v="20970.665284717394"/>
    <n v="7027.1738239034648"/>
  </r>
  <r>
    <s v="Regular"/>
    <x v="3"/>
    <x v="3"/>
    <x v="6"/>
    <x v="0"/>
    <x v="0"/>
    <x v="0"/>
    <x v="2"/>
    <x v="11"/>
    <n v="0"/>
    <n v="0"/>
    <n v="29.85"/>
    <n v="29.85"/>
    <n v="29.85"/>
    <n v="29.85"/>
    <n v="31"/>
    <x v="0"/>
    <n v="0"/>
    <n v="0"/>
    <n v="17"/>
    <n v="46"/>
    <n v="0"/>
    <n v="867.38"/>
    <n v="240.29"/>
    <m/>
    <n v="950.40404644085163"/>
    <n v="318.47604005907385"/>
    <n v="0"/>
    <n v="25891.293000000001"/>
    <n v="7172.6565000000001"/>
    <n v="0"/>
    <n v="28369.560786259422"/>
    <n v="9506.5097957633552"/>
  </r>
  <r>
    <s v="Regular"/>
    <x v="3"/>
    <x v="3"/>
    <x v="3"/>
    <x v="2"/>
    <x v="0"/>
    <x v="0"/>
    <x v="2"/>
    <x v="0"/>
    <n v="0"/>
    <n v="0"/>
    <n v="14.05"/>
    <n v="13.207000000000001"/>
    <n v="14.05"/>
    <n v="13.207000000000001"/>
    <n v="3"/>
    <x v="0"/>
    <n v="0"/>
    <n v="0"/>
    <n v="17"/>
    <n v="46"/>
    <n v="0"/>
    <n v="867.38"/>
    <n v="240.29"/>
    <m/>
    <n v="950.40404644085163"/>
    <n v="318.47604005907385"/>
    <n v="0"/>
    <n v="11455.487660000001"/>
    <n v="3173.5100299999999"/>
    <n v="0"/>
    <n v="12551.986241344328"/>
    <n v="4206.1130610601886"/>
  </r>
  <r>
    <s v="Regular"/>
    <x v="3"/>
    <x v="3"/>
    <x v="3"/>
    <x v="2"/>
    <x v="0"/>
    <x v="0"/>
    <x v="2"/>
    <x v="1"/>
    <n v="0"/>
    <n v="0"/>
    <n v="22.119"/>
    <n v="20.79186"/>
    <n v="22.119"/>
    <n v="20.79186"/>
    <n v="3"/>
    <x v="0"/>
    <n v="0"/>
    <n v="0"/>
    <n v="17"/>
    <n v="46"/>
    <n v="0"/>
    <n v="867.38"/>
    <n v="240.29"/>
    <m/>
    <n v="950.40404644085163"/>
    <n v="318.47604005907385"/>
    <n v="0"/>
    <n v="18034.443526799998"/>
    <n v="4996.0760393999999"/>
    <n v="0"/>
    <n v="19760.667877031687"/>
    <n v="6621.7092382626552"/>
  </r>
  <r>
    <s v="Regular"/>
    <x v="3"/>
    <x v="3"/>
    <x v="3"/>
    <x v="2"/>
    <x v="0"/>
    <x v="0"/>
    <x v="2"/>
    <x v="2"/>
    <n v="0"/>
    <n v="0"/>
    <n v="21.76"/>
    <n v="20.4544"/>
    <n v="21.76"/>
    <n v="20.4544"/>
    <n v="3"/>
    <x v="0"/>
    <n v="0"/>
    <n v="0"/>
    <n v="17"/>
    <n v="46"/>
    <n v="0"/>
    <n v="867.38"/>
    <n v="240.29"/>
    <m/>
    <n v="950.40404644085163"/>
    <n v="318.47604005907385"/>
    <n v="0"/>
    <n v="17741.737472000001"/>
    <n v="4914.9877759999999"/>
    <n v="0"/>
    <n v="19439.944527519754"/>
    <n v="6514.2363137843204"/>
  </r>
  <r>
    <s v="Regular"/>
    <x v="3"/>
    <x v="3"/>
    <x v="3"/>
    <x v="2"/>
    <x v="0"/>
    <x v="0"/>
    <x v="2"/>
    <x v="3"/>
    <n v="0"/>
    <n v="0"/>
    <n v="9.3780000000000001"/>
    <n v="8.8153199999999998"/>
    <n v="9.3780000000000001"/>
    <n v="8.8153199999999998"/>
    <n v="3"/>
    <x v="0"/>
    <n v="0"/>
    <n v="0"/>
    <n v="17"/>
    <n v="46"/>
    <n v="0"/>
    <n v="867.38"/>
    <n v="240.29"/>
    <m/>
    <n v="950.40404644085163"/>
    <n v="318.47604005907385"/>
    <n v="0"/>
    <n v="7646.2322616000001"/>
    <n v="2118.2332428"/>
    <n v="0"/>
    <n v="8378.1157986709677"/>
    <n v="2807.4682054535547"/>
  </r>
  <r>
    <s v="Regular"/>
    <x v="3"/>
    <x v="3"/>
    <x v="3"/>
    <x v="2"/>
    <x v="0"/>
    <x v="0"/>
    <x v="2"/>
    <x v="4"/>
    <n v="0"/>
    <n v="0"/>
    <n v="14.198"/>
    <n v="13.346120000000001"/>
    <n v="14.198"/>
    <n v="13.346120000000001"/>
    <n v="3"/>
    <x v="0"/>
    <n v="0"/>
    <n v="0"/>
    <n v="17"/>
    <n v="46"/>
    <n v="0"/>
    <n v="867.38"/>
    <n v="240.29"/>
    <m/>
    <n v="950.40404644085163"/>
    <n v="318.47604005907385"/>
    <n v="0"/>
    <n v="11576.1575656"/>
    <n v="3206.9391748000003"/>
    <n v="0"/>
    <n v="12684.20645228518"/>
    <n v="4250.4194477532074"/>
  </r>
  <r>
    <s v="Regular"/>
    <x v="3"/>
    <x v="3"/>
    <x v="3"/>
    <x v="2"/>
    <x v="0"/>
    <x v="0"/>
    <x v="2"/>
    <x v="5"/>
    <n v="0"/>
    <n v="0"/>
    <n v="13.079000000000001"/>
    <n v="12.29426"/>
    <n v="13.079000000000001"/>
    <n v="12.29426"/>
    <n v="2"/>
    <x v="0"/>
    <n v="0"/>
    <n v="0"/>
    <n v="17"/>
    <n v="46"/>
    <n v="0"/>
    <n v="867.38"/>
    <n v="240.29"/>
    <m/>
    <n v="950.40404644085163"/>
    <n v="318.47604005907385"/>
    <n v="0"/>
    <n v="10663.795238799999"/>
    <n v="2954.1877353999998"/>
    <n v="0"/>
    <n v="11684.514451995905"/>
    <n v="3915.4272402566689"/>
  </r>
  <r>
    <s v="Regular"/>
    <x v="3"/>
    <x v="3"/>
    <x v="3"/>
    <x v="2"/>
    <x v="0"/>
    <x v="0"/>
    <x v="2"/>
    <x v="6"/>
    <n v="0"/>
    <n v="0"/>
    <n v="12.247"/>
    <n v="11.512180000000001"/>
    <n v="12.247"/>
    <n v="11.512180000000001"/>
    <n v="2"/>
    <x v="0"/>
    <n v="0"/>
    <n v="0"/>
    <n v="17"/>
    <n v="46"/>
    <n v="0"/>
    <n v="867.38"/>
    <n v="240.29"/>
    <m/>
    <n v="950.40404644085163"/>
    <n v="318.47604005907385"/>
    <n v="0"/>
    <n v="9985.4346884000006"/>
    <n v="2766.2617322000001"/>
    <n v="0"/>
    <n v="10941.222455355444"/>
    <n v="3666.3534988472688"/>
  </r>
  <r>
    <s v="Regular"/>
    <x v="3"/>
    <x v="3"/>
    <x v="3"/>
    <x v="2"/>
    <x v="0"/>
    <x v="0"/>
    <x v="2"/>
    <x v="7"/>
    <n v="0"/>
    <n v="0"/>
    <n v="12.291"/>
    <n v="11.55354"/>
    <n v="12.291"/>
    <n v="11.55354"/>
    <n v="2"/>
    <x v="0"/>
    <n v="0"/>
    <n v="0"/>
    <n v="17"/>
    <n v="46"/>
    <n v="0"/>
    <n v="867.38"/>
    <n v="240.29"/>
    <m/>
    <n v="950.40404644085163"/>
    <n v="318.47604005907385"/>
    <n v="0"/>
    <n v="10021.3095252"/>
    <n v="2776.2001265999997"/>
    <n v="0"/>
    <n v="10980.531166716237"/>
    <n v="3679.5256678641122"/>
  </r>
  <r>
    <s v="Regular"/>
    <x v="3"/>
    <x v="3"/>
    <x v="3"/>
    <x v="2"/>
    <x v="0"/>
    <x v="0"/>
    <x v="2"/>
    <x v="8"/>
    <n v="0"/>
    <n v="0"/>
    <n v="14.467000000000001"/>
    <n v="13.598979999999999"/>
    <n v="14.467000000000001"/>
    <n v="13.598979999999999"/>
    <n v="2"/>
    <x v="0"/>
    <n v="0"/>
    <n v="0"/>
    <n v="17"/>
    <n v="46"/>
    <n v="0"/>
    <n v="867.38"/>
    <n v="240.29"/>
    <m/>
    <n v="950.40404644085163"/>
    <n v="318.47604005907385"/>
    <n v="0"/>
    <n v="11795.483272399999"/>
    <n v="3267.6989041999996"/>
    <n v="0"/>
    <n v="12924.525619468212"/>
    <n v="4330.9492992425439"/>
  </r>
  <r>
    <s v="Regular"/>
    <x v="3"/>
    <x v="3"/>
    <x v="3"/>
    <x v="2"/>
    <x v="0"/>
    <x v="0"/>
    <x v="2"/>
    <x v="9"/>
    <n v="0"/>
    <n v="0"/>
    <n v="14.925000000000001"/>
    <n v="14.029500000000001"/>
    <n v="14.925000000000001"/>
    <n v="14.029500000000001"/>
    <n v="2"/>
    <x v="0"/>
    <n v="0"/>
    <n v="0"/>
    <n v="17"/>
    <n v="46"/>
    <n v="0"/>
    <n v="867.38"/>
    <n v="240.29"/>
    <m/>
    <n v="950.40404644085163"/>
    <n v="318.47604005907385"/>
    <n v="0"/>
    <n v="12168.907709999999"/>
    <n v="3371.1485550000002"/>
    <n v="0"/>
    <n v="13333.693569541929"/>
    <n v="4468.0596040087767"/>
  </r>
  <r>
    <s v="Regular"/>
    <x v="3"/>
    <x v="3"/>
    <x v="3"/>
    <x v="2"/>
    <x v="0"/>
    <x v="0"/>
    <x v="2"/>
    <x v="10"/>
    <n v="0"/>
    <n v="0"/>
    <n v="18.042999999999999"/>
    <n v="16.960419999999999"/>
    <n v="18.042999999999999"/>
    <n v="16.960419999999999"/>
    <n v="2"/>
    <x v="0"/>
    <n v="0"/>
    <n v="0"/>
    <n v="17"/>
    <n v="46"/>
    <n v="0"/>
    <n v="867.38"/>
    <n v="240.29"/>
    <m/>
    <n v="950.40404644085163"/>
    <n v="318.47604005907385"/>
    <n v="0"/>
    <n v="14711.129099599999"/>
    <n v="4075.4193217999996"/>
    <n v="0"/>
    <n v="16119.251797336348"/>
    <n v="5401.4873993387173"/>
  </r>
  <r>
    <s v="Regular"/>
    <x v="3"/>
    <x v="3"/>
    <x v="3"/>
    <x v="2"/>
    <x v="0"/>
    <x v="0"/>
    <x v="2"/>
    <x v="11"/>
    <n v="0"/>
    <n v="0"/>
    <n v="15.497"/>
    <n v="14.56718"/>
    <n v="15.497"/>
    <n v="14.56718"/>
    <n v="2"/>
    <x v="0"/>
    <n v="0"/>
    <n v="0"/>
    <n v="17"/>
    <n v="46"/>
    <n v="0"/>
    <n v="867.38"/>
    <n v="240.29"/>
    <m/>
    <n v="950.40404644085163"/>
    <n v="318.47604005907385"/>
    <n v="0"/>
    <n v="12635.280588400001"/>
    <n v="3500.3476821999998"/>
    <n v="0"/>
    <n v="13844.706817232245"/>
    <n v="4639.2978012277399"/>
  </r>
  <r>
    <s v="Regular"/>
    <x v="4"/>
    <x v="3"/>
    <x v="7"/>
    <x v="9"/>
    <x v="0"/>
    <x v="0"/>
    <x v="2"/>
    <x v="0"/>
    <n v="0"/>
    <n v="0"/>
    <n v="267.41500000000002"/>
    <n v="267.41500000000002"/>
    <n v="267.41500000000002"/>
    <n v="267.41500000000002"/>
    <n v="3"/>
    <x v="0"/>
    <n v="0"/>
    <n v="0"/>
    <n v="19"/>
    <n v="48"/>
    <n v="0"/>
    <n v="477.06"/>
    <n v="132.16"/>
    <m/>
    <n v="522.72222554246844"/>
    <n v="175.16182203249062"/>
    <n v="0"/>
    <n v="127572.99990000001"/>
    <n v="35341.566400000003"/>
    <n v="0"/>
    <n v="139783.7639434392"/>
    <n v="46840.898638818486"/>
  </r>
  <r>
    <s v="Regular"/>
    <x v="4"/>
    <x v="3"/>
    <x v="7"/>
    <x v="9"/>
    <x v="0"/>
    <x v="0"/>
    <x v="2"/>
    <x v="1"/>
    <n v="0"/>
    <n v="0"/>
    <n v="291.803"/>
    <n v="291.803"/>
    <n v="291.803"/>
    <n v="291.803"/>
    <n v="3"/>
    <x v="0"/>
    <n v="0"/>
    <n v="0"/>
    <n v="19"/>
    <n v="48"/>
    <n v="0"/>
    <n v="477.06"/>
    <n v="132.16"/>
    <m/>
    <n v="522.72222554246844"/>
    <n v="175.16182203249062"/>
    <n v="0"/>
    <n v="139207.53917999999"/>
    <n v="38564.684479999996"/>
    <n v="0"/>
    <n v="152531.91357996891"/>
    <n v="51112.745154546858"/>
  </r>
  <r>
    <s v="Regular"/>
    <x v="4"/>
    <x v="3"/>
    <x v="7"/>
    <x v="9"/>
    <x v="0"/>
    <x v="0"/>
    <x v="2"/>
    <x v="2"/>
    <n v="0"/>
    <n v="0"/>
    <n v="288.34699999999998"/>
    <n v="288.34699999999998"/>
    <n v="288.34699999999998"/>
    <n v="288.34699999999998"/>
    <n v="3"/>
    <x v="0"/>
    <n v="0"/>
    <n v="0"/>
    <n v="19"/>
    <n v="48"/>
    <n v="0"/>
    <n v="477.06"/>
    <n v="132.16"/>
    <m/>
    <n v="522.72222554246844"/>
    <n v="175.16182203249062"/>
    <n v="0"/>
    <n v="137558.81982"/>
    <n v="38107.93952"/>
    <n v="0"/>
    <n v="150725.38556849412"/>
    <n v="50507.385897602566"/>
  </r>
  <r>
    <s v="Regular"/>
    <x v="4"/>
    <x v="3"/>
    <x v="7"/>
    <x v="9"/>
    <x v="0"/>
    <x v="0"/>
    <x v="2"/>
    <x v="3"/>
    <n v="0"/>
    <n v="0"/>
    <n v="294.88200000000001"/>
    <n v="294.88200000000001"/>
    <n v="294.88200000000001"/>
    <n v="294.88200000000001"/>
    <n v="3"/>
    <x v="0"/>
    <n v="0"/>
    <n v="0"/>
    <n v="19"/>
    <n v="48"/>
    <n v="0"/>
    <n v="477.06"/>
    <n v="132.16"/>
    <m/>
    <n v="522.72222554246844"/>
    <n v="175.16182203249062"/>
    <n v="0"/>
    <n v="140676.40692000001"/>
    <n v="38971.60512"/>
    <n v="0"/>
    <n v="154141.37531241417"/>
    <n v="51652.068404584898"/>
  </r>
  <r>
    <s v="Regular"/>
    <x v="4"/>
    <x v="3"/>
    <x v="7"/>
    <x v="9"/>
    <x v="0"/>
    <x v="0"/>
    <x v="2"/>
    <x v="4"/>
    <n v="0"/>
    <n v="0"/>
    <n v="284.49299999999999"/>
    <n v="284.49299999999999"/>
    <n v="284.49299999999999"/>
    <n v="284.49299999999999"/>
    <n v="3"/>
    <x v="0"/>
    <n v="0"/>
    <n v="0"/>
    <n v="19"/>
    <n v="48"/>
    <n v="0"/>
    <n v="477.06"/>
    <n v="132.16"/>
    <m/>
    <n v="522.72222554246844"/>
    <n v="175.16182203249062"/>
    <n v="0"/>
    <n v="135720.23058"/>
    <n v="37598.594879999997"/>
    <n v="0"/>
    <n v="148710.81411125348"/>
    <n v="49832.312235489349"/>
  </r>
  <r>
    <s v="Regular"/>
    <x v="4"/>
    <x v="3"/>
    <x v="7"/>
    <x v="9"/>
    <x v="0"/>
    <x v="0"/>
    <x v="2"/>
    <x v="5"/>
    <n v="0"/>
    <n v="0"/>
    <n v="260.94600000000003"/>
    <n v="260.94600000000003"/>
    <n v="260.94600000000003"/>
    <n v="260.94600000000003"/>
    <n v="3"/>
    <x v="0"/>
    <n v="0"/>
    <n v="0"/>
    <n v="19"/>
    <n v="48"/>
    <n v="0"/>
    <n v="477.06"/>
    <n v="132.16"/>
    <m/>
    <n v="522.72222554246844"/>
    <n v="175.16182203249062"/>
    <n v="0"/>
    <n v="124486.89876000001"/>
    <n v="34486.623360000005"/>
    <n v="0"/>
    <n v="136402.27386640498"/>
    <n v="45707.776812090298"/>
  </r>
  <r>
    <s v="Regular"/>
    <x v="4"/>
    <x v="3"/>
    <x v="7"/>
    <x v="9"/>
    <x v="0"/>
    <x v="0"/>
    <x v="2"/>
    <x v="6"/>
    <n v="0"/>
    <n v="0"/>
    <n v="253.86"/>
    <n v="253.86"/>
    <n v="253.86"/>
    <n v="253.86"/>
    <n v="3"/>
    <x v="0"/>
    <n v="0"/>
    <n v="0"/>
    <n v="19"/>
    <n v="48"/>
    <n v="0"/>
    <n v="477.06"/>
    <n v="132.16"/>
    <m/>
    <n v="522.72222554246844"/>
    <n v="175.16182203249062"/>
    <n v="0"/>
    <n v="121106.4516"/>
    <n v="33550.137600000002"/>
    <n v="0"/>
    <n v="132698.26417621106"/>
    <n v="44466.580141168073"/>
  </r>
  <r>
    <s v="Regular"/>
    <x v="4"/>
    <x v="3"/>
    <x v="7"/>
    <x v="9"/>
    <x v="0"/>
    <x v="0"/>
    <x v="2"/>
    <x v="7"/>
    <n v="0"/>
    <n v="0"/>
    <n v="232.631"/>
    <n v="232.631"/>
    <n v="232.631"/>
    <n v="232.631"/>
    <n v="3"/>
    <x v="0"/>
    <n v="0"/>
    <n v="0"/>
    <n v="19"/>
    <n v="48"/>
    <n v="0"/>
    <n v="477.06"/>
    <n v="132.16"/>
    <m/>
    <n v="522.72222554246844"/>
    <n v="175.16182203249062"/>
    <n v="0"/>
    <n v="110978.94486"/>
    <n v="30744.51296"/>
    <n v="0"/>
    <n v="121601.39405016997"/>
    <n v="40748.069821240322"/>
  </r>
  <r>
    <s v="Regular"/>
    <x v="4"/>
    <x v="3"/>
    <x v="7"/>
    <x v="9"/>
    <x v="0"/>
    <x v="0"/>
    <x v="2"/>
    <x v="8"/>
    <n v="0"/>
    <n v="0"/>
    <n v="241.02600000000001"/>
    <n v="241.02600000000001"/>
    <n v="241.02600000000001"/>
    <n v="241.02600000000001"/>
    <n v="3"/>
    <x v="0"/>
    <n v="0"/>
    <n v="0"/>
    <n v="19"/>
    <n v="48"/>
    <n v="0"/>
    <n v="477.06"/>
    <n v="132.16"/>
    <m/>
    <n v="522.72222554246844"/>
    <n v="175.16182203249062"/>
    <n v="0"/>
    <n v="114983.86356000001"/>
    <n v="31853.996159999999"/>
    <n v="0"/>
    <n v="125989.64713359901"/>
    <n v="42218.553317203085"/>
  </r>
  <r>
    <s v="Regular"/>
    <x v="4"/>
    <x v="3"/>
    <x v="7"/>
    <x v="9"/>
    <x v="0"/>
    <x v="0"/>
    <x v="2"/>
    <x v="9"/>
    <n v="0"/>
    <n v="0"/>
    <n v="244.99600000000001"/>
    <n v="244.99600000000001"/>
    <n v="244.99600000000001"/>
    <n v="244.99600000000001"/>
    <n v="3"/>
    <x v="0"/>
    <n v="0"/>
    <n v="0"/>
    <n v="19"/>
    <n v="48"/>
    <n v="0"/>
    <n v="477.06"/>
    <n v="132.16"/>
    <m/>
    <n v="522.72222554246844"/>
    <n v="175.16182203249062"/>
    <n v="0"/>
    <n v="116877.79176000001"/>
    <n v="32378.67136"/>
    <n v="0"/>
    <n v="128064.8543690026"/>
    <n v="42913.945750672072"/>
  </r>
  <r>
    <s v="Regular"/>
    <x v="4"/>
    <x v="3"/>
    <x v="7"/>
    <x v="9"/>
    <x v="0"/>
    <x v="0"/>
    <x v="2"/>
    <x v="10"/>
    <n v="0"/>
    <n v="0"/>
    <n v="232.03800000000001"/>
    <n v="232.03800000000001"/>
    <n v="232.03800000000001"/>
    <n v="232.03800000000001"/>
    <n v="3"/>
    <x v="0"/>
    <n v="0"/>
    <n v="0"/>
    <n v="19"/>
    <n v="48"/>
    <n v="0"/>
    <n v="477.06"/>
    <n v="132.16"/>
    <m/>
    <n v="522.72222554246844"/>
    <n v="175.16182203249062"/>
    <n v="0"/>
    <n v="110696.04828"/>
    <n v="30666.142080000001"/>
    <n v="0"/>
    <n v="121291.41977042329"/>
    <n v="40644.198860775061"/>
  </r>
  <r>
    <s v="Regular"/>
    <x v="4"/>
    <x v="3"/>
    <x v="7"/>
    <x v="9"/>
    <x v="0"/>
    <x v="0"/>
    <x v="2"/>
    <x v="11"/>
    <n v="0"/>
    <n v="0"/>
    <n v="271.97899999999998"/>
    <n v="271.97899999999998"/>
    <n v="271.97899999999998"/>
    <n v="271.97899999999998"/>
    <n v="3"/>
    <x v="0"/>
    <n v="0"/>
    <n v="0"/>
    <n v="19"/>
    <n v="48"/>
    <n v="0"/>
    <n v="477.06"/>
    <n v="132.16"/>
    <m/>
    <n v="522.72222554246844"/>
    <n v="175.16182203249062"/>
    <n v="0"/>
    <n v="129750.30174"/>
    <n v="35944.744639999997"/>
    <n v="0"/>
    <n v="142169.46818081502"/>
    <n v="47640.33719457476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">
  <r>
    <s v="Regular"/>
    <x v="0"/>
    <x v="0"/>
    <x v="0"/>
    <x v="0"/>
    <x v="0"/>
    <x v="0"/>
    <x v="0"/>
    <x v="0"/>
    <n v="0"/>
    <n v="0"/>
    <n v="5.9349999999999996"/>
    <n v="1.7805"/>
    <n v="5.9349999999999996"/>
    <n v="1.7805"/>
    <n v="0"/>
    <s v="CATIVO"/>
    <n v="0"/>
    <n v="0"/>
    <n v="2"/>
    <n v="74"/>
    <n v="0"/>
    <n v="93.48"/>
    <n v="240.29"/>
    <m/>
    <n v="116.98708637317603"/>
    <n v="318.47604005907385"/>
    <n v="0"/>
    <n v="1386.647465"/>
    <n v="0"/>
    <n v="1809.1315587627821"/>
    <x v="0"/>
  </r>
  <r>
    <s v="Regular"/>
    <x v="0"/>
    <x v="0"/>
    <x v="0"/>
    <x v="0"/>
    <x v="0"/>
    <x v="0"/>
    <x v="0"/>
    <x v="1"/>
    <n v="0"/>
    <n v="0"/>
    <n v="2.78"/>
    <n v="0.83399999999999996"/>
    <n v="2.78"/>
    <n v="0.83399999999999996"/>
    <n v="0"/>
    <s v="CATIVO"/>
    <n v="0"/>
    <n v="0"/>
    <n v="2"/>
    <n v="74"/>
    <n v="0"/>
    <n v="93.48"/>
    <n v="240.29"/>
    <m/>
    <n v="116.98708637317603"/>
    <n v="318.47604005907385"/>
    <n v="0"/>
    <n v="649.51641999999993"/>
    <n v="0"/>
    <n v="847.4112440371581"/>
    <x v="0"/>
  </r>
  <r>
    <s v="Regular"/>
    <x v="0"/>
    <x v="0"/>
    <x v="0"/>
    <x v="0"/>
    <x v="0"/>
    <x v="0"/>
    <x v="0"/>
    <x v="2"/>
    <n v="0"/>
    <n v="0"/>
    <n v="5.0410000000000004"/>
    <n v="1.5123"/>
    <n v="5.0410000000000004"/>
    <n v="1.5123"/>
    <n v="0"/>
    <s v="CATIVO"/>
    <n v="0"/>
    <n v="0"/>
    <n v="2"/>
    <n v="74"/>
    <n v="0"/>
    <n v="93.48"/>
    <n v="240.29"/>
    <m/>
    <n v="116.98708637317603"/>
    <n v="318.47604005907385"/>
    <n v="0"/>
    <n v="1177.7741990000002"/>
    <n v="0"/>
    <n v="1536.6187342414803"/>
    <x v="0"/>
  </r>
  <r>
    <s v="Regular"/>
    <x v="0"/>
    <x v="0"/>
    <x v="0"/>
    <x v="0"/>
    <x v="0"/>
    <x v="0"/>
    <x v="0"/>
    <x v="3"/>
    <n v="0"/>
    <n v="0"/>
    <n v="13.784000000000001"/>
    <n v="4.1352000000000002"/>
    <n v="13.784000000000001"/>
    <n v="4.1352000000000002"/>
    <n v="0"/>
    <s v="CATIVO"/>
    <n v="0"/>
    <n v="0"/>
    <n v="2"/>
    <n v="74"/>
    <n v="0"/>
    <n v="93.48"/>
    <n v="240.29"/>
    <m/>
    <n v="116.98708637317603"/>
    <n v="318.47604005907385"/>
    <n v="0"/>
    <n v="3220.4799760000005"/>
    <n v="0"/>
    <n v="4201.6966143194932"/>
    <x v="0"/>
  </r>
  <r>
    <s v="Regular"/>
    <x v="0"/>
    <x v="0"/>
    <x v="0"/>
    <x v="0"/>
    <x v="0"/>
    <x v="0"/>
    <x v="0"/>
    <x v="4"/>
    <n v="0"/>
    <n v="0"/>
    <n v="14.56"/>
    <n v="4.3680000000000003"/>
    <n v="14.56"/>
    <n v="4.3680000000000003"/>
    <n v="0"/>
    <s v="CATIVO"/>
    <n v="0"/>
    <n v="0"/>
    <n v="2"/>
    <n v="74"/>
    <n v="0"/>
    <n v="93.48"/>
    <n v="240.29"/>
    <m/>
    <n v="116.98708637317603"/>
    <n v="318.47604005907385"/>
    <n v="0"/>
    <n v="3401.7838400000001"/>
    <n v="0"/>
    <n v="4438.240184597491"/>
    <x v="0"/>
  </r>
  <r>
    <s v="Regular"/>
    <x v="0"/>
    <x v="0"/>
    <x v="0"/>
    <x v="0"/>
    <x v="0"/>
    <x v="0"/>
    <x v="0"/>
    <x v="5"/>
    <n v="0"/>
    <n v="0"/>
    <n v="13.875"/>
    <n v="4.1624999999999996"/>
    <n v="13.875"/>
    <n v="4.1624999999999996"/>
    <n v="0"/>
    <s v="CATIVO"/>
    <n v="0"/>
    <n v="0"/>
    <n v="2"/>
    <n v="74"/>
    <n v="0"/>
    <n v="93.48"/>
    <n v="240.29"/>
    <m/>
    <n v="116.98708637317603"/>
    <n v="318.47604005907385"/>
    <n v="0"/>
    <n v="3241.741125"/>
    <n v="0"/>
    <n v="4229.4356154732268"/>
    <x v="0"/>
  </r>
  <r>
    <s v="Regular"/>
    <x v="0"/>
    <x v="0"/>
    <x v="0"/>
    <x v="0"/>
    <x v="0"/>
    <x v="0"/>
    <x v="0"/>
    <x v="6"/>
    <n v="0"/>
    <n v="0"/>
    <n v="6.3449999999999998"/>
    <n v="1.9035"/>
    <n v="6.3449999999999998"/>
    <n v="1.9035"/>
    <n v="0"/>
    <s v="CATIVO"/>
    <n v="0"/>
    <n v="0"/>
    <n v="2"/>
    <n v="74"/>
    <n v="0"/>
    <n v="93.48"/>
    <n v="240.29"/>
    <m/>
    <n v="116.98708637317603"/>
    <n v="318.47604005907385"/>
    <n v="0"/>
    <n v="1482.4394549999997"/>
    <n v="0"/>
    <n v="1934.1094760488377"/>
    <x v="0"/>
  </r>
  <r>
    <s v="Regular"/>
    <x v="0"/>
    <x v="0"/>
    <x v="0"/>
    <x v="0"/>
    <x v="0"/>
    <x v="0"/>
    <x v="0"/>
    <x v="7"/>
    <n v="0"/>
    <n v="0"/>
    <n v="10.101000000000001"/>
    <n v="3.0303"/>
    <n v="10.101000000000001"/>
    <n v="3.0303"/>
    <n v="0"/>
    <s v="CATIVO"/>
    <n v="0"/>
    <n v="0"/>
    <n v="2"/>
    <n v="74"/>
    <n v="0"/>
    <n v="93.48"/>
    <n v="240.29"/>
    <m/>
    <n v="116.98708637317603"/>
    <n v="318.47604005907385"/>
    <n v="0"/>
    <n v="2359.9875390000002"/>
    <n v="0"/>
    <n v="3079.0291280645097"/>
    <x v="0"/>
  </r>
  <r>
    <s v="Regular"/>
    <x v="0"/>
    <x v="0"/>
    <x v="0"/>
    <x v="0"/>
    <x v="0"/>
    <x v="0"/>
    <x v="0"/>
    <x v="8"/>
    <n v="0"/>
    <n v="0"/>
    <n v="5.0709999999999997"/>
    <n v="1.5213000000000001"/>
    <n v="5.0709999999999997"/>
    <n v="1.5213000000000001"/>
    <n v="0"/>
    <s v="CATIVO"/>
    <n v="0"/>
    <n v="0"/>
    <n v="2"/>
    <n v="74"/>
    <n v="0"/>
    <n v="93.48"/>
    <n v="240.29"/>
    <m/>
    <n v="116.98708637317603"/>
    <n v="318.47604005907385"/>
    <n v="0"/>
    <n v="1184.7833689999998"/>
    <n v="0"/>
    <n v="1545.7634598965574"/>
    <x v="0"/>
  </r>
  <r>
    <s v="Regular"/>
    <x v="0"/>
    <x v="0"/>
    <x v="0"/>
    <x v="0"/>
    <x v="0"/>
    <x v="0"/>
    <x v="0"/>
    <x v="9"/>
    <n v="0"/>
    <n v="0"/>
    <n v="11.662000000000001"/>
    <n v="3.4986000000000002"/>
    <n v="11.662000000000001"/>
    <n v="3.4986000000000002"/>
    <n v="0"/>
    <s v="CATIVO"/>
    <n v="0"/>
    <n v="0"/>
    <n v="2"/>
    <n v="74"/>
    <n v="0"/>
    <n v="93.48"/>
    <n v="240.29"/>
    <m/>
    <n v="116.98708637317603"/>
    <n v="318.47604005907385"/>
    <n v="0"/>
    <n v="2724.6980180000005"/>
    <n v="0"/>
    <n v="3554.8596863170287"/>
    <x v="0"/>
  </r>
  <r>
    <s v="Regular"/>
    <x v="0"/>
    <x v="0"/>
    <x v="0"/>
    <x v="0"/>
    <x v="0"/>
    <x v="0"/>
    <x v="0"/>
    <x v="10"/>
    <n v="0"/>
    <n v="0"/>
    <n v="3.1"/>
    <n v="0.93"/>
    <n v="3.1"/>
    <n v="0.93"/>
    <n v="0"/>
    <s v="CATIVO"/>
    <n v="0"/>
    <n v="0"/>
    <n v="2"/>
    <n v="74"/>
    <n v="0"/>
    <n v="93.48"/>
    <n v="240.29"/>
    <m/>
    <n v="116.98708637317603"/>
    <n v="318.47604005907385"/>
    <n v="0"/>
    <n v="724.28089999999997"/>
    <n v="0"/>
    <n v="944.9549843579822"/>
    <x v="0"/>
  </r>
  <r>
    <s v="Regular"/>
    <x v="0"/>
    <x v="0"/>
    <x v="0"/>
    <x v="0"/>
    <x v="0"/>
    <x v="0"/>
    <x v="0"/>
    <x v="11"/>
    <n v="0"/>
    <n v="0"/>
    <n v="33.869999999999997"/>
    <n v="10.161"/>
    <n v="33.869999999999997"/>
    <n v="10.161"/>
    <n v="0"/>
    <s v="CATIVO"/>
    <n v="0"/>
    <n v="0"/>
    <n v="2"/>
    <n v="74"/>
    <n v="0"/>
    <n v="93.48"/>
    <n v="240.29"/>
    <m/>
    <n v="116.98708637317603"/>
    <n v="318.47604005907385"/>
    <n v="0"/>
    <n v="7913.3529299999991"/>
    <n v="0"/>
    <n v="10324.39526458221"/>
    <x v="0"/>
  </r>
  <r>
    <s v="Regular"/>
    <x v="0"/>
    <x v="0"/>
    <x v="0"/>
    <x v="0"/>
    <x v="1"/>
    <x v="0"/>
    <x v="0"/>
    <x v="0"/>
    <n v="0"/>
    <n v="0"/>
    <n v="9.7230000000000008"/>
    <n v="9.3340800000000002"/>
    <n v="9.7230000000000008"/>
    <n v="9.3340800000000002"/>
    <n v="0"/>
    <s v="CATIVO"/>
    <n v="0"/>
    <n v="0"/>
    <n v="2"/>
    <n v="74"/>
    <n v="0"/>
    <n v="93.48"/>
    <n v="240.29"/>
    <m/>
    <n v="116.98708637317603"/>
    <n v="318.47604005907385"/>
    <n v="0"/>
    <n v="129.80982840000019"/>
    <n v="0"/>
    <n v="169.3603191320309"/>
    <x v="1"/>
  </r>
  <r>
    <s v="Regular"/>
    <x v="0"/>
    <x v="0"/>
    <x v="0"/>
    <x v="0"/>
    <x v="1"/>
    <x v="0"/>
    <x v="0"/>
    <x v="1"/>
    <n v="0"/>
    <n v="0"/>
    <n v="5.8380000000000001"/>
    <n v="5.6044799999999997"/>
    <n v="5.8380000000000001"/>
    <n v="5.6044799999999997"/>
    <n v="0"/>
    <s v="CATIVO"/>
    <n v="0"/>
    <n v="0"/>
    <n v="2"/>
    <n v="74"/>
    <n v="0"/>
    <n v="93.48"/>
    <n v="240.29"/>
    <m/>
    <n v="116.98708637317603"/>
    <n v="318.47604005907385"/>
    <n v="0"/>
    <n v="77.94197040000013"/>
    <n v="0"/>
    <n v="101.68934928445915"/>
    <x v="1"/>
  </r>
  <r>
    <s v="Regular"/>
    <x v="0"/>
    <x v="0"/>
    <x v="0"/>
    <x v="0"/>
    <x v="1"/>
    <x v="0"/>
    <x v="0"/>
    <x v="2"/>
    <n v="0"/>
    <n v="0"/>
    <n v="11.494999999999999"/>
    <n v="11.0352"/>
    <n v="11.494999999999999"/>
    <n v="11.0352"/>
    <n v="0"/>
    <s v="CATIVO"/>
    <n v="0"/>
    <n v="0"/>
    <n v="2"/>
    <n v="74"/>
    <n v="0"/>
    <n v="93.48"/>
    <n v="240.29"/>
    <m/>
    <n v="116.98708637317603"/>
    <n v="318.47604005907385"/>
    <n v="0"/>
    <n v="153.46744599999985"/>
    <n v="0"/>
    <n v="200.2259455335483"/>
    <x v="1"/>
  </r>
  <r>
    <s v="Regular"/>
    <x v="0"/>
    <x v="0"/>
    <x v="0"/>
    <x v="0"/>
    <x v="1"/>
    <x v="0"/>
    <x v="0"/>
    <x v="3"/>
    <n v="0"/>
    <n v="0"/>
    <n v="26.024999999999999"/>
    <n v="24.984000000000002"/>
    <n v="26.024999999999999"/>
    <n v="24.984000000000002"/>
    <n v="0"/>
    <s v="CATIVO"/>
    <n v="0"/>
    <n v="0"/>
    <n v="2"/>
    <n v="74"/>
    <n v="0"/>
    <n v="93.48"/>
    <n v="240.29"/>
    <m/>
    <n v="116.98708637317603"/>
    <n v="318.47604005907385"/>
    <n v="0"/>
    <n v="347.45456999999891"/>
    <n v="0"/>
    <n v="453.31711461597075"/>
    <x v="1"/>
  </r>
  <r>
    <s v="Regular"/>
    <x v="0"/>
    <x v="0"/>
    <x v="0"/>
    <x v="0"/>
    <x v="1"/>
    <x v="0"/>
    <x v="0"/>
    <x v="4"/>
    <n v="0"/>
    <n v="0"/>
    <n v="25.484999999999999"/>
    <n v="24.465599999999998"/>
    <n v="25.484999999999999"/>
    <n v="24.465599999999998"/>
    <n v="0"/>
    <s v="CATIVO"/>
    <n v="0"/>
    <n v="0"/>
    <n v="2"/>
    <n v="74"/>
    <n v="0"/>
    <n v="93.48"/>
    <n v="240.29"/>
    <m/>
    <n v="116.98708637317603"/>
    <n v="318.47604005907385"/>
    <n v="0"/>
    <n v="340.24513800000034"/>
    <n v="0"/>
    <n v="443.91111108503594"/>
    <x v="1"/>
  </r>
  <r>
    <s v="Regular"/>
    <x v="0"/>
    <x v="0"/>
    <x v="0"/>
    <x v="0"/>
    <x v="1"/>
    <x v="0"/>
    <x v="0"/>
    <x v="5"/>
    <n v="0"/>
    <n v="0"/>
    <n v="23.448"/>
    <n v="22.510079999999999"/>
    <n v="23.448"/>
    <n v="22.510079999999999"/>
    <n v="0"/>
    <s v="CATIVO"/>
    <n v="0"/>
    <n v="0"/>
    <n v="2"/>
    <n v="74"/>
    <n v="0"/>
    <n v="93.48"/>
    <n v="240.29"/>
    <m/>
    <n v="116.98708637317603"/>
    <n v="318.47604005907385"/>
    <n v="0"/>
    <n v="313.04955840000059"/>
    <n v="0"/>
    <n v="408.42957554333663"/>
    <x v="1"/>
  </r>
  <r>
    <s v="Regular"/>
    <x v="0"/>
    <x v="0"/>
    <x v="0"/>
    <x v="0"/>
    <x v="1"/>
    <x v="0"/>
    <x v="0"/>
    <x v="6"/>
    <n v="0"/>
    <n v="0"/>
    <n v="12.372999999999999"/>
    <n v="11.878080000000001"/>
    <n v="12.372999999999999"/>
    <n v="11.878080000000001"/>
    <n v="0"/>
    <s v="CATIVO"/>
    <n v="0"/>
    <n v="0"/>
    <n v="2"/>
    <n v="74"/>
    <n v="0"/>
    <n v="93.48"/>
    <n v="240.29"/>
    <m/>
    <n v="116.98708637317603"/>
    <n v="318.47604005907385"/>
    <n v="0"/>
    <n v="165.18944839999955"/>
    <n v="0"/>
    <n v="215.51941053384854"/>
    <x v="1"/>
  </r>
  <r>
    <s v="Regular"/>
    <x v="0"/>
    <x v="0"/>
    <x v="0"/>
    <x v="0"/>
    <x v="1"/>
    <x v="0"/>
    <x v="0"/>
    <x v="7"/>
    <n v="0"/>
    <n v="0"/>
    <n v="10.742000000000001"/>
    <n v="10.31232"/>
    <n v="10.742000000000001"/>
    <n v="10.31232"/>
    <n v="0"/>
    <s v="CATIVO"/>
    <n v="0"/>
    <n v="0"/>
    <n v="2"/>
    <n v="74"/>
    <n v="0"/>
    <n v="93.48"/>
    <n v="240.29"/>
    <m/>
    <n v="116.98708637317603"/>
    <n v="318.47604005907385"/>
    <n v="0"/>
    <n v="143.41429360000041"/>
    <n v="0"/>
    <n v="187.10979616540965"/>
    <x v="1"/>
  </r>
  <r>
    <s v="Regular"/>
    <x v="0"/>
    <x v="0"/>
    <x v="0"/>
    <x v="0"/>
    <x v="1"/>
    <x v="0"/>
    <x v="0"/>
    <x v="8"/>
    <n v="0"/>
    <n v="0"/>
    <n v="7.7220000000000004"/>
    <n v="7.4131200000000002"/>
    <n v="7.7220000000000004"/>
    <n v="7.4131200000000002"/>
    <n v="0"/>
    <s v="CATIVO"/>
    <n v="0"/>
    <n v="0"/>
    <n v="2"/>
    <n v="74"/>
    <n v="0"/>
    <n v="93.48"/>
    <n v="240.29"/>
    <m/>
    <n v="116.98708637317603"/>
    <n v="318.47604005907385"/>
    <n v="0"/>
    <n v="103.09487760000009"/>
    <n v="0"/>
    <n v="134.50585049239345"/>
    <x v="1"/>
  </r>
  <r>
    <s v="Regular"/>
    <x v="0"/>
    <x v="0"/>
    <x v="0"/>
    <x v="0"/>
    <x v="1"/>
    <x v="0"/>
    <x v="0"/>
    <x v="9"/>
    <n v="0"/>
    <n v="0"/>
    <n v="13.231999999999999"/>
    <n v="12.702719999999999"/>
    <n v="13.231999999999999"/>
    <n v="12.702719999999999"/>
    <n v="0"/>
    <s v="CATIVO"/>
    <n v="0"/>
    <n v="0"/>
    <n v="2"/>
    <n v="74"/>
    <n v="0"/>
    <n v="93.48"/>
    <n v="240.29"/>
    <m/>
    <n v="116.98708637317603"/>
    <n v="318.47604005907385"/>
    <n v="0"/>
    <n v="176.65778559999998"/>
    <n v="0"/>
    <n v="230.48192355806123"/>
    <x v="1"/>
  </r>
  <r>
    <s v="Regular"/>
    <x v="0"/>
    <x v="0"/>
    <x v="0"/>
    <x v="0"/>
    <x v="1"/>
    <x v="0"/>
    <x v="0"/>
    <x v="10"/>
    <n v="0"/>
    <n v="0"/>
    <n v="8.24"/>
    <n v="7.9104000000000001"/>
    <n v="8.24"/>
    <n v="7.9104000000000001"/>
    <n v="0"/>
    <s v="CATIVO"/>
    <n v="0"/>
    <n v="0"/>
    <n v="2"/>
    <n v="74"/>
    <n v="0"/>
    <n v="93.48"/>
    <n v="240.29"/>
    <m/>
    <n v="116.98708637317603"/>
    <n v="318.47604005907385"/>
    <n v="0"/>
    <n v="110.01059200000005"/>
    <n v="0"/>
    <n v="143.52864647206962"/>
    <x v="1"/>
  </r>
  <r>
    <s v="Regular"/>
    <x v="0"/>
    <x v="0"/>
    <x v="0"/>
    <x v="0"/>
    <x v="1"/>
    <x v="0"/>
    <x v="0"/>
    <x v="11"/>
    <n v="0"/>
    <n v="0"/>
    <n v="38.784999999999997"/>
    <n v="37.233600000000003"/>
    <n v="38.784999999999997"/>
    <n v="37.233600000000003"/>
    <n v="0"/>
    <s v="CATIVO"/>
    <n v="0"/>
    <n v="0"/>
    <n v="2"/>
    <n v="74"/>
    <n v="0"/>
    <n v="93.48"/>
    <n v="240.29"/>
    <m/>
    <n v="116.98708637317603"/>
    <n v="318.47604005907385"/>
    <n v="0"/>
    <n v="517.81077799999798"/>
    <n v="0"/>
    <n v="675.57749434698985"/>
    <x v="1"/>
  </r>
  <r>
    <s v="Regular"/>
    <x v="0"/>
    <x v="0"/>
    <x v="0"/>
    <x v="0"/>
    <x v="1"/>
    <x v="0"/>
    <x v="1"/>
    <x v="0"/>
    <n v="217"/>
    <n v="208.32"/>
    <n v="0"/>
    <n v="0"/>
    <n v="0"/>
    <n v="0"/>
    <n v="2"/>
    <s v="CATIVO"/>
    <n v="0"/>
    <n v="50"/>
    <n v="0"/>
    <n v="0"/>
    <n v="74.41"/>
    <n v="0"/>
    <n v="0"/>
    <n v="79.663522858077684"/>
    <m/>
    <m/>
    <n v="645.87880000000052"/>
    <n v="0"/>
    <n v="691.47937840811483"/>
    <n v="0"/>
    <x v="1"/>
  </r>
  <r>
    <s v="Regular"/>
    <x v="0"/>
    <x v="0"/>
    <x v="0"/>
    <x v="0"/>
    <x v="1"/>
    <x v="0"/>
    <x v="1"/>
    <x v="1"/>
    <n v="226"/>
    <n v="216.96"/>
    <n v="0"/>
    <n v="0"/>
    <n v="0"/>
    <n v="0"/>
    <n v="2"/>
    <s v="CATIVO"/>
    <n v="0"/>
    <n v="50"/>
    <n v="0"/>
    <n v="0"/>
    <n v="74.41"/>
    <n v="0"/>
    <n v="0"/>
    <n v="79.663522858077684"/>
    <m/>
    <m/>
    <n v="672.66639999999938"/>
    <n v="0"/>
    <n v="720.15824663702165"/>
    <n v="0"/>
    <x v="1"/>
  </r>
  <r>
    <s v="Regular"/>
    <x v="0"/>
    <x v="0"/>
    <x v="0"/>
    <x v="0"/>
    <x v="1"/>
    <x v="0"/>
    <x v="1"/>
    <x v="2"/>
    <n v="224"/>
    <n v="215.04"/>
    <n v="0"/>
    <n v="0"/>
    <n v="0"/>
    <n v="0"/>
    <n v="2"/>
    <s v="CATIVO"/>
    <n v="0"/>
    <n v="50"/>
    <n v="0"/>
    <n v="0"/>
    <n v="74.41"/>
    <n v="0"/>
    <n v="0"/>
    <n v="79.663522858077684"/>
    <m/>
    <m/>
    <n v="666.71360000000061"/>
    <n v="0"/>
    <n v="713.78516480837663"/>
    <n v="0"/>
    <x v="1"/>
  </r>
  <r>
    <s v="Regular"/>
    <x v="0"/>
    <x v="0"/>
    <x v="0"/>
    <x v="0"/>
    <x v="1"/>
    <x v="0"/>
    <x v="1"/>
    <x v="3"/>
    <n v="230"/>
    <n v="220.8"/>
    <n v="0"/>
    <n v="0"/>
    <n v="0"/>
    <n v="0"/>
    <n v="2"/>
    <s v="CATIVO"/>
    <n v="0"/>
    <n v="50"/>
    <n v="0"/>
    <n v="0"/>
    <n v="74.41"/>
    <n v="0"/>
    <n v="0"/>
    <n v="79.663522858077684"/>
    <m/>
    <m/>
    <n v="684.57199999999909"/>
    <n v="0"/>
    <n v="732.90441029431383"/>
    <n v="0"/>
    <x v="1"/>
  </r>
  <r>
    <s v="Regular"/>
    <x v="0"/>
    <x v="0"/>
    <x v="0"/>
    <x v="0"/>
    <x v="1"/>
    <x v="0"/>
    <x v="1"/>
    <x v="4"/>
    <n v="272"/>
    <n v="261.12"/>
    <n v="0"/>
    <n v="0"/>
    <n v="0"/>
    <n v="0"/>
    <n v="2"/>
    <s v="CATIVO"/>
    <n v="0"/>
    <n v="50"/>
    <n v="0"/>
    <n v="0"/>
    <n v="74.41"/>
    <n v="0"/>
    <n v="0"/>
    <n v="79.663522858077684"/>
    <m/>
    <m/>
    <n v="809.58079999999961"/>
    <n v="0"/>
    <n v="866.7391286958848"/>
    <n v="0"/>
    <x v="1"/>
  </r>
  <r>
    <s v="Regular"/>
    <x v="0"/>
    <x v="0"/>
    <x v="0"/>
    <x v="0"/>
    <x v="1"/>
    <x v="0"/>
    <x v="1"/>
    <x v="5"/>
    <n v="272"/>
    <n v="261.12"/>
    <n v="0"/>
    <n v="0"/>
    <n v="0"/>
    <n v="0"/>
    <n v="2"/>
    <s v="CATIVO"/>
    <n v="0"/>
    <n v="50"/>
    <n v="0"/>
    <n v="0"/>
    <n v="74.41"/>
    <n v="0"/>
    <n v="0"/>
    <n v="79.663522858077684"/>
    <m/>
    <m/>
    <n v="809.58079999999961"/>
    <n v="0"/>
    <n v="866.7391286958848"/>
    <n v="0"/>
    <x v="1"/>
  </r>
  <r>
    <s v="Regular"/>
    <x v="0"/>
    <x v="0"/>
    <x v="0"/>
    <x v="0"/>
    <x v="1"/>
    <x v="0"/>
    <x v="1"/>
    <x v="6"/>
    <n v="269"/>
    <n v="258.24"/>
    <n v="0"/>
    <n v="0"/>
    <n v="0"/>
    <n v="0"/>
    <n v="2"/>
    <s v="CATIVO"/>
    <n v="0"/>
    <n v="50"/>
    <n v="0"/>
    <n v="0"/>
    <n v="74.41"/>
    <n v="0"/>
    <n v="0"/>
    <n v="79.663522858077684"/>
    <m/>
    <m/>
    <n v="800.65159999999923"/>
    <n v="0"/>
    <n v="857.17950595291518"/>
    <n v="0"/>
    <x v="1"/>
  </r>
  <r>
    <s v="Regular"/>
    <x v="0"/>
    <x v="0"/>
    <x v="0"/>
    <x v="0"/>
    <x v="1"/>
    <x v="0"/>
    <x v="1"/>
    <x v="7"/>
    <n v="273"/>
    <n v="262.08"/>
    <n v="0"/>
    <n v="0"/>
    <n v="0"/>
    <n v="0"/>
    <n v="2"/>
    <s v="CATIVO"/>
    <n v="0"/>
    <n v="50"/>
    <n v="0"/>
    <n v="0"/>
    <n v="74.41"/>
    <n v="0"/>
    <n v="0"/>
    <n v="79.663522858077684"/>
    <m/>
    <m/>
    <n v="812.5572000000011"/>
    <n v="0"/>
    <n v="869.92566961020952"/>
    <n v="0"/>
    <x v="1"/>
  </r>
  <r>
    <s v="Regular"/>
    <x v="0"/>
    <x v="0"/>
    <x v="0"/>
    <x v="0"/>
    <x v="1"/>
    <x v="0"/>
    <x v="1"/>
    <x v="8"/>
    <n v="269"/>
    <n v="258.24"/>
    <n v="0"/>
    <n v="0"/>
    <n v="0"/>
    <n v="0"/>
    <n v="2"/>
    <s v="CATIVO"/>
    <n v="0"/>
    <n v="50"/>
    <n v="0"/>
    <n v="0"/>
    <n v="74.41"/>
    <n v="0"/>
    <n v="0"/>
    <n v="79.663522858077684"/>
    <m/>
    <m/>
    <n v="800.65159999999923"/>
    <n v="0"/>
    <n v="857.17950595291518"/>
    <n v="0"/>
    <x v="1"/>
  </r>
  <r>
    <s v="Regular"/>
    <x v="0"/>
    <x v="0"/>
    <x v="0"/>
    <x v="0"/>
    <x v="1"/>
    <x v="0"/>
    <x v="1"/>
    <x v="9"/>
    <n v="269"/>
    <n v="258.24"/>
    <n v="0"/>
    <n v="0"/>
    <n v="0"/>
    <n v="0"/>
    <n v="2"/>
    <s v="CATIVO"/>
    <n v="0"/>
    <n v="50"/>
    <n v="0"/>
    <n v="0"/>
    <n v="74.41"/>
    <n v="0"/>
    <n v="0"/>
    <n v="79.663522858077684"/>
    <m/>
    <m/>
    <n v="800.65159999999923"/>
    <n v="0"/>
    <n v="857.17950595291518"/>
    <n v="0"/>
    <x v="1"/>
  </r>
  <r>
    <s v="Regular"/>
    <x v="0"/>
    <x v="0"/>
    <x v="0"/>
    <x v="0"/>
    <x v="1"/>
    <x v="0"/>
    <x v="1"/>
    <x v="10"/>
    <n v="269"/>
    <n v="258.24"/>
    <n v="0"/>
    <n v="0"/>
    <n v="0"/>
    <n v="0"/>
    <n v="2"/>
    <s v="CATIVO"/>
    <n v="0"/>
    <n v="50"/>
    <n v="0"/>
    <n v="0"/>
    <n v="74.41"/>
    <n v="0"/>
    <n v="0"/>
    <n v="79.663522858077684"/>
    <m/>
    <m/>
    <n v="800.65159999999923"/>
    <n v="0"/>
    <n v="857.17950595291518"/>
    <n v="0"/>
    <x v="1"/>
  </r>
  <r>
    <s v="Regular"/>
    <x v="0"/>
    <x v="0"/>
    <x v="0"/>
    <x v="0"/>
    <x v="1"/>
    <x v="0"/>
    <x v="1"/>
    <x v="11"/>
    <n v="274"/>
    <n v="263.04000000000002"/>
    <n v="0"/>
    <n v="0"/>
    <n v="0"/>
    <n v="0"/>
    <n v="2"/>
    <s v="CATIVO"/>
    <n v="0"/>
    <n v="50"/>
    <n v="0"/>
    <n v="0"/>
    <n v="74.41"/>
    <n v="0"/>
    <n v="0"/>
    <n v="79.663522858077684"/>
    <m/>
    <m/>
    <n v="815.53359999999839"/>
    <n v="0"/>
    <n v="873.11221052452981"/>
    <n v="0"/>
    <x v="1"/>
  </r>
  <r>
    <s v="Regular"/>
    <x v="0"/>
    <x v="0"/>
    <x v="0"/>
    <x v="0"/>
    <x v="1"/>
    <x v="0"/>
    <x v="2"/>
    <x v="0"/>
    <n v="0"/>
    <n v="0"/>
    <n v="0.34200000000000003"/>
    <n v="0.32832"/>
    <n v="0.34200000000000003"/>
    <n v="0.32832"/>
    <n v="0"/>
    <s v="CATIVO"/>
    <n v="0"/>
    <n v="0"/>
    <n v="1"/>
    <n v="73"/>
    <n v="0"/>
    <n v="4589.68"/>
    <n v="240.29"/>
    <m/>
    <n v="4970.2414810692699"/>
    <n v="318.47604005907385"/>
    <n v="0"/>
    <n v="66.073989600000118"/>
    <n v="0"/>
    <n v="72.34965568903587"/>
    <x v="1"/>
  </r>
  <r>
    <s v="Regular"/>
    <x v="0"/>
    <x v="0"/>
    <x v="0"/>
    <x v="0"/>
    <x v="1"/>
    <x v="0"/>
    <x v="2"/>
    <x v="1"/>
    <n v="0"/>
    <n v="0"/>
    <n v="0.33"/>
    <n v="0.31680000000000003"/>
    <n v="0.33"/>
    <n v="0.31680000000000003"/>
    <n v="0"/>
    <s v="CATIVO"/>
    <n v="0"/>
    <n v="0"/>
    <n v="1"/>
    <n v="73"/>
    <n v="0"/>
    <n v="4589.68"/>
    <n v="240.29"/>
    <m/>
    <n v="4970.2414810692699"/>
    <n v="318.47604005907385"/>
    <n v="0"/>
    <n v="63.755603999999956"/>
    <n v="0"/>
    <n v="69.811071278894076"/>
    <x v="1"/>
  </r>
  <r>
    <s v="Regular"/>
    <x v="0"/>
    <x v="0"/>
    <x v="0"/>
    <x v="0"/>
    <x v="1"/>
    <x v="0"/>
    <x v="2"/>
    <x v="2"/>
    <n v="0"/>
    <n v="0"/>
    <n v="0.375"/>
    <n v="0.36"/>
    <n v="0.375"/>
    <n v="0.36"/>
    <n v="0"/>
    <s v="CATIVO"/>
    <n v="0"/>
    <n v="0"/>
    <n v="1"/>
    <n v="73"/>
    <n v="0"/>
    <n v="4589.68"/>
    <n v="240.29"/>
    <m/>
    <n v="4970.2414810692699"/>
    <n v="318.47604005907385"/>
    <n v="0"/>
    <n v="72.449550000000059"/>
    <n v="0"/>
    <n v="79.33076281692523"/>
    <x v="1"/>
  </r>
  <r>
    <s v="Regular"/>
    <x v="0"/>
    <x v="0"/>
    <x v="0"/>
    <x v="0"/>
    <x v="1"/>
    <x v="0"/>
    <x v="2"/>
    <x v="3"/>
    <n v="0"/>
    <n v="0"/>
    <n v="0.42399999999999999"/>
    <n v="0.40704000000000001"/>
    <n v="0.42399999999999999"/>
    <n v="0.40704000000000001"/>
    <n v="0"/>
    <s v="CATIVO"/>
    <n v="0"/>
    <n v="0"/>
    <n v="1"/>
    <n v="73"/>
    <n v="0"/>
    <n v="4589.68"/>
    <n v="240.29"/>
    <m/>
    <n v="4970.2414810692699"/>
    <n v="318.47604005907385"/>
    <n v="0"/>
    <n v="81.91629119999989"/>
    <n v="0"/>
    <n v="89.696649158336584"/>
    <x v="1"/>
  </r>
  <r>
    <s v="Regular"/>
    <x v="0"/>
    <x v="0"/>
    <x v="0"/>
    <x v="0"/>
    <x v="1"/>
    <x v="0"/>
    <x v="2"/>
    <x v="4"/>
    <n v="0"/>
    <n v="0"/>
    <n v="0.45700000000000002"/>
    <n v="0.43872"/>
    <n v="0.45700000000000002"/>
    <n v="0.43872"/>
    <n v="0"/>
    <s v="CATIVO"/>
    <n v="0"/>
    <n v="0"/>
    <n v="1"/>
    <n v="73"/>
    <n v="0"/>
    <n v="4589.68"/>
    <n v="240.29"/>
    <m/>
    <n v="4970.2414810692699"/>
    <n v="318.47604005907385"/>
    <n v="0"/>
    <n v="88.291851600000086"/>
    <n v="0"/>
    <n v="96.677756286226213"/>
    <x v="1"/>
  </r>
  <r>
    <s v="Regular"/>
    <x v="0"/>
    <x v="0"/>
    <x v="0"/>
    <x v="0"/>
    <x v="1"/>
    <x v="0"/>
    <x v="2"/>
    <x v="5"/>
    <n v="0"/>
    <n v="0"/>
    <n v="0.39700000000000002"/>
    <n v="0.38112000000000001"/>
    <n v="0.39700000000000002"/>
    <n v="0.38112000000000001"/>
    <n v="0"/>
    <s v="CATIVO"/>
    <n v="0"/>
    <n v="0"/>
    <n v="1"/>
    <n v="73"/>
    <n v="0"/>
    <n v="4589.68"/>
    <n v="240.29"/>
    <m/>
    <n v="4970.2414810692699"/>
    <n v="318.47604005907385"/>
    <n v="0"/>
    <n v="76.699923600000034"/>
    <n v="0"/>
    <n v="83.984834235518122"/>
    <x v="1"/>
  </r>
  <r>
    <s v="Regular"/>
    <x v="0"/>
    <x v="0"/>
    <x v="0"/>
    <x v="0"/>
    <x v="1"/>
    <x v="0"/>
    <x v="2"/>
    <x v="6"/>
    <n v="0"/>
    <n v="0"/>
    <n v="0.35099999999999998"/>
    <n v="0.33695999999999998"/>
    <n v="0.35099999999999998"/>
    <n v="0.33695999999999998"/>
    <n v="0"/>
    <s v="CATIVO"/>
    <n v="0"/>
    <n v="0"/>
    <n v="1"/>
    <n v="73"/>
    <n v="0"/>
    <n v="4589.68"/>
    <n v="240.29"/>
    <m/>
    <n v="4970.2414810692699"/>
    <n v="318.47604005907385"/>
    <n v="0"/>
    <n v="67.81277879999999"/>
    <n v="0"/>
    <n v="74.253593996641925"/>
    <x v="1"/>
  </r>
  <r>
    <s v="Regular"/>
    <x v="0"/>
    <x v="0"/>
    <x v="0"/>
    <x v="0"/>
    <x v="1"/>
    <x v="0"/>
    <x v="2"/>
    <x v="7"/>
    <n v="0"/>
    <n v="0"/>
    <n v="0.39700000000000002"/>
    <n v="0.38112000000000001"/>
    <n v="0.39700000000000002"/>
    <n v="0.38112000000000001"/>
    <n v="0"/>
    <s v="CATIVO"/>
    <n v="0"/>
    <n v="0"/>
    <n v="1"/>
    <n v="73"/>
    <n v="0"/>
    <n v="4589.68"/>
    <n v="240.29"/>
    <m/>
    <n v="4970.2414810692699"/>
    <n v="318.47604005907385"/>
    <n v="0"/>
    <n v="76.699923600000034"/>
    <n v="0"/>
    <n v="83.984834235518122"/>
    <x v="1"/>
  </r>
  <r>
    <s v="Regular"/>
    <x v="0"/>
    <x v="0"/>
    <x v="0"/>
    <x v="0"/>
    <x v="1"/>
    <x v="0"/>
    <x v="2"/>
    <x v="8"/>
    <n v="0"/>
    <n v="0"/>
    <n v="0.39500000000000002"/>
    <n v="0.37919999999999998"/>
    <n v="0.39500000000000002"/>
    <n v="0.37919999999999998"/>
    <n v="0"/>
    <s v="CATIVO"/>
    <n v="0"/>
    <n v="0"/>
    <n v="1"/>
    <n v="73"/>
    <n v="0"/>
    <n v="4589.68"/>
    <n v="240.29"/>
    <m/>
    <n v="4970.2414810692699"/>
    <n v="318.47604005907385"/>
    <n v="0"/>
    <n v="76.313526000000181"/>
    <n v="0"/>
    <n v="83.561736833828022"/>
    <x v="1"/>
  </r>
  <r>
    <s v="Regular"/>
    <x v="0"/>
    <x v="0"/>
    <x v="0"/>
    <x v="0"/>
    <x v="1"/>
    <x v="0"/>
    <x v="2"/>
    <x v="9"/>
    <n v="0"/>
    <n v="0"/>
    <n v="0.40300000000000002"/>
    <n v="0.38688"/>
    <n v="0.40300000000000002"/>
    <n v="0.38688"/>
    <n v="0"/>
    <s v="CATIVO"/>
    <n v="0"/>
    <n v="0"/>
    <n v="1"/>
    <n v="73"/>
    <n v="0"/>
    <n v="4589.68"/>
    <n v="240.29"/>
    <m/>
    <n v="4970.2414810692699"/>
    <n v="318.47604005907385"/>
    <n v="0"/>
    <n v="77.859116400000119"/>
    <n v="0"/>
    <n v="85.254126440589019"/>
    <x v="1"/>
  </r>
  <r>
    <s v="Regular"/>
    <x v="0"/>
    <x v="0"/>
    <x v="0"/>
    <x v="0"/>
    <x v="1"/>
    <x v="0"/>
    <x v="2"/>
    <x v="10"/>
    <n v="0"/>
    <n v="0"/>
    <n v="0.65700000000000003"/>
    <n v="0.63071999999999995"/>
    <n v="0.65700000000000003"/>
    <n v="0.63071999999999995"/>
    <n v="0"/>
    <s v="CATIVO"/>
    <n v="0"/>
    <n v="0"/>
    <n v="1"/>
    <n v="73"/>
    <n v="0"/>
    <n v="4589.68"/>
    <n v="240.29"/>
    <m/>
    <n v="4970.2414810692699"/>
    <n v="318.47604005907385"/>
    <n v="0"/>
    <n v="126.93161160000041"/>
    <n v="0"/>
    <n v="138.98749645525331"/>
    <x v="1"/>
  </r>
  <r>
    <s v="Regular"/>
    <x v="0"/>
    <x v="0"/>
    <x v="0"/>
    <x v="0"/>
    <x v="1"/>
    <x v="0"/>
    <x v="2"/>
    <x v="11"/>
    <n v="0"/>
    <n v="0"/>
    <n v="0.46300000000000002"/>
    <n v="0.44447999999999999"/>
    <n v="0.46300000000000002"/>
    <n v="0.44447999999999999"/>
    <n v="0"/>
    <s v="CATIVO"/>
    <n v="0"/>
    <n v="0"/>
    <n v="1"/>
    <n v="73"/>
    <n v="0"/>
    <n v="4589.68"/>
    <n v="240.29"/>
    <m/>
    <n v="4970.2414810692699"/>
    <n v="318.47604005907385"/>
    <n v="0"/>
    <n v="89.451044400000185"/>
    <n v="0"/>
    <n v="97.947048491297124"/>
    <x v="1"/>
  </r>
  <r>
    <s v="Regular"/>
    <x v="0"/>
    <x v="0"/>
    <x v="1"/>
    <x v="1"/>
    <x v="1"/>
    <x v="0"/>
    <x v="0"/>
    <x v="0"/>
    <n v="0"/>
    <n v="0"/>
    <n v="14.141"/>
    <n v="13.292539999999999"/>
    <n v="14.141"/>
    <n v="13.292539999999999"/>
    <n v="0"/>
    <s v="CATIVO"/>
    <n v="0"/>
    <n v="0"/>
    <n v="2"/>
    <n v="74"/>
    <n v="0"/>
    <n v="93.48"/>
    <n v="240.29"/>
    <m/>
    <n v="116.98708637317603"/>
    <n v="318.47604005907385"/>
    <n v="0"/>
    <n v="283.19049420000033"/>
    <n v="0"/>
    <n v="369.47304425270721"/>
    <x v="2"/>
  </r>
  <r>
    <s v="Regular"/>
    <x v="0"/>
    <x v="0"/>
    <x v="1"/>
    <x v="1"/>
    <x v="1"/>
    <x v="0"/>
    <x v="0"/>
    <x v="1"/>
    <n v="0"/>
    <n v="0"/>
    <n v="16.791"/>
    <n v="15.78354"/>
    <n v="16.791"/>
    <n v="15.78354"/>
    <n v="0"/>
    <s v="CATIVO"/>
    <n v="0"/>
    <n v="0"/>
    <n v="2"/>
    <n v="74"/>
    <n v="0"/>
    <n v="93.48"/>
    <n v="240.29"/>
    <m/>
    <n v="116.98708637317603"/>
    <n v="318.47604005907385"/>
    <n v="0"/>
    <n v="336.2599242"/>
    <n v="0"/>
    <n v="438.71168135543451"/>
    <x v="2"/>
  </r>
  <r>
    <s v="Regular"/>
    <x v="0"/>
    <x v="0"/>
    <x v="1"/>
    <x v="1"/>
    <x v="1"/>
    <x v="0"/>
    <x v="0"/>
    <x v="2"/>
    <n v="0"/>
    <n v="0"/>
    <n v="17.077000000000002"/>
    <n v="16.052379999999999"/>
    <n v="17.077000000000002"/>
    <n v="16.052379999999999"/>
    <n v="0"/>
    <s v="CATIVO"/>
    <n v="0"/>
    <n v="0"/>
    <n v="2"/>
    <n v="74"/>
    <n v="0"/>
    <n v="93.48"/>
    <n v="240.29"/>
    <m/>
    <n v="116.98708637317603"/>
    <n v="318.47604005907385"/>
    <n v="0"/>
    <n v="341.98741740000077"/>
    <n v="0"/>
    <n v="446.18422860501289"/>
    <x v="2"/>
  </r>
  <r>
    <s v="Regular"/>
    <x v="0"/>
    <x v="0"/>
    <x v="1"/>
    <x v="1"/>
    <x v="1"/>
    <x v="0"/>
    <x v="0"/>
    <x v="3"/>
    <n v="0"/>
    <n v="0"/>
    <n v="18.006"/>
    <n v="16.925640000000001"/>
    <n v="18.006"/>
    <n v="16.925640000000001"/>
    <n v="0"/>
    <s v="CATIVO"/>
    <n v="0"/>
    <n v="0"/>
    <n v="2"/>
    <n v="74"/>
    <n v="0"/>
    <n v="93.48"/>
    <n v="240.29"/>
    <m/>
    <n v="116.98708637317603"/>
    <n v="318.47604005907385"/>
    <n v="0"/>
    <n v="360.59175719999962"/>
    <n v="0"/>
    <n v="470.45694327234497"/>
    <x v="2"/>
  </r>
  <r>
    <s v="Regular"/>
    <x v="0"/>
    <x v="0"/>
    <x v="1"/>
    <x v="1"/>
    <x v="1"/>
    <x v="0"/>
    <x v="0"/>
    <x v="4"/>
    <n v="0"/>
    <n v="0"/>
    <n v="17.623999999999999"/>
    <n v="16.566559999999999"/>
    <n v="17.623999999999999"/>
    <n v="16.566559999999999"/>
    <n v="0"/>
    <s v="CATIVO"/>
    <n v="0"/>
    <n v="0"/>
    <n v="2"/>
    <n v="74"/>
    <n v="0"/>
    <n v="93.48"/>
    <n v="240.29"/>
    <m/>
    <n v="116.98708637317603"/>
    <n v="318.47604005907385"/>
    <n v="0"/>
    <n v="352.94174879999991"/>
    <n v="0"/>
    <n v="460.47612841451814"/>
    <x v="2"/>
  </r>
  <r>
    <s v="Regular"/>
    <x v="0"/>
    <x v="0"/>
    <x v="1"/>
    <x v="1"/>
    <x v="1"/>
    <x v="0"/>
    <x v="0"/>
    <x v="5"/>
    <n v="0"/>
    <n v="0"/>
    <n v="16.919"/>
    <n v="15.90386"/>
    <n v="16.919"/>
    <n v="15.90386"/>
    <n v="0"/>
    <s v="CATIVO"/>
    <n v="0"/>
    <n v="0"/>
    <n v="2"/>
    <n v="74"/>
    <n v="0"/>
    <n v="93.48"/>
    <n v="240.29"/>
    <m/>
    <n v="116.98708637317603"/>
    <n v="318.47604005907385"/>
    <n v="0"/>
    <n v="338.8232778000002"/>
    <n v="0"/>
    <n v="442.0560381664344"/>
    <x v="2"/>
  </r>
  <r>
    <s v="Regular"/>
    <x v="0"/>
    <x v="0"/>
    <x v="1"/>
    <x v="1"/>
    <x v="1"/>
    <x v="0"/>
    <x v="0"/>
    <x v="6"/>
    <n v="0"/>
    <n v="0"/>
    <n v="17.405000000000001"/>
    <n v="16.360700000000001"/>
    <n v="17.405000000000001"/>
    <n v="16.360700000000001"/>
    <n v="0"/>
    <s v="CATIVO"/>
    <n v="0"/>
    <n v="0"/>
    <n v="2"/>
    <n v="74"/>
    <n v="0"/>
    <n v="93.48"/>
    <n v="240.29"/>
    <m/>
    <n v="116.98708637317603"/>
    <n v="318.47604005907385"/>
    <n v="0"/>
    <n v="348.5560109999999"/>
    <n v="0"/>
    <n v="454.75414293319847"/>
    <x v="2"/>
  </r>
  <r>
    <s v="Regular"/>
    <x v="0"/>
    <x v="0"/>
    <x v="1"/>
    <x v="1"/>
    <x v="1"/>
    <x v="0"/>
    <x v="0"/>
    <x v="7"/>
    <n v="0"/>
    <n v="0"/>
    <n v="17.268000000000001"/>
    <n v="16.231919999999999"/>
    <n v="17.268000000000001"/>
    <n v="16.231919999999999"/>
    <n v="0"/>
    <s v="CATIVO"/>
    <n v="0"/>
    <n v="0"/>
    <n v="2"/>
    <n v="74"/>
    <n v="0"/>
    <n v="93.48"/>
    <n v="240.29"/>
    <m/>
    <n v="116.98708637317603"/>
    <n v="318.47604005907385"/>
    <n v="0"/>
    <n v="345.81242160000062"/>
    <n v="0"/>
    <n v="451.17463603392628"/>
    <x v="2"/>
  </r>
  <r>
    <s v="Regular"/>
    <x v="0"/>
    <x v="0"/>
    <x v="1"/>
    <x v="1"/>
    <x v="1"/>
    <x v="0"/>
    <x v="0"/>
    <x v="8"/>
    <n v="0"/>
    <n v="0"/>
    <n v="16.783999999999999"/>
    <n v="15.776960000000001"/>
    <n v="16.783999999999999"/>
    <n v="15.776960000000001"/>
    <n v="0"/>
    <s v="CATIVO"/>
    <n v="0"/>
    <n v="0"/>
    <n v="2"/>
    <n v="74"/>
    <n v="0"/>
    <n v="93.48"/>
    <n v="240.29"/>
    <m/>
    <n v="116.98708637317603"/>
    <n v="318.47604005907385"/>
    <n v="0"/>
    <n v="336.11974079999936"/>
    <n v="0"/>
    <n v="438.52878684233212"/>
    <x v="2"/>
  </r>
  <r>
    <s v="Regular"/>
    <x v="0"/>
    <x v="0"/>
    <x v="1"/>
    <x v="1"/>
    <x v="1"/>
    <x v="0"/>
    <x v="0"/>
    <x v="9"/>
    <n v="0"/>
    <n v="0"/>
    <n v="17.085000000000001"/>
    <n v="16.059899999999999"/>
    <n v="17.085000000000001"/>
    <n v="16.059899999999999"/>
    <n v="0"/>
    <s v="CATIVO"/>
    <n v="0"/>
    <n v="0"/>
    <n v="2"/>
    <n v="74"/>
    <n v="0"/>
    <n v="93.48"/>
    <n v="240.29"/>
    <m/>
    <n v="116.98708637317603"/>
    <n v="318.47604005907385"/>
    <n v="0"/>
    <n v="342.14762700000063"/>
    <n v="0"/>
    <n v="446.39325090570014"/>
    <x v="2"/>
  </r>
  <r>
    <s v="Regular"/>
    <x v="0"/>
    <x v="0"/>
    <x v="1"/>
    <x v="1"/>
    <x v="1"/>
    <x v="0"/>
    <x v="0"/>
    <x v="10"/>
    <n v="0"/>
    <n v="0"/>
    <n v="16.117999999999999"/>
    <n v="15.150919999999999"/>
    <n v="16.117999999999999"/>
    <n v="15.150919999999999"/>
    <n v="0"/>
    <s v="CATIVO"/>
    <n v="0"/>
    <n v="0"/>
    <n v="2"/>
    <n v="74"/>
    <n v="0"/>
    <n v="93.48"/>
    <n v="240.29"/>
    <m/>
    <n v="116.98708637317603"/>
    <n v="318.47604005907385"/>
    <n v="0"/>
    <n v="322.78229159999972"/>
    <n v="0"/>
    <n v="421.12768031009989"/>
    <x v="2"/>
  </r>
  <r>
    <s v="Regular"/>
    <x v="0"/>
    <x v="0"/>
    <x v="1"/>
    <x v="1"/>
    <x v="1"/>
    <x v="0"/>
    <x v="0"/>
    <x v="11"/>
    <n v="0"/>
    <n v="0"/>
    <n v="17.745999999999999"/>
    <n v="16.681239999999999"/>
    <n v="17.745999999999999"/>
    <n v="16.681239999999999"/>
    <n v="0"/>
    <s v="CATIVO"/>
    <n v="0"/>
    <n v="0"/>
    <n v="2"/>
    <n v="74"/>
    <n v="0"/>
    <n v="93.48"/>
    <n v="240.29"/>
    <m/>
    <n v="116.98708637317603"/>
    <n v="318.47604005907385"/>
    <n v="0"/>
    <n v="355.38494519999989"/>
    <n v="0"/>
    <n v="463.66371850000229"/>
    <x v="2"/>
  </r>
  <r>
    <s v="Regular"/>
    <x v="0"/>
    <x v="0"/>
    <x v="1"/>
    <x v="1"/>
    <x v="1"/>
    <x v="0"/>
    <x v="1"/>
    <x v="0"/>
    <n v="58"/>
    <n v="49.3"/>
    <n v="0"/>
    <n v="0"/>
    <n v="0"/>
    <n v="0"/>
    <n v="1"/>
    <s v="CATIVO"/>
    <n v="0"/>
    <n v="50"/>
    <n v="0"/>
    <n v="0"/>
    <n v="74.41"/>
    <n v="0"/>
    <n v="0"/>
    <n v="79.663522858077684"/>
    <m/>
    <m/>
    <n v="647.36700000000019"/>
    <n v="0"/>
    <n v="693.07264886527605"/>
    <n v="0"/>
    <x v="2"/>
  </r>
  <r>
    <s v="Regular"/>
    <x v="0"/>
    <x v="0"/>
    <x v="1"/>
    <x v="1"/>
    <x v="1"/>
    <x v="0"/>
    <x v="1"/>
    <x v="1"/>
    <n v="58"/>
    <n v="49.3"/>
    <n v="0"/>
    <n v="0"/>
    <n v="0"/>
    <n v="0"/>
    <n v="1"/>
    <s v="CATIVO"/>
    <n v="0"/>
    <n v="50"/>
    <n v="0"/>
    <n v="0"/>
    <n v="74.41"/>
    <n v="0"/>
    <n v="0"/>
    <n v="79.663522858077684"/>
    <m/>
    <m/>
    <n v="647.36700000000019"/>
    <n v="0"/>
    <n v="693.07264886527605"/>
    <n v="0"/>
    <x v="2"/>
  </r>
  <r>
    <s v="Regular"/>
    <x v="0"/>
    <x v="0"/>
    <x v="1"/>
    <x v="1"/>
    <x v="1"/>
    <x v="0"/>
    <x v="1"/>
    <x v="2"/>
    <n v="58"/>
    <n v="49.3"/>
    <n v="0"/>
    <n v="0"/>
    <n v="0"/>
    <n v="0"/>
    <n v="1"/>
    <s v="CATIVO"/>
    <n v="0"/>
    <n v="50"/>
    <n v="0"/>
    <n v="0"/>
    <n v="74.41"/>
    <n v="0"/>
    <n v="0"/>
    <n v="79.663522858077684"/>
    <m/>
    <m/>
    <n v="647.36700000000019"/>
    <n v="0"/>
    <n v="693.07264886527605"/>
    <n v="0"/>
    <x v="2"/>
  </r>
  <r>
    <s v="Regular"/>
    <x v="0"/>
    <x v="0"/>
    <x v="1"/>
    <x v="1"/>
    <x v="1"/>
    <x v="0"/>
    <x v="1"/>
    <x v="3"/>
    <n v="58"/>
    <n v="49.3"/>
    <n v="0"/>
    <n v="0"/>
    <n v="0"/>
    <n v="0"/>
    <n v="1"/>
    <s v="CATIVO"/>
    <n v="0"/>
    <n v="50"/>
    <n v="0"/>
    <n v="0"/>
    <n v="74.41"/>
    <n v="0"/>
    <n v="0"/>
    <n v="79.663522858077684"/>
    <m/>
    <m/>
    <n v="647.36700000000019"/>
    <n v="0"/>
    <n v="693.07264886527605"/>
    <n v="0"/>
    <x v="2"/>
  </r>
  <r>
    <s v="Regular"/>
    <x v="0"/>
    <x v="0"/>
    <x v="1"/>
    <x v="1"/>
    <x v="1"/>
    <x v="0"/>
    <x v="1"/>
    <x v="4"/>
    <n v="58"/>
    <n v="49.3"/>
    <n v="0"/>
    <n v="0"/>
    <n v="0"/>
    <n v="0"/>
    <n v="1"/>
    <s v="CATIVO"/>
    <n v="0"/>
    <n v="50"/>
    <n v="0"/>
    <n v="0"/>
    <n v="74.41"/>
    <n v="0"/>
    <n v="0"/>
    <n v="79.663522858077684"/>
    <m/>
    <m/>
    <n v="647.36700000000019"/>
    <n v="0"/>
    <n v="693.07264886527605"/>
    <n v="0"/>
    <x v="2"/>
  </r>
  <r>
    <s v="Regular"/>
    <x v="0"/>
    <x v="0"/>
    <x v="1"/>
    <x v="1"/>
    <x v="1"/>
    <x v="0"/>
    <x v="1"/>
    <x v="5"/>
    <n v="58"/>
    <n v="49.3"/>
    <n v="0"/>
    <n v="0"/>
    <n v="0"/>
    <n v="0"/>
    <n v="1"/>
    <s v="CATIVO"/>
    <n v="0"/>
    <n v="50"/>
    <n v="0"/>
    <n v="0"/>
    <n v="74.41"/>
    <n v="0"/>
    <n v="0"/>
    <n v="79.663522858077684"/>
    <m/>
    <m/>
    <n v="647.36700000000019"/>
    <n v="0"/>
    <n v="693.07264886527605"/>
    <n v="0"/>
    <x v="2"/>
  </r>
  <r>
    <s v="Regular"/>
    <x v="0"/>
    <x v="0"/>
    <x v="1"/>
    <x v="1"/>
    <x v="1"/>
    <x v="0"/>
    <x v="1"/>
    <x v="6"/>
    <n v="58"/>
    <n v="49.3"/>
    <n v="0"/>
    <n v="0"/>
    <n v="0"/>
    <n v="0"/>
    <n v="1"/>
    <s v="CATIVO"/>
    <n v="0"/>
    <n v="50"/>
    <n v="0"/>
    <n v="0"/>
    <n v="74.41"/>
    <n v="0"/>
    <n v="0"/>
    <n v="79.663522858077684"/>
    <m/>
    <m/>
    <n v="647.36700000000019"/>
    <n v="0"/>
    <n v="693.07264886527605"/>
    <n v="0"/>
    <x v="2"/>
  </r>
  <r>
    <s v="Regular"/>
    <x v="0"/>
    <x v="0"/>
    <x v="1"/>
    <x v="1"/>
    <x v="1"/>
    <x v="0"/>
    <x v="1"/>
    <x v="7"/>
    <n v="58"/>
    <n v="49.3"/>
    <n v="0"/>
    <n v="0"/>
    <n v="0"/>
    <n v="0"/>
    <n v="1"/>
    <s v="CATIVO"/>
    <n v="0"/>
    <n v="50"/>
    <n v="0"/>
    <n v="0"/>
    <n v="74.41"/>
    <n v="0"/>
    <n v="0"/>
    <n v="79.663522858077684"/>
    <m/>
    <m/>
    <n v="647.36700000000019"/>
    <n v="0"/>
    <n v="693.07264886527605"/>
    <n v="0"/>
    <x v="2"/>
  </r>
  <r>
    <s v="Regular"/>
    <x v="0"/>
    <x v="0"/>
    <x v="1"/>
    <x v="1"/>
    <x v="1"/>
    <x v="0"/>
    <x v="1"/>
    <x v="8"/>
    <n v="58"/>
    <n v="49.3"/>
    <n v="0"/>
    <n v="0"/>
    <n v="0"/>
    <n v="0"/>
    <n v="1"/>
    <s v="CATIVO"/>
    <n v="0"/>
    <n v="50"/>
    <n v="0"/>
    <n v="0"/>
    <n v="74.41"/>
    <n v="0"/>
    <n v="0"/>
    <n v="79.663522858077684"/>
    <m/>
    <m/>
    <n v="647.36700000000019"/>
    <n v="0"/>
    <n v="693.07264886527605"/>
    <n v="0"/>
    <x v="2"/>
  </r>
  <r>
    <s v="Regular"/>
    <x v="0"/>
    <x v="0"/>
    <x v="1"/>
    <x v="1"/>
    <x v="1"/>
    <x v="0"/>
    <x v="1"/>
    <x v="9"/>
    <n v="58"/>
    <n v="49.3"/>
    <n v="0"/>
    <n v="0"/>
    <n v="0"/>
    <n v="0"/>
    <n v="1"/>
    <s v="CATIVO"/>
    <n v="0"/>
    <n v="50"/>
    <n v="0"/>
    <n v="0"/>
    <n v="74.41"/>
    <n v="0"/>
    <n v="0"/>
    <n v="79.663522858077684"/>
    <m/>
    <m/>
    <n v="647.36700000000019"/>
    <n v="0"/>
    <n v="693.07264886527605"/>
    <n v="0"/>
    <x v="2"/>
  </r>
  <r>
    <s v="Regular"/>
    <x v="0"/>
    <x v="0"/>
    <x v="1"/>
    <x v="1"/>
    <x v="1"/>
    <x v="0"/>
    <x v="1"/>
    <x v="10"/>
    <n v="58"/>
    <n v="49.3"/>
    <n v="0"/>
    <n v="0"/>
    <n v="0"/>
    <n v="0"/>
    <n v="1"/>
    <s v="CATIVO"/>
    <n v="0"/>
    <n v="50"/>
    <n v="0"/>
    <n v="0"/>
    <n v="74.41"/>
    <n v="0"/>
    <n v="0"/>
    <n v="79.663522858077684"/>
    <m/>
    <m/>
    <n v="647.36700000000019"/>
    <n v="0"/>
    <n v="693.07264886527605"/>
    <n v="0"/>
    <x v="2"/>
  </r>
  <r>
    <s v="Regular"/>
    <x v="0"/>
    <x v="0"/>
    <x v="1"/>
    <x v="1"/>
    <x v="1"/>
    <x v="0"/>
    <x v="1"/>
    <x v="11"/>
    <n v="58"/>
    <n v="49.3"/>
    <n v="0"/>
    <n v="0"/>
    <n v="0"/>
    <n v="0"/>
    <n v="1"/>
    <s v="CATIVO"/>
    <n v="0"/>
    <n v="50"/>
    <n v="0"/>
    <n v="0"/>
    <n v="74.41"/>
    <n v="0"/>
    <n v="0"/>
    <n v="79.663522858077684"/>
    <m/>
    <m/>
    <n v="647.36700000000019"/>
    <n v="0"/>
    <n v="693.07264886527605"/>
    <n v="0"/>
    <x v="2"/>
  </r>
  <r>
    <s v="Regular"/>
    <x v="0"/>
    <x v="0"/>
    <x v="1"/>
    <x v="1"/>
    <x v="1"/>
    <x v="0"/>
    <x v="2"/>
    <x v="0"/>
    <n v="0"/>
    <n v="0"/>
    <n v="1.5"/>
    <n v="1.41"/>
    <n v="1.5"/>
    <n v="1.41"/>
    <n v="0"/>
    <s v="CATIVO"/>
    <n v="0"/>
    <n v="0"/>
    <n v="1"/>
    <n v="73"/>
    <n v="0"/>
    <n v="4589.68"/>
    <n v="240.29"/>
    <m/>
    <n v="4970.2414810692699"/>
    <n v="318.47604005907385"/>
    <n v="0"/>
    <n v="434.69730000000038"/>
    <n v="0"/>
    <n v="475.98457690155135"/>
    <x v="2"/>
  </r>
  <r>
    <s v="Regular"/>
    <x v="0"/>
    <x v="0"/>
    <x v="1"/>
    <x v="1"/>
    <x v="1"/>
    <x v="0"/>
    <x v="2"/>
    <x v="1"/>
    <n v="0"/>
    <n v="0"/>
    <n v="1.657"/>
    <n v="1.55758"/>
    <n v="1.657"/>
    <n v="1.55758"/>
    <n v="0"/>
    <s v="CATIVO"/>
    <n v="0"/>
    <n v="0"/>
    <n v="1"/>
    <n v="73"/>
    <n v="0"/>
    <n v="4589.68"/>
    <n v="240.29"/>
    <m/>
    <n v="4970.2414810692699"/>
    <n v="318.47604005907385"/>
    <n v="0"/>
    <n v="480.19561740000034"/>
    <n v="0"/>
    <n v="525.80429595058024"/>
    <x v="2"/>
  </r>
  <r>
    <s v="Regular"/>
    <x v="0"/>
    <x v="0"/>
    <x v="1"/>
    <x v="1"/>
    <x v="1"/>
    <x v="0"/>
    <x v="2"/>
    <x v="2"/>
    <n v="0"/>
    <n v="0"/>
    <n v="1.742"/>
    <n v="1.63748"/>
    <n v="1.742"/>
    <n v="1.63748"/>
    <n v="0"/>
    <s v="CATIVO"/>
    <n v="0"/>
    <n v="0"/>
    <n v="1"/>
    <n v="73"/>
    <n v="0"/>
    <n v="4589.68"/>
    <n v="240.29"/>
    <m/>
    <n v="4970.2414810692699"/>
    <n v="318.47604005907385"/>
    <n v="0"/>
    <n v="504.82846439999975"/>
    <n v="0"/>
    <n v="552.77675530833426"/>
    <x v="2"/>
  </r>
  <r>
    <s v="Regular"/>
    <x v="0"/>
    <x v="0"/>
    <x v="1"/>
    <x v="1"/>
    <x v="1"/>
    <x v="0"/>
    <x v="2"/>
    <x v="3"/>
    <n v="0"/>
    <n v="0"/>
    <n v="1.8080000000000001"/>
    <n v="1.6995199999999999"/>
    <n v="1.8080000000000001"/>
    <n v="1.6995199999999999"/>
    <n v="0"/>
    <s v="CATIVO"/>
    <n v="0"/>
    <n v="0"/>
    <n v="1"/>
    <n v="73"/>
    <n v="0"/>
    <n v="4589.68"/>
    <n v="240.29"/>
    <m/>
    <n v="4970.2414810692699"/>
    <n v="318.47604005907385"/>
    <n v="0"/>
    <n v="523.95514560000072"/>
    <n v="0"/>
    <n v="573.72007669200343"/>
    <x v="2"/>
  </r>
  <r>
    <s v="Regular"/>
    <x v="0"/>
    <x v="0"/>
    <x v="1"/>
    <x v="1"/>
    <x v="1"/>
    <x v="0"/>
    <x v="2"/>
    <x v="4"/>
    <n v="0"/>
    <n v="0"/>
    <n v="1.643"/>
    <n v="1.5444199999999999"/>
    <n v="1.643"/>
    <n v="1.5444199999999999"/>
    <n v="0"/>
    <s v="CATIVO"/>
    <n v="0"/>
    <n v="0"/>
    <n v="1"/>
    <n v="73"/>
    <n v="0"/>
    <n v="4589.68"/>
    <n v="240.29"/>
    <m/>
    <n v="4970.2414810692699"/>
    <n v="318.47604005907385"/>
    <n v="0"/>
    <n v="476.13844260000053"/>
    <n v="0"/>
    <n v="521.36177323283277"/>
    <x v="2"/>
  </r>
  <r>
    <s v="Regular"/>
    <x v="0"/>
    <x v="0"/>
    <x v="1"/>
    <x v="1"/>
    <x v="1"/>
    <x v="0"/>
    <x v="2"/>
    <x v="5"/>
    <n v="0"/>
    <n v="0"/>
    <n v="1.6639999999999999"/>
    <n v="1.56416"/>
    <n v="1.6639999999999999"/>
    <n v="1.56416"/>
    <n v="0"/>
    <s v="CATIVO"/>
    <n v="0"/>
    <n v="0"/>
    <n v="1"/>
    <n v="73"/>
    <n v="0"/>
    <n v="4589.68"/>
    <n v="240.29"/>
    <m/>
    <n v="4970.2414810692699"/>
    <n v="318.47604005907385"/>
    <n v="0"/>
    <n v="482.22420479999971"/>
    <n v="0"/>
    <n v="528.02555730945346"/>
    <x v="2"/>
  </r>
  <r>
    <s v="Regular"/>
    <x v="0"/>
    <x v="0"/>
    <x v="1"/>
    <x v="1"/>
    <x v="1"/>
    <x v="0"/>
    <x v="2"/>
    <x v="6"/>
    <n v="0"/>
    <n v="0"/>
    <n v="1.5920000000000001"/>
    <n v="1.49648"/>
    <n v="1.5920000000000001"/>
    <n v="1.49648"/>
    <n v="0"/>
    <s v="CATIVO"/>
    <n v="0"/>
    <n v="0"/>
    <n v="1"/>
    <n v="73"/>
    <n v="0"/>
    <n v="4589.68"/>
    <n v="240.29"/>
    <m/>
    <n v="4970.2414810692699"/>
    <n v="318.47604005907385"/>
    <n v="0"/>
    <n v="461.35873440000023"/>
    <n v="0"/>
    <n v="505.17829761817967"/>
    <x v="2"/>
  </r>
  <r>
    <s v="Regular"/>
    <x v="0"/>
    <x v="0"/>
    <x v="1"/>
    <x v="1"/>
    <x v="1"/>
    <x v="0"/>
    <x v="2"/>
    <x v="7"/>
    <n v="0"/>
    <n v="0"/>
    <n v="1.4690000000000001"/>
    <n v="1.38086"/>
    <n v="1.4690000000000001"/>
    <n v="1.38086"/>
    <n v="0"/>
    <s v="CATIVO"/>
    <n v="0"/>
    <n v="0"/>
    <n v="1"/>
    <n v="73"/>
    <n v="0"/>
    <n v="4589.68"/>
    <n v="240.29"/>
    <m/>
    <n v="4970.2414810692699"/>
    <n v="318.47604005907385"/>
    <n v="0"/>
    <n v="425.71355580000056"/>
    <n v="0"/>
    <n v="466.14756231225277"/>
    <x v="2"/>
  </r>
  <r>
    <s v="Regular"/>
    <x v="0"/>
    <x v="0"/>
    <x v="1"/>
    <x v="1"/>
    <x v="1"/>
    <x v="0"/>
    <x v="2"/>
    <x v="8"/>
    <n v="0"/>
    <n v="0"/>
    <n v="1.651"/>
    <n v="1.5519400000000001"/>
    <n v="1.651"/>
    <n v="1.5519400000000001"/>
    <n v="0"/>
    <s v="CATIVO"/>
    <n v="0"/>
    <n v="0"/>
    <n v="1"/>
    <n v="73"/>
    <n v="0"/>
    <n v="4589.68"/>
    <n v="240.29"/>
    <m/>
    <n v="4970.2414810692699"/>
    <n v="318.47604005907385"/>
    <n v="0"/>
    <n v="478.45682819999968"/>
    <n v="0"/>
    <n v="523.90035764297329"/>
    <x v="2"/>
  </r>
  <r>
    <s v="Regular"/>
    <x v="0"/>
    <x v="0"/>
    <x v="1"/>
    <x v="1"/>
    <x v="1"/>
    <x v="0"/>
    <x v="2"/>
    <x v="9"/>
    <n v="0"/>
    <n v="0"/>
    <n v="1.58"/>
    <n v="1.4852000000000001"/>
    <n v="1.58"/>
    <n v="1.4852000000000001"/>
    <n v="0"/>
    <s v="CATIVO"/>
    <n v="0"/>
    <n v="0"/>
    <n v="1"/>
    <n v="73"/>
    <n v="0"/>
    <n v="4589.68"/>
    <n v="240.29"/>
    <m/>
    <n v="4970.2414810692699"/>
    <n v="318.47604005907385"/>
    <n v="0"/>
    <n v="457.88115600000003"/>
    <n v="0"/>
    <n v="501.37042100296696"/>
    <x v="2"/>
  </r>
  <r>
    <s v="Regular"/>
    <x v="0"/>
    <x v="0"/>
    <x v="1"/>
    <x v="1"/>
    <x v="1"/>
    <x v="0"/>
    <x v="2"/>
    <x v="10"/>
    <n v="0"/>
    <n v="0"/>
    <n v="1.6140000000000001"/>
    <n v="1.5171600000000001"/>
    <n v="1.6140000000000001"/>
    <n v="1.5171600000000001"/>
    <n v="0"/>
    <s v="CATIVO"/>
    <n v="0"/>
    <n v="0"/>
    <n v="1"/>
    <n v="73"/>
    <n v="0"/>
    <n v="4589.68"/>
    <n v="240.29"/>
    <m/>
    <n v="4970.2414810692699"/>
    <n v="318.47604005907385"/>
    <n v="0"/>
    <n v="467.73429480000021"/>
    <n v="0"/>
    <n v="512.15940474606896"/>
    <x v="2"/>
  </r>
  <r>
    <s v="Regular"/>
    <x v="0"/>
    <x v="0"/>
    <x v="1"/>
    <x v="1"/>
    <x v="1"/>
    <x v="0"/>
    <x v="2"/>
    <x v="11"/>
    <n v="0"/>
    <n v="0"/>
    <n v="1.8240000000000001"/>
    <n v="1.7145600000000001"/>
    <n v="1.8240000000000001"/>
    <n v="1.7145600000000001"/>
    <n v="0"/>
    <s v="CATIVO"/>
    <n v="0"/>
    <n v="0"/>
    <n v="1"/>
    <n v="73"/>
    <n v="0"/>
    <n v="4589.68"/>
    <n v="240.29"/>
    <m/>
    <n v="4970.2414810692699"/>
    <n v="318.47604005907385"/>
    <n v="0"/>
    <n v="528.59191679999992"/>
    <n v="0"/>
    <n v="578.79724551228583"/>
    <x v="2"/>
  </r>
  <r>
    <s v="Regular"/>
    <x v="1"/>
    <x v="1"/>
    <x v="2"/>
    <x v="2"/>
    <x v="1"/>
    <x v="0"/>
    <x v="1"/>
    <x v="0"/>
    <n v="0"/>
    <n v="0"/>
    <n v="963.36699999999996"/>
    <n v="963.36699999999996"/>
    <n v="963.36699999999996"/>
    <n v="963.36699999999996"/>
    <n v="6188"/>
    <s v="CATIVO"/>
    <n v="0"/>
    <n v="0"/>
    <n v="8"/>
    <n v="23"/>
    <n v="0"/>
    <n v="867.38"/>
    <n v="240.29"/>
    <m/>
    <n v="950.40404644085163"/>
    <n v="318.47604005907385"/>
    <n v="0"/>
    <n v="0"/>
    <n v="0"/>
    <n v="0"/>
    <x v="3"/>
  </r>
  <r>
    <s v="Regular"/>
    <x v="1"/>
    <x v="1"/>
    <x v="2"/>
    <x v="3"/>
    <x v="1"/>
    <x v="0"/>
    <x v="1"/>
    <x v="0"/>
    <n v="0"/>
    <n v="0"/>
    <n v="1.95"/>
    <n v="1.95"/>
    <n v="1.95"/>
    <n v="1.95"/>
    <n v="2"/>
    <s v="CATIVO"/>
    <n v="0"/>
    <n v="0"/>
    <n v="9"/>
    <n v="75"/>
    <n v="0"/>
    <n v="273.68"/>
    <n v="84.1"/>
    <m/>
    <n v="290.14508128096867"/>
    <n v="111.46661402067585"/>
    <n v="0"/>
    <n v="1295.6579999999999"/>
    <n v="0"/>
    <n v="1454.4080679852416"/>
    <x v="4"/>
  </r>
  <r>
    <s v="Regular"/>
    <x v="1"/>
    <x v="1"/>
    <x v="2"/>
    <x v="3"/>
    <x v="1"/>
    <x v="0"/>
    <x v="1"/>
    <x v="1"/>
    <n v="0"/>
    <n v="0"/>
    <n v="2.13"/>
    <n v="2.13"/>
    <n v="2.13"/>
    <n v="2.13"/>
    <n v="3"/>
    <s v="CATIVO"/>
    <n v="0"/>
    <n v="0"/>
    <n v="9"/>
    <n v="75"/>
    <n v="0"/>
    <n v="273.68"/>
    <n v="84.1"/>
    <m/>
    <n v="290.14508128096867"/>
    <n v="111.46661402067585"/>
    <n v="0"/>
    <n v="1415.2571999999998"/>
    <n v="0"/>
    <n v="1588.6611204146484"/>
    <x v="4"/>
  </r>
  <r>
    <s v="Regular"/>
    <x v="1"/>
    <x v="1"/>
    <x v="2"/>
    <x v="3"/>
    <x v="1"/>
    <x v="0"/>
    <x v="1"/>
    <x v="2"/>
    <n v="0"/>
    <n v="0"/>
    <n v="2.2200000000000002"/>
    <n v="2.2200000000000002"/>
    <n v="2.2200000000000002"/>
    <n v="2.2200000000000002"/>
    <n v="3"/>
    <s v="CATIVO"/>
    <n v="0"/>
    <n v="0"/>
    <n v="9"/>
    <n v="75"/>
    <n v="0"/>
    <n v="273.68"/>
    <n v="84.1"/>
    <m/>
    <n v="290.14508128096867"/>
    <n v="111.46661402067585"/>
    <n v="0"/>
    <n v="1475.0568000000001"/>
    <n v="0"/>
    <n v="1655.7876466293521"/>
    <x v="4"/>
  </r>
  <r>
    <s v="Regular"/>
    <x v="1"/>
    <x v="1"/>
    <x v="2"/>
    <x v="3"/>
    <x v="1"/>
    <x v="0"/>
    <x v="1"/>
    <x v="3"/>
    <n v="0"/>
    <n v="0"/>
    <n v="2.2799999999999998"/>
    <n v="2.2799999999999998"/>
    <n v="2.2799999999999998"/>
    <n v="2.2799999999999998"/>
    <n v="3"/>
    <s v="CATIVO"/>
    <n v="0"/>
    <n v="0"/>
    <n v="9"/>
    <n v="75"/>
    <n v="0"/>
    <n v="273.68"/>
    <n v="84.1"/>
    <m/>
    <n v="290.14508128096867"/>
    <n v="111.46661402067585"/>
    <n v="0"/>
    <n v="1514.9231999999997"/>
    <n v="0"/>
    <n v="1700.5386641058208"/>
    <x v="4"/>
  </r>
  <r>
    <s v="Regular"/>
    <x v="1"/>
    <x v="1"/>
    <x v="2"/>
    <x v="3"/>
    <x v="1"/>
    <x v="0"/>
    <x v="1"/>
    <x v="4"/>
    <n v="0"/>
    <n v="0"/>
    <n v="2.31"/>
    <n v="2.31"/>
    <n v="2.31"/>
    <n v="2.31"/>
    <n v="5"/>
    <s v="CATIVO"/>
    <n v="0"/>
    <n v="0"/>
    <n v="9"/>
    <n v="75"/>
    <n v="0"/>
    <n v="273.68"/>
    <n v="84.1"/>
    <m/>
    <n v="290.14508128096867"/>
    <n v="111.46661402067585"/>
    <n v="0"/>
    <n v="1534.8563999999999"/>
    <n v="0"/>
    <n v="1722.9141728440554"/>
    <x v="4"/>
  </r>
  <r>
    <s v="Regular"/>
    <x v="1"/>
    <x v="1"/>
    <x v="2"/>
    <x v="3"/>
    <x v="1"/>
    <x v="0"/>
    <x v="1"/>
    <x v="5"/>
    <n v="0"/>
    <n v="0"/>
    <n v="2.34"/>
    <n v="2.34"/>
    <n v="2.34"/>
    <n v="2.34"/>
    <n v="2"/>
    <s v="CATIVO"/>
    <n v="0"/>
    <n v="0"/>
    <n v="9"/>
    <n v="75"/>
    <n v="0"/>
    <n v="273.68"/>
    <n v="84.1"/>
    <m/>
    <n v="290.14508128096867"/>
    <n v="111.46661402067585"/>
    <n v="0"/>
    <n v="1554.7895999999998"/>
    <n v="0"/>
    <n v="1745.2896815822899"/>
    <x v="4"/>
  </r>
  <r>
    <s v="Regular"/>
    <x v="1"/>
    <x v="1"/>
    <x v="2"/>
    <x v="3"/>
    <x v="1"/>
    <x v="0"/>
    <x v="1"/>
    <x v="6"/>
    <n v="0"/>
    <n v="0"/>
    <n v="2.4300000000000002"/>
    <n v="2.4300000000000002"/>
    <n v="2.4300000000000002"/>
    <n v="2.4300000000000002"/>
    <n v="2"/>
    <s v="CATIVO"/>
    <n v="0"/>
    <n v="0"/>
    <n v="9"/>
    <n v="75"/>
    <n v="0"/>
    <n v="273.68"/>
    <n v="84.1"/>
    <m/>
    <n v="290.14508128096867"/>
    <n v="111.46661402067585"/>
    <n v="0"/>
    <n v="1614.5891999999999"/>
    <n v="0"/>
    <n v="1812.4162077969934"/>
    <x v="4"/>
  </r>
  <r>
    <s v="Regular"/>
    <x v="1"/>
    <x v="1"/>
    <x v="2"/>
    <x v="3"/>
    <x v="1"/>
    <x v="0"/>
    <x v="1"/>
    <x v="7"/>
    <n v="0"/>
    <n v="0"/>
    <n v="2.64"/>
    <n v="2.64"/>
    <n v="2.64"/>
    <n v="2.64"/>
    <n v="5"/>
    <s v="CATIVO"/>
    <n v="0"/>
    <n v="0"/>
    <n v="9"/>
    <n v="75"/>
    <n v="0"/>
    <n v="273.68"/>
    <n v="84.1"/>
    <m/>
    <n v="290.14508128096867"/>
    <n v="111.46661402067585"/>
    <n v="0"/>
    <n v="1754.1215999999999"/>
    <n v="0"/>
    <n v="1969.0447689646348"/>
    <x v="4"/>
  </r>
  <r>
    <s v="Regular"/>
    <x v="1"/>
    <x v="1"/>
    <x v="2"/>
    <x v="3"/>
    <x v="1"/>
    <x v="0"/>
    <x v="1"/>
    <x v="8"/>
    <n v="0"/>
    <n v="0"/>
    <n v="2.73"/>
    <n v="2.73"/>
    <n v="2.73"/>
    <n v="2.73"/>
    <n v="5"/>
    <s v="CATIVO"/>
    <n v="0"/>
    <n v="0"/>
    <n v="9"/>
    <n v="75"/>
    <n v="0"/>
    <n v="273.68"/>
    <n v="84.1"/>
    <m/>
    <n v="290.14508128096867"/>
    <n v="111.46661402067585"/>
    <n v="0"/>
    <n v="1813.9211999999998"/>
    <n v="0"/>
    <n v="2036.1712951793381"/>
    <x v="4"/>
  </r>
  <r>
    <s v="Regular"/>
    <x v="1"/>
    <x v="1"/>
    <x v="2"/>
    <x v="3"/>
    <x v="1"/>
    <x v="0"/>
    <x v="1"/>
    <x v="9"/>
    <n v="0"/>
    <n v="0"/>
    <n v="2.73"/>
    <n v="2.73"/>
    <n v="2.73"/>
    <n v="2.73"/>
    <n v="3"/>
    <s v="CATIVO"/>
    <n v="0"/>
    <n v="0"/>
    <n v="9"/>
    <n v="75"/>
    <n v="0"/>
    <n v="273.68"/>
    <n v="84.1"/>
    <m/>
    <n v="290.14508128096867"/>
    <n v="111.46661402067585"/>
    <n v="0"/>
    <n v="1813.9211999999998"/>
    <n v="0"/>
    <n v="2036.1712951793381"/>
    <x v="4"/>
  </r>
  <r>
    <s v="Regular"/>
    <x v="1"/>
    <x v="1"/>
    <x v="2"/>
    <x v="3"/>
    <x v="1"/>
    <x v="0"/>
    <x v="1"/>
    <x v="10"/>
    <n v="0"/>
    <n v="0"/>
    <n v="3.15"/>
    <n v="3.15"/>
    <n v="3.15"/>
    <n v="3.15"/>
    <n v="4"/>
    <s v="CATIVO"/>
    <n v="0"/>
    <n v="0"/>
    <n v="9"/>
    <n v="75"/>
    <n v="0"/>
    <n v="273.68"/>
    <n v="84.1"/>
    <m/>
    <n v="290.14508128096867"/>
    <n v="111.46661402067585"/>
    <n v="0"/>
    <n v="2092.9859999999999"/>
    <n v="0"/>
    <n v="2349.4284175146208"/>
    <x v="4"/>
  </r>
  <r>
    <s v="Regular"/>
    <x v="1"/>
    <x v="1"/>
    <x v="2"/>
    <x v="3"/>
    <x v="1"/>
    <x v="0"/>
    <x v="1"/>
    <x v="11"/>
    <n v="0"/>
    <n v="0"/>
    <n v="11.67"/>
    <n v="11.67"/>
    <n v="11.67"/>
    <n v="11.67"/>
    <n v="30"/>
    <s v="CATIVO"/>
    <n v="0"/>
    <n v="0"/>
    <n v="9"/>
    <n v="75"/>
    <n v="0"/>
    <n v="273.68"/>
    <n v="84.1"/>
    <m/>
    <n v="290.14508128096867"/>
    <n v="111.46661402067585"/>
    <n v="0"/>
    <n v="7754.014799999999"/>
    <n v="0"/>
    <n v="8704.0728991732158"/>
    <x v="4"/>
  </r>
  <r>
    <s v="Regular"/>
    <x v="1"/>
    <x v="1"/>
    <x v="2"/>
    <x v="4"/>
    <x v="1"/>
    <x v="0"/>
    <x v="1"/>
    <x v="0"/>
    <n v="0"/>
    <n v="0"/>
    <n v="4.2549999999999999"/>
    <n v="4.2549999999999999"/>
    <n v="4.2549999999999999"/>
    <n v="4.2549999999999999"/>
    <n v="7"/>
    <s v="CATIVO"/>
    <n v="0"/>
    <n v="0"/>
    <n v="53"/>
    <n v="76"/>
    <n v="0"/>
    <n v="469.16"/>
    <n v="144.18"/>
    <m/>
    <n v="497.39156791023203"/>
    <n v="191.08562403544431"/>
    <n v="0"/>
    <n v="1739.7843999999998"/>
    <n v="0"/>
    <n v="1952.9803011525694"/>
    <x v="4"/>
  </r>
  <r>
    <s v="Regular"/>
    <x v="1"/>
    <x v="1"/>
    <x v="2"/>
    <x v="4"/>
    <x v="1"/>
    <x v="0"/>
    <x v="1"/>
    <x v="1"/>
    <n v="0"/>
    <n v="0"/>
    <n v="4.4409999999999998"/>
    <n v="4.4409999999999998"/>
    <n v="4.4409999999999998"/>
    <n v="4.4409999999999998"/>
    <n v="11"/>
    <s v="CATIVO"/>
    <n v="0"/>
    <n v="0"/>
    <n v="53"/>
    <n v="76"/>
    <n v="0"/>
    <n v="469.16"/>
    <n v="144.18"/>
    <m/>
    <n v="497.39156791023203"/>
    <n v="191.08562403544431"/>
    <n v="0"/>
    <n v="1815.8360799999996"/>
    <n v="0"/>
    <n v="2038.3514729538333"/>
    <x v="4"/>
  </r>
  <r>
    <s v="Regular"/>
    <x v="1"/>
    <x v="1"/>
    <x v="2"/>
    <x v="4"/>
    <x v="1"/>
    <x v="0"/>
    <x v="1"/>
    <x v="2"/>
    <n v="0"/>
    <n v="0"/>
    <n v="4.7050000000000001"/>
    <n v="4.7050000000000001"/>
    <n v="4.7050000000000001"/>
    <n v="4.7050000000000001"/>
    <n v="12"/>
    <s v="CATIVO"/>
    <n v="0"/>
    <n v="0"/>
    <n v="53"/>
    <n v="76"/>
    <n v="0"/>
    <n v="469.16"/>
    <n v="144.18"/>
    <m/>
    <n v="497.39156791023203"/>
    <n v="191.08562403544431"/>
    <n v="0"/>
    <n v="1923.7803999999996"/>
    <n v="0"/>
    <n v="2159.5234587362725"/>
    <x v="4"/>
  </r>
  <r>
    <s v="Regular"/>
    <x v="1"/>
    <x v="1"/>
    <x v="2"/>
    <x v="4"/>
    <x v="1"/>
    <x v="0"/>
    <x v="1"/>
    <x v="3"/>
    <n v="0"/>
    <n v="0"/>
    <n v="4.46"/>
    <n v="4.46"/>
    <n v="4.46"/>
    <n v="4.46"/>
    <n v="28"/>
    <s v="CATIVO"/>
    <n v="0"/>
    <n v="0"/>
    <n v="53"/>
    <n v="76"/>
    <n v="0"/>
    <n v="469.16"/>
    <n v="144.18"/>
    <m/>
    <n v="497.39156791023203"/>
    <n v="191.08562403544431"/>
    <n v="0"/>
    <n v="1823.6047999999996"/>
    <n v="0"/>
    <n v="2047.072184051812"/>
    <x v="4"/>
  </r>
  <r>
    <s v="Regular"/>
    <x v="1"/>
    <x v="1"/>
    <x v="2"/>
    <x v="4"/>
    <x v="1"/>
    <x v="0"/>
    <x v="1"/>
    <x v="4"/>
    <n v="0"/>
    <n v="0"/>
    <n v="4.375"/>
    <n v="4.375"/>
    <n v="4.375"/>
    <n v="4.375"/>
    <n v="31"/>
    <s v="CATIVO"/>
    <n v="0"/>
    <n v="0"/>
    <n v="53"/>
    <n v="76"/>
    <n v="0"/>
    <n v="469.16"/>
    <n v="144.18"/>
    <m/>
    <n v="497.39156791023203"/>
    <n v="191.08562403544431"/>
    <n v="0"/>
    <n v="1788.8499999999997"/>
    <n v="0"/>
    <n v="2008.0584765082237"/>
    <x v="4"/>
  </r>
  <r>
    <s v="Regular"/>
    <x v="1"/>
    <x v="1"/>
    <x v="2"/>
    <x v="4"/>
    <x v="1"/>
    <x v="0"/>
    <x v="1"/>
    <x v="5"/>
    <n v="0"/>
    <n v="0"/>
    <n v="4.665"/>
    <n v="4.665"/>
    <n v="4.665"/>
    <n v="4.665"/>
    <n v="20"/>
    <s v="CATIVO"/>
    <n v="0"/>
    <n v="0"/>
    <n v="53"/>
    <n v="76"/>
    <n v="0"/>
    <n v="469.16"/>
    <n v="144.18"/>
    <m/>
    <n v="497.39156791023203"/>
    <n v="191.08562403544431"/>
    <n v="0"/>
    <n v="1907.4251999999997"/>
    <n v="0"/>
    <n v="2141.1640669510543"/>
    <x v="4"/>
  </r>
  <r>
    <s v="Regular"/>
    <x v="1"/>
    <x v="1"/>
    <x v="2"/>
    <x v="4"/>
    <x v="1"/>
    <x v="0"/>
    <x v="1"/>
    <x v="6"/>
    <n v="0"/>
    <n v="0"/>
    <n v="4.9409999999999998"/>
    <n v="4.9409999999999998"/>
    <n v="4.9409999999999998"/>
    <n v="4.9409999999999998"/>
    <n v="19"/>
    <s v="CATIVO"/>
    <n v="0"/>
    <n v="0"/>
    <n v="53"/>
    <n v="76"/>
    <n v="0"/>
    <n v="469.16"/>
    <n v="144.18"/>
    <m/>
    <n v="497.39156791023203"/>
    <n v="191.08562403544431"/>
    <n v="0"/>
    <n v="2020.2760799999996"/>
    <n v="0"/>
    <n v="2267.8438702690587"/>
    <x v="4"/>
  </r>
  <r>
    <s v="Regular"/>
    <x v="1"/>
    <x v="1"/>
    <x v="2"/>
    <x v="4"/>
    <x v="1"/>
    <x v="0"/>
    <x v="1"/>
    <x v="7"/>
    <n v="0"/>
    <n v="0"/>
    <n v="5.03"/>
    <n v="5.03"/>
    <n v="5.03"/>
    <n v="5.03"/>
    <n v="28"/>
    <s v="CATIVO"/>
    <n v="0"/>
    <n v="0"/>
    <n v="53"/>
    <n v="76"/>
    <n v="0"/>
    <n v="469.16"/>
    <n v="144.18"/>
    <m/>
    <n v="497.39156791023203"/>
    <n v="191.08562403544431"/>
    <n v="0"/>
    <n v="2056.6663999999996"/>
    <n v="0"/>
    <n v="2308.6935169911694"/>
    <x v="4"/>
  </r>
  <r>
    <s v="Regular"/>
    <x v="1"/>
    <x v="1"/>
    <x v="2"/>
    <x v="4"/>
    <x v="1"/>
    <x v="0"/>
    <x v="1"/>
    <x v="8"/>
    <n v="0"/>
    <n v="0"/>
    <n v="5.51"/>
    <n v="5.51"/>
    <n v="5.51"/>
    <n v="5.51"/>
    <n v="20"/>
    <s v="CATIVO"/>
    <n v="0"/>
    <n v="0"/>
    <n v="53"/>
    <n v="76"/>
    <n v="0"/>
    <n v="469.16"/>
    <n v="144.18"/>
    <m/>
    <n v="497.39156791023203"/>
    <n v="191.08562403544431"/>
    <n v="0"/>
    <n v="2252.9287999999997"/>
    <n v="0"/>
    <n v="2529.0062184137855"/>
    <x v="4"/>
  </r>
  <r>
    <s v="Regular"/>
    <x v="1"/>
    <x v="1"/>
    <x v="2"/>
    <x v="4"/>
    <x v="1"/>
    <x v="0"/>
    <x v="1"/>
    <x v="9"/>
    <n v="0"/>
    <n v="0"/>
    <n v="5.641"/>
    <n v="5.641"/>
    <n v="5.641"/>
    <n v="5.641"/>
    <n v="19"/>
    <s v="CATIVO"/>
    <n v="0"/>
    <n v="0"/>
    <n v="53"/>
    <n v="76"/>
    <n v="0"/>
    <n v="469.16"/>
    <n v="144.18"/>
    <m/>
    <n v="497.39156791023203"/>
    <n v="191.08562403544431"/>
    <n v="0"/>
    <n v="2306.4920799999995"/>
    <n v="0"/>
    <n v="2589.1332265103747"/>
    <x v="4"/>
  </r>
  <r>
    <s v="Regular"/>
    <x v="1"/>
    <x v="1"/>
    <x v="2"/>
    <x v="4"/>
    <x v="1"/>
    <x v="0"/>
    <x v="1"/>
    <x v="10"/>
    <n v="0"/>
    <n v="0"/>
    <n v="6.7670000000000003"/>
    <n v="6.7670000000000003"/>
    <n v="6.7670000000000003"/>
    <n v="6.7670000000000003"/>
    <n v="14"/>
    <s v="CATIVO"/>
    <n v="0"/>
    <n v="0"/>
    <n v="53"/>
    <n v="76"/>
    <n v="0"/>
    <n v="469.16"/>
    <n v="144.18"/>
    <m/>
    <n v="497.39156791023203"/>
    <n v="191.08562403544431"/>
    <n v="0"/>
    <n v="2766.8909599999997"/>
    <n v="0"/>
    <n v="3105.9501052642627"/>
    <x v="4"/>
  </r>
  <r>
    <s v="Regular"/>
    <x v="1"/>
    <x v="1"/>
    <x v="2"/>
    <x v="4"/>
    <x v="1"/>
    <x v="0"/>
    <x v="1"/>
    <x v="11"/>
    <n v="0"/>
    <n v="0"/>
    <n v="22.331"/>
    <n v="22.331"/>
    <n v="22.331"/>
    <n v="22.331"/>
    <n v="92"/>
    <s v="CATIVO"/>
    <n v="0"/>
    <n v="0"/>
    <n v="53"/>
    <n v="76"/>
    <n v="0"/>
    <n v="469.16"/>
    <n v="144.18"/>
    <m/>
    <n v="497.39156791023203"/>
    <n v="191.08562403544431"/>
    <n v="0"/>
    <n v="9130.6992799999989"/>
    <n v="0"/>
    <n v="10249.589448892604"/>
    <x v="4"/>
  </r>
  <r>
    <s v="Regular"/>
    <x v="1"/>
    <x v="1"/>
    <x v="2"/>
    <x v="5"/>
    <x v="1"/>
    <x v="0"/>
    <x v="1"/>
    <x v="0"/>
    <n v="0"/>
    <n v="0"/>
    <n v="4.0590000000000002"/>
    <n v="4.0590000000000002"/>
    <n v="4.0590000000000002"/>
    <n v="4.0590000000000002"/>
    <n v="47"/>
    <s v="CATIVO"/>
    <n v="0"/>
    <n v="0"/>
    <n v="54"/>
    <n v="24"/>
    <n v="0"/>
    <n v="703.74"/>
    <n v="216.26"/>
    <m/>
    <n v="746.08735186534807"/>
    <n v="286.62843605316647"/>
    <n v="0"/>
    <n v="414.91097999999965"/>
    <n v="0"/>
    <n v="465.75482035125066"/>
    <x v="4"/>
  </r>
  <r>
    <s v="Regular"/>
    <x v="1"/>
    <x v="1"/>
    <x v="2"/>
    <x v="5"/>
    <x v="1"/>
    <x v="0"/>
    <x v="1"/>
    <x v="1"/>
    <n v="0"/>
    <n v="0"/>
    <n v="2.5710000000000002"/>
    <n v="2.5710000000000002"/>
    <n v="2.5710000000000002"/>
    <n v="2.5710000000000002"/>
    <n v="53"/>
    <s v="CATIVO"/>
    <n v="0"/>
    <n v="0"/>
    <n v="54"/>
    <n v="24"/>
    <n v="0"/>
    <n v="703.74"/>
    <n v="216.26"/>
    <m/>
    <n v="746.08735186534807"/>
    <n v="286.62843605316647"/>
    <n v="0"/>
    <n v="262.80761999999982"/>
    <n v="0"/>
    <n v="295.01247674872269"/>
    <x v="4"/>
  </r>
  <r>
    <s v="Regular"/>
    <x v="1"/>
    <x v="1"/>
    <x v="2"/>
    <x v="5"/>
    <x v="1"/>
    <x v="0"/>
    <x v="1"/>
    <x v="2"/>
    <n v="0"/>
    <n v="0"/>
    <n v="3.3809999999999998"/>
    <n v="3.3809999999999998"/>
    <n v="3.3809999999999998"/>
    <n v="3.3809999999999998"/>
    <n v="53"/>
    <s v="CATIVO"/>
    <n v="0"/>
    <n v="0"/>
    <n v="54"/>
    <n v="24"/>
    <n v="0"/>
    <n v="703.74"/>
    <n v="216.26"/>
    <m/>
    <n v="746.08735186534807"/>
    <n v="286.62843605316647"/>
    <n v="0"/>
    <n v="345.60581999999971"/>
    <n v="0"/>
    <n v="387.95689766138906"/>
    <x v="4"/>
  </r>
  <r>
    <s v="Regular"/>
    <x v="1"/>
    <x v="1"/>
    <x v="2"/>
    <x v="5"/>
    <x v="1"/>
    <x v="0"/>
    <x v="1"/>
    <x v="3"/>
    <n v="0"/>
    <n v="0"/>
    <n v="1.5980000000000001"/>
    <n v="1.5980000000000001"/>
    <n v="1.5980000000000001"/>
    <n v="1.5980000000000001"/>
    <n v="42"/>
    <s v="CATIVO"/>
    <n v="0"/>
    <n v="0"/>
    <n v="54"/>
    <n v="24"/>
    <n v="0"/>
    <n v="703.74"/>
    <n v="216.26"/>
    <m/>
    <n v="746.08735186534807"/>
    <n v="286.62843605316647"/>
    <n v="0"/>
    <n v="163.34755999999987"/>
    <n v="0"/>
    <n v="183.36442545486537"/>
    <x v="4"/>
  </r>
  <r>
    <s v="Regular"/>
    <x v="1"/>
    <x v="1"/>
    <x v="2"/>
    <x v="5"/>
    <x v="1"/>
    <x v="0"/>
    <x v="1"/>
    <x v="4"/>
    <n v="0"/>
    <n v="0"/>
    <n v="1.5640000000000001"/>
    <n v="1.5640000000000001"/>
    <n v="1.5640000000000001"/>
    <n v="1.5640000000000001"/>
    <n v="39"/>
    <s v="CATIVO"/>
    <n v="0"/>
    <n v="0"/>
    <n v="54"/>
    <n v="24"/>
    <n v="0"/>
    <n v="703.74"/>
    <n v="216.26"/>
    <m/>
    <n v="746.08735186534807"/>
    <n v="286.62843605316647"/>
    <n v="0"/>
    <n v="159.87207999999987"/>
    <n v="0"/>
    <n v="179.46305470050652"/>
    <x v="4"/>
  </r>
  <r>
    <s v="Regular"/>
    <x v="1"/>
    <x v="1"/>
    <x v="2"/>
    <x v="5"/>
    <x v="1"/>
    <x v="0"/>
    <x v="1"/>
    <x v="5"/>
    <n v="0"/>
    <n v="0"/>
    <n v="2.6970000000000001"/>
    <n v="2.6970000000000001"/>
    <n v="2.6970000000000001"/>
    <n v="2.6970000000000001"/>
    <n v="52"/>
    <s v="CATIVO"/>
    <n v="0"/>
    <n v="0"/>
    <n v="54"/>
    <n v="24"/>
    <n v="0"/>
    <n v="703.74"/>
    <n v="216.26"/>
    <m/>
    <n v="746.08735186534807"/>
    <n v="286.62843605316647"/>
    <n v="0"/>
    <n v="275.68733999999978"/>
    <n v="0"/>
    <n v="309.47049777958193"/>
    <x v="4"/>
  </r>
  <r>
    <s v="Regular"/>
    <x v="1"/>
    <x v="1"/>
    <x v="2"/>
    <x v="5"/>
    <x v="1"/>
    <x v="0"/>
    <x v="1"/>
    <x v="6"/>
    <n v="0"/>
    <n v="0"/>
    <n v="2.8450000000000002"/>
    <n v="2.8450000000000002"/>
    <n v="2.8450000000000002"/>
    <n v="2.8450000000000002"/>
    <n v="54"/>
    <s v="CATIVO"/>
    <n v="0"/>
    <n v="0"/>
    <n v="54"/>
    <n v="24"/>
    <n v="0"/>
    <n v="703.74"/>
    <n v="216.26"/>
    <m/>
    <n v="746.08735186534807"/>
    <n v="286.62843605316647"/>
    <n v="0"/>
    <n v="290.81589999999977"/>
    <n v="0"/>
    <n v="326.45293518090864"/>
    <x v="4"/>
  </r>
  <r>
    <s v="Regular"/>
    <x v="1"/>
    <x v="1"/>
    <x v="2"/>
    <x v="5"/>
    <x v="1"/>
    <x v="0"/>
    <x v="1"/>
    <x v="7"/>
    <n v="0"/>
    <n v="0"/>
    <n v="2.488"/>
    <n v="2.488"/>
    <n v="2.488"/>
    <n v="2.488"/>
    <n v="51"/>
    <s v="CATIVO"/>
    <n v="0"/>
    <n v="0"/>
    <n v="54"/>
    <n v="24"/>
    <n v="0"/>
    <n v="703.74"/>
    <n v="216.26"/>
    <m/>
    <n v="746.08735186534807"/>
    <n v="286.62843605316647"/>
    <n v="0"/>
    <n v="254.32335999999978"/>
    <n v="0"/>
    <n v="285.48854226014083"/>
    <x v="4"/>
  </r>
  <r>
    <s v="Regular"/>
    <x v="1"/>
    <x v="1"/>
    <x v="2"/>
    <x v="5"/>
    <x v="1"/>
    <x v="0"/>
    <x v="1"/>
    <x v="8"/>
    <n v="0"/>
    <n v="0"/>
    <n v="3.766"/>
    <n v="3.766"/>
    <n v="3.766"/>
    <n v="3.766"/>
    <n v="59"/>
    <s v="CATIVO"/>
    <n v="0"/>
    <n v="0"/>
    <n v="54"/>
    <n v="24"/>
    <n v="0"/>
    <n v="703.74"/>
    <n v="216.26"/>
    <m/>
    <n v="746.08735186534807"/>
    <n v="286.62843605316647"/>
    <n v="0"/>
    <n v="384.96051999999969"/>
    <n v="0"/>
    <n v="432.13418414457004"/>
    <x v="4"/>
  </r>
  <r>
    <s v="Regular"/>
    <x v="1"/>
    <x v="1"/>
    <x v="2"/>
    <x v="5"/>
    <x v="1"/>
    <x v="0"/>
    <x v="1"/>
    <x v="9"/>
    <n v="0"/>
    <n v="0"/>
    <n v="4.38"/>
    <n v="4.38"/>
    <n v="4.38"/>
    <n v="4.38"/>
    <n v="60"/>
    <s v="CATIVO"/>
    <n v="0"/>
    <n v="0"/>
    <n v="54"/>
    <n v="24"/>
    <n v="0"/>
    <n v="703.74"/>
    <n v="216.26"/>
    <m/>
    <n v="746.08735186534807"/>
    <n v="286.62843605316647"/>
    <n v="0"/>
    <n v="447.72359999999964"/>
    <n v="0"/>
    <n v="502.58835012034433"/>
    <x v="4"/>
  </r>
  <r>
    <s v="Regular"/>
    <x v="1"/>
    <x v="1"/>
    <x v="2"/>
    <x v="5"/>
    <x v="1"/>
    <x v="0"/>
    <x v="1"/>
    <x v="10"/>
    <n v="0"/>
    <n v="0"/>
    <n v="6.0750000000000002"/>
    <n v="6.0750000000000002"/>
    <n v="6.0750000000000002"/>
    <n v="6.0750000000000002"/>
    <n v="68"/>
    <s v="CATIVO"/>
    <n v="0"/>
    <n v="0"/>
    <n v="54"/>
    <n v="24"/>
    <n v="0"/>
    <n v="703.74"/>
    <n v="216.26"/>
    <m/>
    <n v="746.08735186534807"/>
    <n v="286.62843605316647"/>
    <n v="0"/>
    <n v="620.98649999999952"/>
    <n v="0"/>
    <n v="697.08315684499814"/>
    <x v="4"/>
  </r>
  <r>
    <s v="Regular"/>
    <x v="1"/>
    <x v="1"/>
    <x v="2"/>
    <x v="5"/>
    <x v="1"/>
    <x v="0"/>
    <x v="1"/>
    <x v="11"/>
    <n v="0"/>
    <n v="0"/>
    <n v="19.045999999999999"/>
    <n v="19.045999999999999"/>
    <n v="19.045999999999999"/>
    <n v="19.045999999999999"/>
    <n v="199"/>
    <s v="CATIVO"/>
    <n v="0"/>
    <n v="0"/>
    <n v="54"/>
    <n v="24"/>
    <n v="0"/>
    <n v="703.74"/>
    <n v="216.26"/>
    <m/>
    <n v="746.08735186534807"/>
    <n v="286.62843605316647"/>
    <n v="0"/>
    <n v="1946.8821199999984"/>
    <n v="0"/>
    <n v="2185.4560996328946"/>
    <x v="4"/>
  </r>
  <r>
    <s v="Regular"/>
    <x v="1"/>
    <x v="1"/>
    <x v="2"/>
    <x v="6"/>
    <x v="1"/>
    <x v="0"/>
    <x v="1"/>
    <x v="0"/>
    <n v="0"/>
    <n v="0"/>
    <n v="0.97699999999999998"/>
    <n v="0.97699999999999998"/>
    <n v="0.97699999999999998"/>
    <n v="0.97699999999999998"/>
    <n v="9"/>
    <s v="CATIVO"/>
    <n v="0"/>
    <n v="0"/>
    <n v="10"/>
    <n v="25"/>
    <n v="0"/>
    <n v="781.93"/>
    <n v="240.29"/>
    <m/>
    <n v="828.98594651705343"/>
    <n v="318.47604005907385"/>
    <n v="0"/>
    <n v="-2.7768010113504715E-14"/>
    <n v="0"/>
    <n v="1.1107204045401886E-13"/>
    <x v="4"/>
  </r>
  <r>
    <s v="Regular"/>
    <x v="1"/>
    <x v="1"/>
    <x v="2"/>
    <x v="6"/>
    <x v="1"/>
    <x v="0"/>
    <x v="1"/>
    <x v="1"/>
    <n v="0"/>
    <n v="0"/>
    <n v="0.21199999999999999"/>
    <n v="0.21199999999999999"/>
    <n v="0.21199999999999999"/>
    <n v="0.21199999999999999"/>
    <n v="4"/>
    <s v="CATIVO"/>
    <n v="0"/>
    <n v="0"/>
    <n v="10"/>
    <n v="25"/>
    <n v="0"/>
    <n v="781.93"/>
    <n v="240.29"/>
    <m/>
    <n v="828.98594651705343"/>
    <n v="318.47604005907385"/>
    <n v="0"/>
    <n v="-6.0254023992456494E-15"/>
    <n v="0"/>
    <n v="2.4101609596982598E-14"/>
    <x v="4"/>
  </r>
  <r>
    <s v="Regular"/>
    <x v="1"/>
    <x v="1"/>
    <x v="2"/>
    <x v="6"/>
    <x v="1"/>
    <x v="0"/>
    <x v="1"/>
    <x v="2"/>
    <n v="0"/>
    <n v="0"/>
    <n v="0.38800000000000001"/>
    <n v="0.38800000000000001"/>
    <n v="0.38800000000000001"/>
    <n v="0.38800000000000001"/>
    <n v="4"/>
    <s v="CATIVO"/>
    <n v="0"/>
    <n v="0"/>
    <n v="10"/>
    <n v="25"/>
    <n v="0"/>
    <n v="781.93"/>
    <n v="240.29"/>
    <m/>
    <n v="828.98594651705343"/>
    <n v="318.47604005907385"/>
    <n v="0"/>
    <n v="-1.1027623258996755E-14"/>
    <n v="0"/>
    <n v="4.4110493035987021E-14"/>
    <x v="4"/>
  </r>
  <r>
    <s v="Regular"/>
    <x v="1"/>
    <x v="1"/>
    <x v="2"/>
    <x v="6"/>
    <x v="1"/>
    <x v="0"/>
    <x v="1"/>
    <x v="3"/>
    <n v="0"/>
    <n v="0"/>
    <n v="0.18"/>
    <n v="0.18"/>
    <n v="0.18"/>
    <n v="0.18"/>
    <n v="3"/>
    <s v="CATIVO"/>
    <n v="0"/>
    <n v="0"/>
    <n v="10"/>
    <n v="25"/>
    <n v="0"/>
    <n v="781.93"/>
    <n v="240.29"/>
    <m/>
    <n v="828.98594651705343"/>
    <n v="318.47604005907385"/>
    <n v="0"/>
    <n v="-5.1159076974727211E-15"/>
    <n v="0"/>
    <n v="2.0463630789890885E-14"/>
    <x v="4"/>
  </r>
  <r>
    <s v="Regular"/>
    <x v="1"/>
    <x v="1"/>
    <x v="2"/>
    <x v="6"/>
    <x v="1"/>
    <x v="0"/>
    <x v="1"/>
    <x v="4"/>
    <n v="0"/>
    <n v="0"/>
    <n v="6.2E-2"/>
    <n v="6.2E-2"/>
    <n v="6.2E-2"/>
    <n v="6.2E-2"/>
    <n v="2"/>
    <s v="CATIVO"/>
    <n v="0"/>
    <n v="0"/>
    <n v="10"/>
    <n v="25"/>
    <n v="0"/>
    <n v="781.93"/>
    <n v="240.29"/>
    <m/>
    <n v="828.98594651705343"/>
    <n v="318.47604005907385"/>
    <n v="0"/>
    <n v="-1.7621459846850484E-15"/>
    <n v="0"/>
    <n v="7.0485839387401938E-15"/>
    <x v="4"/>
  </r>
  <r>
    <s v="Regular"/>
    <x v="1"/>
    <x v="1"/>
    <x v="2"/>
    <x v="6"/>
    <x v="1"/>
    <x v="0"/>
    <x v="1"/>
    <x v="5"/>
    <n v="0"/>
    <n v="0"/>
    <n v="0.153"/>
    <n v="0.153"/>
    <n v="0.153"/>
    <n v="0.153"/>
    <n v="4"/>
    <s v="CATIVO"/>
    <n v="0"/>
    <n v="0"/>
    <n v="10"/>
    <n v="25"/>
    <n v="0"/>
    <n v="781.93"/>
    <n v="240.29"/>
    <m/>
    <n v="828.98594651705343"/>
    <n v="318.47604005907385"/>
    <n v="0"/>
    <n v="-4.3485215428518131E-15"/>
    <n v="0"/>
    <n v="1.7394086171407252E-14"/>
    <x v="4"/>
  </r>
  <r>
    <s v="Regular"/>
    <x v="1"/>
    <x v="1"/>
    <x v="2"/>
    <x v="6"/>
    <x v="1"/>
    <x v="0"/>
    <x v="1"/>
    <x v="6"/>
    <n v="0"/>
    <n v="0"/>
    <n v="0.43"/>
    <n v="0.43"/>
    <n v="0.43"/>
    <n v="0.43"/>
    <n v="6"/>
    <s v="CATIVO"/>
    <n v="0"/>
    <n v="0"/>
    <n v="10"/>
    <n v="25"/>
    <n v="0"/>
    <n v="781.93"/>
    <n v="240.29"/>
    <m/>
    <n v="828.98594651705343"/>
    <n v="318.47604005907385"/>
    <n v="0"/>
    <n v="-1.2221335055073723E-14"/>
    <n v="0"/>
    <n v="4.8885340220294892E-14"/>
    <x v="4"/>
  </r>
  <r>
    <s v="Regular"/>
    <x v="1"/>
    <x v="1"/>
    <x v="2"/>
    <x v="6"/>
    <x v="1"/>
    <x v="0"/>
    <x v="1"/>
    <x v="7"/>
    <n v="0"/>
    <n v="0"/>
    <n v="0.222"/>
    <n v="0.222"/>
    <n v="0.222"/>
    <n v="0.222"/>
    <n v="4"/>
    <s v="CATIVO"/>
    <n v="0"/>
    <n v="0"/>
    <n v="10"/>
    <n v="25"/>
    <n v="0"/>
    <n v="781.93"/>
    <n v="240.29"/>
    <m/>
    <n v="828.98594651705343"/>
    <n v="318.47604005907385"/>
    <n v="0"/>
    <n v="-6.3096194935496897E-15"/>
    <n v="0"/>
    <n v="2.5238477974198759E-14"/>
    <x v="4"/>
  </r>
  <r>
    <s v="Regular"/>
    <x v="1"/>
    <x v="1"/>
    <x v="2"/>
    <x v="6"/>
    <x v="1"/>
    <x v="0"/>
    <x v="1"/>
    <x v="8"/>
    <n v="0"/>
    <n v="0"/>
    <n v="0.36599999999999999"/>
    <n v="0.36599999999999999"/>
    <n v="0.36599999999999999"/>
    <n v="0.36599999999999999"/>
    <n v="7"/>
    <s v="CATIVO"/>
    <n v="0"/>
    <n v="0"/>
    <n v="10"/>
    <n v="25"/>
    <n v="0"/>
    <n v="781.93"/>
    <n v="240.29"/>
    <m/>
    <n v="828.98594651705343"/>
    <n v="318.47604005907385"/>
    <n v="0"/>
    <n v="-1.0402345651527866E-14"/>
    <n v="0"/>
    <n v="4.1609382606111466E-14"/>
    <x v="4"/>
  </r>
  <r>
    <s v="Regular"/>
    <x v="1"/>
    <x v="1"/>
    <x v="2"/>
    <x v="6"/>
    <x v="1"/>
    <x v="0"/>
    <x v="1"/>
    <x v="9"/>
    <n v="0"/>
    <n v="0"/>
    <n v="0.46"/>
    <n v="0.46"/>
    <n v="0.46"/>
    <n v="0.46"/>
    <n v="9"/>
    <s v="CATIVO"/>
    <n v="0"/>
    <n v="0"/>
    <n v="10"/>
    <n v="25"/>
    <n v="0"/>
    <n v="781.93"/>
    <n v="240.29"/>
    <m/>
    <n v="828.98594651705343"/>
    <n v="318.47604005907385"/>
    <n v="0"/>
    <n v="-1.3073986337985844E-14"/>
    <n v="0"/>
    <n v="5.2295945351943376E-14"/>
    <x v="4"/>
  </r>
  <r>
    <s v="Regular"/>
    <x v="1"/>
    <x v="1"/>
    <x v="2"/>
    <x v="6"/>
    <x v="1"/>
    <x v="0"/>
    <x v="1"/>
    <x v="10"/>
    <n v="0"/>
    <n v="0"/>
    <n v="1.0629999999999999"/>
    <n v="1.0629999999999999"/>
    <n v="1.0629999999999999"/>
    <n v="1.0629999999999999"/>
    <n v="19"/>
    <s v="CATIVO"/>
    <n v="0"/>
    <n v="0"/>
    <n v="10"/>
    <n v="25"/>
    <n v="0"/>
    <n v="781.93"/>
    <n v="240.29"/>
    <m/>
    <n v="828.98594651705343"/>
    <n v="318.47604005907385"/>
    <n v="0"/>
    <n v="-3.0212277124519458E-14"/>
    <n v="0"/>
    <n v="1.2084910849807783E-13"/>
    <x v="4"/>
  </r>
  <r>
    <s v="Regular"/>
    <x v="1"/>
    <x v="1"/>
    <x v="2"/>
    <x v="6"/>
    <x v="1"/>
    <x v="0"/>
    <x v="1"/>
    <x v="11"/>
    <n v="0"/>
    <n v="0"/>
    <n v="4.6040000000000001"/>
    <n v="4.6040000000000001"/>
    <n v="4.6040000000000001"/>
    <n v="4.6040000000000001"/>
    <n v="68"/>
    <s v="CATIVO"/>
    <n v="0"/>
    <n v="0"/>
    <n v="10"/>
    <n v="25"/>
    <n v="0"/>
    <n v="781.93"/>
    <n v="240.29"/>
    <m/>
    <n v="828.98594651705343"/>
    <n v="318.47604005907385"/>
    <n v="0"/>
    <n v="-1.3085355021758005E-13"/>
    <n v="0"/>
    <n v="5.2341420087032021E-13"/>
    <x v="4"/>
  </r>
  <r>
    <s v="Regular"/>
    <x v="2"/>
    <x v="1"/>
    <x v="0"/>
    <x v="0"/>
    <x v="2"/>
    <x v="0"/>
    <x v="1"/>
    <x v="0"/>
    <n v="0"/>
    <n v="0"/>
    <n v="1.222"/>
    <n v="1.222"/>
    <n v="1.222"/>
    <n v="1.222"/>
    <n v="0"/>
    <s v="CATIVO"/>
    <n v="0"/>
    <n v="0"/>
    <n v="57"/>
    <n v="31"/>
    <n v="0"/>
    <n v="763.29"/>
    <n v="211.46"/>
    <m/>
    <n v="893.37980365440046"/>
    <n v="299.3674776555294"/>
    <n v="0"/>
    <n v="162.42824000000013"/>
    <n v="0"/>
    <n v="93.034287942174643"/>
    <x v="1"/>
  </r>
  <r>
    <s v="Regular"/>
    <x v="2"/>
    <x v="1"/>
    <x v="0"/>
    <x v="0"/>
    <x v="2"/>
    <x v="0"/>
    <x v="1"/>
    <x v="1"/>
    <n v="0"/>
    <n v="0"/>
    <n v="0.61199999999999999"/>
    <n v="0.61199999999999999"/>
    <n v="0.61199999999999999"/>
    <n v="0.61199999999999999"/>
    <n v="0"/>
    <s v="CATIVO"/>
    <n v="0"/>
    <n v="0"/>
    <n v="57"/>
    <n v="31"/>
    <n v="0"/>
    <n v="763.29"/>
    <n v="211.46"/>
    <m/>
    <n v="893.37980365440046"/>
    <n v="299.3674776555294"/>
    <n v="0"/>
    <n v="81.347040000000064"/>
    <n v="0"/>
    <n v="46.593276776277321"/>
    <x v="1"/>
  </r>
  <r>
    <s v="Regular"/>
    <x v="2"/>
    <x v="1"/>
    <x v="0"/>
    <x v="0"/>
    <x v="2"/>
    <x v="0"/>
    <x v="1"/>
    <x v="2"/>
    <n v="0"/>
    <n v="0"/>
    <n v="1.256"/>
    <n v="1.256"/>
    <n v="1.256"/>
    <n v="1.256"/>
    <n v="0"/>
    <s v="CATIVO"/>
    <n v="0"/>
    <n v="0"/>
    <n v="57"/>
    <n v="31"/>
    <n v="0"/>
    <n v="763.29"/>
    <n v="211.46"/>
    <m/>
    <n v="893.37980365440046"/>
    <n v="299.3674776555294"/>
    <n v="0"/>
    <n v="166.94752000000014"/>
    <n v="0"/>
    <n v="95.622803318634496"/>
    <x v="1"/>
  </r>
  <r>
    <s v="Regular"/>
    <x v="2"/>
    <x v="1"/>
    <x v="0"/>
    <x v="0"/>
    <x v="2"/>
    <x v="0"/>
    <x v="1"/>
    <x v="3"/>
    <n v="0"/>
    <n v="0"/>
    <n v="1.0760000000000001"/>
    <n v="1.0760000000000001"/>
    <n v="1.0760000000000001"/>
    <n v="1.0760000000000001"/>
    <n v="0"/>
    <s v="CATIVO"/>
    <n v="0"/>
    <n v="0"/>
    <n v="57"/>
    <n v="31"/>
    <n v="0"/>
    <n v="763.29"/>
    <n v="211.46"/>
    <m/>
    <n v="893.37980365440046"/>
    <n v="299.3674776555294"/>
    <n v="0"/>
    <n v="143.02192000000011"/>
    <n v="0"/>
    <n v="81.918898384435295"/>
    <x v="1"/>
  </r>
  <r>
    <s v="Regular"/>
    <x v="2"/>
    <x v="1"/>
    <x v="0"/>
    <x v="0"/>
    <x v="2"/>
    <x v="0"/>
    <x v="1"/>
    <x v="4"/>
    <n v="0"/>
    <n v="0"/>
    <n v="1.0289999999999999"/>
    <n v="1.0289999999999999"/>
    <n v="1.0289999999999999"/>
    <n v="1.0289999999999999"/>
    <n v="0"/>
    <s v="CATIVO"/>
    <n v="0"/>
    <n v="0"/>
    <n v="57"/>
    <n v="31"/>
    <n v="0"/>
    <n v="763.29"/>
    <n v="211.46"/>
    <m/>
    <n v="893.37980365440046"/>
    <n v="299.3674776555294"/>
    <n v="0"/>
    <n v="136.7746800000001"/>
    <n v="0"/>
    <n v="78.340656540505492"/>
    <x v="1"/>
  </r>
  <r>
    <s v="Regular"/>
    <x v="2"/>
    <x v="1"/>
    <x v="0"/>
    <x v="0"/>
    <x v="2"/>
    <x v="0"/>
    <x v="1"/>
    <x v="5"/>
    <n v="0"/>
    <n v="0"/>
    <n v="1.3660000000000001"/>
    <n v="1.3660000000000001"/>
    <n v="1.3660000000000001"/>
    <n v="1.3660000000000001"/>
    <n v="0"/>
    <s v="CATIVO"/>
    <n v="0"/>
    <n v="0"/>
    <n v="57"/>
    <n v="31"/>
    <n v="0"/>
    <n v="763.29"/>
    <n v="211.46"/>
    <m/>
    <n v="893.37980365440046"/>
    <n v="299.3674776555294"/>
    <n v="0"/>
    <n v="181.56872000000016"/>
    <n v="0"/>
    <n v="103.99741188953402"/>
    <x v="1"/>
  </r>
  <r>
    <s v="Regular"/>
    <x v="2"/>
    <x v="1"/>
    <x v="0"/>
    <x v="0"/>
    <x v="2"/>
    <x v="0"/>
    <x v="1"/>
    <x v="6"/>
    <n v="0"/>
    <n v="0"/>
    <n v="1.696"/>
    <n v="1.696"/>
    <n v="1.696"/>
    <n v="1.696"/>
    <n v="0"/>
    <s v="CATIVO"/>
    <n v="0"/>
    <n v="0"/>
    <n v="57"/>
    <n v="31"/>
    <n v="0"/>
    <n v="763.29"/>
    <n v="211.46"/>
    <m/>
    <n v="893.37980365440046"/>
    <n v="299.3674776555294"/>
    <n v="0"/>
    <n v="225.43232000000017"/>
    <n v="0"/>
    <n v="129.12123760223258"/>
    <x v="1"/>
  </r>
  <r>
    <s v="Regular"/>
    <x v="2"/>
    <x v="1"/>
    <x v="0"/>
    <x v="0"/>
    <x v="2"/>
    <x v="0"/>
    <x v="1"/>
    <x v="7"/>
    <n v="0"/>
    <n v="0"/>
    <n v="0.5"/>
    <n v="0.5"/>
    <n v="0.5"/>
    <n v="0.5"/>
    <n v="0"/>
    <s v="CATIVO"/>
    <n v="0"/>
    <n v="0"/>
    <n v="57"/>
    <n v="31"/>
    <n v="0"/>
    <n v="763.29"/>
    <n v="211.46"/>
    <m/>
    <n v="893.37980365440046"/>
    <n v="299.3674776555294"/>
    <n v="0"/>
    <n v="66.460000000000051"/>
    <n v="0"/>
    <n v="38.066402594997811"/>
    <x v="1"/>
  </r>
  <r>
    <s v="Regular"/>
    <x v="2"/>
    <x v="1"/>
    <x v="0"/>
    <x v="0"/>
    <x v="2"/>
    <x v="0"/>
    <x v="1"/>
    <x v="8"/>
    <n v="0"/>
    <n v="0"/>
    <n v="0.373"/>
    <n v="0.373"/>
    <n v="0.373"/>
    <n v="0.373"/>
    <n v="0"/>
    <s v="CATIVO"/>
    <n v="0"/>
    <n v="0"/>
    <n v="57"/>
    <n v="31"/>
    <n v="0"/>
    <n v="763.29"/>
    <n v="211.46"/>
    <m/>
    <n v="893.37980365440046"/>
    <n v="299.3674776555294"/>
    <n v="0"/>
    <n v="49.579160000000037"/>
    <n v="0"/>
    <n v="28.397536335868367"/>
    <x v="1"/>
  </r>
  <r>
    <s v="Regular"/>
    <x v="2"/>
    <x v="1"/>
    <x v="0"/>
    <x v="0"/>
    <x v="2"/>
    <x v="0"/>
    <x v="1"/>
    <x v="9"/>
    <n v="0"/>
    <n v="0"/>
    <n v="0.52100000000000002"/>
    <n v="0.52100000000000002"/>
    <n v="0.52100000000000002"/>
    <n v="0.52100000000000002"/>
    <n v="0"/>
    <s v="CATIVO"/>
    <n v="0"/>
    <n v="0"/>
    <n v="57"/>
    <n v="31"/>
    <n v="0"/>
    <n v="763.29"/>
    <n v="211.46"/>
    <m/>
    <n v="893.37980365440046"/>
    <n v="299.3674776555294"/>
    <n v="0"/>
    <n v="69.25132000000005"/>
    <n v="0"/>
    <n v="39.665191503987721"/>
    <x v="1"/>
  </r>
  <r>
    <s v="Regular"/>
    <x v="2"/>
    <x v="1"/>
    <x v="0"/>
    <x v="0"/>
    <x v="2"/>
    <x v="0"/>
    <x v="1"/>
    <x v="10"/>
    <n v="0"/>
    <n v="0"/>
    <n v="0.45200000000000001"/>
    <n v="0.45200000000000001"/>
    <n v="0.45200000000000001"/>
    <n v="0.45200000000000001"/>
    <n v="0"/>
    <s v="CATIVO"/>
    <n v="0"/>
    <n v="0"/>
    <n v="57"/>
    <n v="31"/>
    <n v="0"/>
    <n v="763.29"/>
    <n v="211.46"/>
    <m/>
    <n v="893.37980365440046"/>
    <n v="299.3674776555294"/>
    <n v="0"/>
    <n v="60.079840000000047"/>
    <n v="0"/>
    <n v="34.412027945878023"/>
    <x v="1"/>
  </r>
  <r>
    <s v="Regular"/>
    <x v="2"/>
    <x v="1"/>
    <x v="0"/>
    <x v="0"/>
    <x v="2"/>
    <x v="0"/>
    <x v="1"/>
    <x v="11"/>
    <n v="0"/>
    <n v="0"/>
    <n v="0.59499999999999997"/>
    <n v="0.59499999999999997"/>
    <n v="0.59499999999999997"/>
    <n v="0.59499999999999997"/>
    <n v="0"/>
    <s v="CATIVO"/>
    <n v="0"/>
    <n v="0"/>
    <n v="57"/>
    <n v="31"/>
    <n v="0"/>
    <n v="763.29"/>
    <n v="211.46"/>
    <m/>
    <n v="893.37980365440046"/>
    <n v="299.3674776555294"/>
    <n v="0"/>
    <n v="79.087400000000059"/>
    <n v="0"/>
    <n v="45.299019088047395"/>
    <x v="1"/>
  </r>
  <r>
    <s v="Regular"/>
    <x v="2"/>
    <x v="1"/>
    <x v="0"/>
    <x v="0"/>
    <x v="0"/>
    <x v="0"/>
    <x v="1"/>
    <x v="0"/>
    <n v="0"/>
    <n v="0"/>
    <n v="0.125"/>
    <n v="0.05"/>
    <n v="0.125"/>
    <n v="0.05"/>
    <n v="0"/>
    <s v="CATIVO"/>
    <n v="0"/>
    <n v="0"/>
    <n v="57"/>
    <n v="31"/>
    <n v="0"/>
    <n v="763.29"/>
    <n v="211.46"/>
    <m/>
    <n v="893.37980365440046"/>
    <n v="299.3674776555294"/>
    <n v="0"/>
    <n v="89.721250000000012"/>
    <n v="0"/>
    <n v="98.972646746994172"/>
    <x v="0"/>
  </r>
  <r>
    <s v="Regular"/>
    <x v="2"/>
    <x v="1"/>
    <x v="0"/>
    <x v="0"/>
    <x v="0"/>
    <x v="0"/>
    <x v="1"/>
    <x v="1"/>
    <n v="0"/>
    <n v="0"/>
    <n v="0.152"/>
    <n v="6.08E-2"/>
    <n v="0.152"/>
    <n v="6.08E-2"/>
    <n v="0"/>
    <s v="CATIVO"/>
    <n v="0"/>
    <n v="0"/>
    <n v="57"/>
    <n v="31"/>
    <n v="0"/>
    <n v="763.29"/>
    <n v="211.46"/>
    <m/>
    <n v="893.37980365440046"/>
    <n v="299.3674776555294"/>
    <n v="0"/>
    <n v="109.10104000000001"/>
    <n v="0"/>
    <n v="120.35073844434493"/>
    <x v="0"/>
  </r>
  <r>
    <s v="Regular"/>
    <x v="2"/>
    <x v="1"/>
    <x v="0"/>
    <x v="0"/>
    <x v="0"/>
    <x v="0"/>
    <x v="1"/>
    <x v="2"/>
    <n v="0"/>
    <n v="0"/>
    <n v="4.0000000000000001E-3"/>
    <n v="1.6000000000000001E-3"/>
    <n v="4.0000000000000001E-3"/>
    <n v="1.6000000000000001E-3"/>
    <n v="0"/>
    <s v="CATIVO"/>
    <n v="0"/>
    <n v="0"/>
    <n v="57"/>
    <n v="31"/>
    <n v="0"/>
    <n v="763.29"/>
    <n v="211.46"/>
    <m/>
    <n v="893.37980365440046"/>
    <n v="299.3674776555294"/>
    <n v="0"/>
    <n v="2.871080000000001"/>
    <n v="0"/>
    <n v="3.1671246959038144"/>
    <x v="0"/>
  </r>
  <r>
    <s v="Regular"/>
    <x v="2"/>
    <x v="1"/>
    <x v="0"/>
    <x v="0"/>
    <x v="0"/>
    <x v="0"/>
    <x v="1"/>
    <x v="3"/>
    <n v="0"/>
    <n v="0"/>
    <n v="3.0000000000000001E-3"/>
    <n v="1.1999999999999999E-3"/>
    <n v="3.0000000000000001E-3"/>
    <n v="1.1999999999999999E-3"/>
    <n v="0"/>
    <s v="CATIVO"/>
    <n v="0"/>
    <n v="0"/>
    <n v="57"/>
    <n v="31"/>
    <n v="0"/>
    <n v="763.29"/>
    <n v="211.46"/>
    <m/>
    <n v="893.37980365440046"/>
    <n v="299.3674776555294"/>
    <n v="0"/>
    <n v="2.1533100000000003"/>
    <n v="0"/>
    <n v="2.3753435219278605"/>
    <x v="0"/>
  </r>
  <r>
    <s v="Regular"/>
    <x v="2"/>
    <x v="1"/>
    <x v="0"/>
    <x v="0"/>
    <x v="0"/>
    <x v="0"/>
    <x v="1"/>
    <x v="4"/>
    <n v="0"/>
    <n v="0"/>
    <n v="0.23799999999999999"/>
    <n v="9.5200000000000007E-2"/>
    <n v="0.23799999999999999"/>
    <n v="9.5200000000000007E-2"/>
    <n v="0"/>
    <s v="CATIVO"/>
    <n v="0"/>
    <n v="0"/>
    <n v="57"/>
    <n v="31"/>
    <n v="0"/>
    <n v="763.29"/>
    <n v="211.46"/>
    <m/>
    <n v="893.37980365440046"/>
    <n v="299.3674776555294"/>
    <n v="0"/>
    <n v="170.82926"/>
    <n v="0"/>
    <n v="188.4439194062769"/>
    <x v="0"/>
  </r>
  <r>
    <s v="Regular"/>
    <x v="2"/>
    <x v="1"/>
    <x v="0"/>
    <x v="0"/>
    <x v="0"/>
    <x v="0"/>
    <x v="1"/>
    <x v="5"/>
    <n v="0"/>
    <n v="0"/>
    <n v="2.9000000000000001E-2"/>
    <n v="1.1599999999999999E-2"/>
    <n v="2.9000000000000001E-2"/>
    <n v="1.1599999999999999E-2"/>
    <n v="0"/>
    <s v="CATIVO"/>
    <n v="0"/>
    <n v="0"/>
    <n v="57"/>
    <n v="31"/>
    <n v="0"/>
    <n v="763.29"/>
    <n v="211.46"/>
    <m/>
    <n v="893.37980365440046"/>
    <n v="299.3674776555294"/>
    <n v="0"/>
    <n v="20.815330000000003"/>
    <n v="0"/>
    <n v="22.961654045302655"/>
    <x v="0"/>
  </r>
  <r>
    <s v="Regular"/>
    <x v="2"/>
    <x v="1"/>
    <x v="0"/>
    <x v="0"/>
    <x v="0"/>
    <x v="0"/>
    <x v="1"/>
    <x v="6"/>
    <n v="0"/>
    <n v="0"/>
    <n v="5.8999999999999997E-2"/>
    <n v="2.3599999999999999E-2"/>
    <n v="5.8999999999999997E-2"/>
    <n v="2.3599999999999999E-2"/>
    <n v="0"/>
    <s v="CATIVO"/>
    <n v="0"/>
    <n v="0"/>
    <n v="57"/>
    <n v="31"/>
    <n v="0"/>
    <n v="763.29"/>
    <n v="211.46"/>
    <m/>
    <n v="893.37980365440046"/>
    <n v="299.3674776555294"/>
    <n v="0"/>
    <n v="42.348430000000008"/>
    <n v="0"/>
    <n v="46.715089264581252"/>
    <x v="0"/>
  </r>
  <r>
    <s v="Regular"/>
    <x v="2"/>
    <x v="1"/>
    <x v="0"/>
    <x v="0"/>
    <x v="0"/>
    <x v="0"/>
    <x v="1"/>
    <x v="8"/>
    <n v="0"/>
    <n v="0"/>
    <n v="0.621"/>
    <n v="0.24840000000000001"/>
    <n v="0.621"/>
    <n v="0.24840000000000001"/>
    <n v="0"/>
    <s v="CATIVO"/>
    <n v="0"/>
    <n v="0"/>
    <n v="57"/>
    <n v="31"/>
    <n v="0"/>
    <n v="763.29"/>
    <n v="211.46"/>
    <m/>
    <n v="893.37980365440046"/>
    <n v="299.3674776555294"/>
    <n v="0"/>
    <n v="445.73517000000004"/>
    <n v="0"/>
    <n v="491.6961090390671"/>
    <x v="0"/>
  </r>
  <r>
    <s v="Regular"/>
    <x v="2"/>
    <x v="1"/>
    <x v="0"/>
    <x v="0"/>
    <x v="0"/>
    <x v="0"/>
    <x v="1"/>
    <x v="9"/>
    <n v="0"/>
    <n v="0"/>
    <n v="5.2999999999999999E-2"/>
    <n v="2.12E-2"/>
    <n v="5.2999999999999999E-2"/>
    <n v="2.12E-2"/>
    <n v="0"/>
    <s v="CATIVO"/>
    <n v="0"/>
    <n v="0"/>
    <n v="57"/>
    <n v="31"/>
    <n v="0"/>
    <n v="763.29"/>
    <n v="211.46"/>
    <m/>
    <n v="893.37980365440046"/>
    <n v="299.3674776555294"/>
    <n v="0"/>
    <n v="38.041809999999998"/>
    <n v="0"/>
    <n v="41.964402220725532"/>
    <x v="0"/>
  </r>
  <r>
    <s v="Regular"/>
    <x v="2"/>
    <x v="1"/>
    <x v="0"/>
    <x v="0"/>
    <x v="0"/>
    <x v="0"/>
    <x v="1"/>
    <x v="10"/>
    <n v="0"/>
    <n v="0"/>
    <n v="0.80700000000000005"/>
    <n v="0.32279999999999998"/>
    <n v="0.80700000000000005"/>
    <n v="0.32279999999999998"/>
    <n v="0"/>
    <s v="CATIVO"/>
    <n v="0"/>
    <n v="0"/>
    <n v="57"/>
    <n v="31"/>
    <n v="0"/>
    <n v="763.29"/>
    <n v="211.46"/>
    <m/>
    <n v="893.37980365440046"/>
    <n v="299.3674776555294"/>
    <n v="0"/>
    <n v="579.24039000000016"/>
    <n v="0"/>
    <n v="638.96740739859456"/>
    <x v="0"/>
  </r>
  <r>
    <s v="Regular"/>
    <x v="2"/>
    <x v="1"/>
    <x v="0"/>
    <x v="0"/>
    <x v="0"/>
    <x v="0"/>
    <x v="1"/>
    <x v="11"/>
    <n v="0"/>
    <n v="0"/>
    <n v="1.63"/>
    <n v="0.65200000000000002"/>
    <n v="1.63"/>
    <n v="0.65200000000000002"/>
    <n v="0"/>
    <s v="CATIVO"/>
    <n v="0"/>
    <n v="0"/>
    <n v="57"/>
    <n v="31"/>
    <n v="0"/>
    <n v="763.29"/>
    <n v="211.46"/>
    <m/>
    <n v="893.37980365440046"/>
    <n v="299.3674776555294"/>
    <n v="0"/>
    <n v="1169.9650999999999"/>
    <n v="0"/>
    <n v="1290.6033135808041"/>
    <x v="0"/>
  </r>
  <r>
    <s v="Regular"/>
    <x v="2"/>
    <x v="1"/>
    <x v="0"/>
    <x v="7"/>
    <x v="2"/>
    <x v="0"/>
    <x v="1"/>
    <x v="4"/>
    <n v="0"/>
    <n v="0"/>
    <n v="5.8970000000000002"/>
    <n v="5.8970000000000002"/>
    <n v="5.8970000000000002"/>
    <n v="5.8970000000000002"/>
    <n v="0"/>
    <s v="CATIVO"/>
    <n v="0"/>
    <n v="0"/>
    <n v="57"/>
    <n v="31"/>
    <n v="0"/>
    <n v="763.29"/>
    <n v="211.46"/>
    <m/>
    <n v="893.37980365440046"/>
    <n v="299.3674776555294"/>
    <n v="0"/>
    <n v="783.8292400000006"/>
    <n v="0"/>
    <n v="448.9551522054042"/>
    <x v="1"/>
  </r>
  <r>
    <s v="Regular"/>
    <x v="2"/>
    <x v="1"/>
    <x v="0"/>
    <x v="7"/>
    <x v="2"/>
    <x v="0"/>
    <x v="1"/>
    <x v="5"/>
    <n v="0"/>
    <n v="0"/>
    <n v="6.6459999999999999"/>
    <n v="6.6459999999999999"/>
    <n v="6.6459999999999999"/>
    <n v="6.6459999999999999"/>
    <n v="0"/>
    <s v="CATIVO"/>
    <n v="0"/>
    <n v="0"/>
    <n v="57"/>
    <n v="31"/>
    <n v="0"/>
    <n v="763.29"/>
    <n v="211.46"/>
    <m/>
    <n v="893.37980365440046"/>
    <n v="299.3674776555294"/>
    <n v="0"/>
    <n v="883.38632000000064"/>
    <n v="0"/>
    <n v="505.97862329271089"/>
    <x v="1"/>
  </r>
  <r>
    <s v="Sistema de Compensação"/>
    <x v="2"/>
    <x v="1"/>
    <x v="0"/>
    <x v="7"/>
    <x v="2"/>
    <x v="0"/>
    <x v="1"/>
    <x v="6"/>
    <n v="0"/>
    <n v="0"/>
    <n v="4.4130000000000003"/>
    <n v="4.4130000000000003"/>
    <n v="4.4130000000000003"/>
    <n v="4.4130000000000003"/>
    <n v="0"/>
    <s v="CATIVO"/>
    <n v="0"/>
    <n v="0"/>
    <n v="57"/>
    <n v="31"/>
    <n v="0"/>
    <n v="763.29"/>
    <n v="211.46"/>
    <m/>
    <n v="893.37980365440046"/>
    <n v="299.3674776555294"/>
    <n v="0"/>
    <n v="586.57596000000046"/>
    <n v="0"/>
    <n v="335.97406930345068"/>
    <x v="1"/>
  </r>
  <r>
    <s v="Sistema de Compensação"/>
    <x v="2"/>
    <x v="1"/>
    <x v="0"/>
    <x v="7"/>
    <x v="2"/>
    <x v="0"/>
    <x v="1"/>
    <x v="7"/>
    <n v="0"/>
    <n v="0"/>
    <n v="0.93600000000000005"/>
    <n v="0.93600000000000005"/>
    <n v="0.93600000000000005"/>
    <n v="0.93600000000000005"/>
    <n v="0"/>
    <s v="CATIVO"/>
    <n v="0"/>
    <n v="0"/>
    <n v="57"/>
    <n v="31"/>
    <n v="0"/>
    <n v="763.29"/>
    <n v="211.46"/>
    <m/>
    <n v="893.37980365440046"/>
    <n v="299.3674776555294"/>
    <n v="0"/>
    <n v="124.41312000000011"/>
    <n v="0"/>
    <n v="71.2603056578359"/>
    <x v="1"/>
  </r>
  <r>
    <s v="Sistema de Compensação"/>
    <x v="2"/>
    <x v="1"/>
    <x v="0"/>
    <x v="7"/>
    <x v="2"/>
    <x v="0"/>
    <x v="1"/>
    <x v="9"/>
    <n v="0"/>
    <n v="0"/>
    <n v="0.85699999999999998"/>
    <n v="0.85699999999999998"/>
    <n v="0.85699999999999998"/>
    <n v="0.85699999999999998"/>
    <n v="0"/>
    <s v="CATIVO"/>
    <n v="0"/>
    <n v="0"/>
    <n v="57"/>
    <n v="31"/>
    <n v="0"/>
    <n v="763.29"/>
    <n v="211.46"/>
    <m/>
    <n v="893.37980365440046"/>
    <n v="299.3674776555294"/>
    <n v="0"/>
    <n v="113.91244000000009"/>
    <n v="0"/>
    <n v="65.245814047826244"/>
    <x v="1"/>
  </r>
  <r>
    <s v="Sistema de Compensação"/>
    <x v="2"/>
    <x v="1"/>
    <x v="0"/>
    <x v="7"/>
    <x v="2"/>
    <x v="0"/>
    <x v="1"/>
    <x v="10"/>
    <n v="0"/>
    <n v="0"/>
    <n v="0.29299999999999998"/>
    <n v="0.29299999999999998"/>
    <n v="0.29299999999999998"/>
    <n v="0.29299999999999998"/>
    <n v="0"/>
    <s v="CATIVO"/>
    <n v="0"/>
    <n v="0"/>
    <n v="57"/>
    <n v="31"/>
    <n v="0"/>
    <n v="763.29"/>
    <n v="211.46"/>
    <m/>
    <n v="893.37980365440046"/>
    <n v="299.3674776555294"/>
    <n v="0"/>
    <n v="38.945560000000029"/>
    <n v="0"/>
    <n v="22.306911920668718"/>
    <x v="1"/>
  </r>
  <r>
    <s v="Sistema de Compensação"/>
    <x v="2"/>
    <x v="1"/>
    <x v="0"/>
    <x v="7"/>
    <x v="2"/>
    <x v="0"/>
    <x v="1"/>
    <x v="11"/>
    <n v="0"/>
    <n v="0"/>
    <n v="7.0000000000000007E-2"/>
    <n v="7.0000000000000007E-2"/>
    <n v="7.0000000000000007E-2"/>
    <n v="7.0000000000000007E-2"/>
    <n v="0"/>
    <s v="CATIVO"/>
    <n v="0"/>
    <n v="0"/>
    <n v="57"/>
    <n v="31"/>
    <n v="0"/>
    <n v="763.29"/>
    <n v="211.46"/>
    <m/>
    <n v="893.37980365440046"/>
    <n v="299.3674776555294"/>
    <n v="0"/>
    <n v="9.3044000000000082"/>
    <n v="0"/>
    <n v="5.3292963632996937"/>
    <x v="1"/>
  </r>
  <r>
    <s v="Regular"/>
    <x v="2"/>
    <x v="1"/>
    <x v="0"/>
    <x v="7"/>
    <x v="0"/>
    <x v="0"/>
    <x v="1"/>
    <x v="4"/>
    <n v="0"/>
    <n v="0"/>
    <n v="2.9569999999999999"/>
    <n v="1.1828000000000001"/>
    <n v="2.9569999999999999"/>
    <n v="1.1828000000000001"/>
    <n v="0"/>
    <s v="CATIVO"/>
    <n v="0"/>
    <n v="0"/>
    <n v="57"/>
    <n v="31"/>
    <n v="0"/>
    <n v="763.29"/>
    <n v="211.46"/>
    <m/>
    <n v="893.37980365440046"/>
    <n v="299.3674776555294"/>
    <n v="0"/>
    <n v="2122.44589"/>
    <n v="0"/>
    <n v="2341.2969314468942"/>
    <x v="0"/>
  </r>
  <r>
    <s v="Regular"/>
    <x v="2"/>
    <x v="1"/>
    <x v="0"/>
    <x v="7"/>
    <x v="0"/>
    <x v="0"/>
    <x v="1"/>
    <x v="5"/>
    <n v="0"/>
    <n v="0"/>
    <n v="2.016"/>
    <n v="0.80640000000000001"/>
    <n v="2.016"/>
    <n v="0.80640000000000001"/>
    <n v="0"/>
    <s v="CATIVO"/>
    <n v="0"/>
    <n v="0"/>
    <n v="57"/>
    <n v="31"/>
    <n v="0"/>
    <n v="763.29"/>
    <n v="211.46"/>
    <m/>
    <n v="893.37980365440046"/>
    <n v="299.3674776555294"/>
    <n v="0"/>
    <n v="1447.0243200000002"/>
    <n v="0"/>
    <n v="1596.2308467355222"/>
    <x v="0"/>
  </r>
  <r>
    <s v="Sistema de Compensação"/>
    <x v="2"/>
    <x v="1"/>
    <x v="0"/>
    <x v="7"/>
    <x v="0"/>
    <x v="0"/>
    <x v="1"/>
    <x v="6"/>
    <n v="0"/>
    <n v="0"/>
    <n v="2.2589999999999999"/>
    <n v="2.2589999999999999"/>
    <n v="2.2589999999999999"/>
    <n v="2.2589999999999999"/>
    <n v="0"/>
    <s v="CATIVO"/>
    <n v="0"/>
    <n v="0"/>
    <n v="57"/>
    <n v="31"/>
    <n v="0"/>
    <n v="763.29"/>
    <n v="211.46"/>
    <m/>
    <n v="893.37980365440046"/>
    <n v="299.3674776555294"/>
    <n v="0"/>
    <n v="300.26628000000022"/>
    <n v="0"/>
    <n v="171.98400692420012"/>
    <x v="1"/>
  </r>
  <r>
    <s v="Sistema de Compensação"/>
    <x v="2"/>
    <x v="1"/>
    <x v="0"/>
    <x v="7"/>
    <x v="0"/>
    <x v="0"/>
    <x v="1"/>
    <x v="7"/>
    <n v="0"/>
    <n v="0"/>
    <n v="2.1850000000000001"/>
    <n v="2.1850000000000001"/>
    <n v="2.1850000000000001"/>
    <n v="2.1850000000000001"/>
    <n v="0"/>
    <s v="CATIVO"/>
    <n v="0"/>
    <n v="0"/>
    <n v="57"/>
    <n v="31"/>
    <n v="0"/>
    <n v="763.29"/>
    <n v="211.46"/>
    <m/>
    <n v="893.37980365440046"/>
    <n v="299.3674776555294"/>
    <n v="0"/>
    <n v="290.43020000000024"/>
    <n v="0"/>
    <n v="166.35017934014044"/>
    <x v="1"/>
  </r>
  <r>
    <s v="Sistema de Compensação"/>
    <x v="2"/>
    <x v="1"/>
    <x v="0"/>
    <x v="7"/>
    <x v="0"/>
    <x v="0"/>
    <x v="1"/>
    <x v="8"/>
    <n v="0"/>
    <n v="0"/>
    <n v="0.78300000000000003"/>
    <n v="0.78300000000000003"/>
    <n v="0.78300000000000003"/>
    <n v="0.78300000000000003"/>
    <n v="0"/>
    <s v="CATIVO"/>
    <n v="0"/>
    <n v="0"/>
    <n v="57"/>
    <n v="31"/>
    <n v="0"/>
    <n v="763.29"/>
    <n v="211.46"/>
    <m/>
    <n v="893.37980365440046"/>
    <n v="299.3674776555294"/>
    <n v="0"/>
    <n v="104.07636000000008"/>
    <n v="0"/>
    <n v="59.611986463766577"/>
    <x v="1"/>
  </r>
  <r>
    <s v="Sistema de Compensação"/>
    <x v="2"/>
    <x v="1"/>
    <x v="0"/>
    <x v="7"/>
    <x v="0"/>
    <x v="0"/>
    <x v="1"/>
    <x v="9"/>
    <n v="0"/>
    <n v="0"/>
    <n v="3.4180000000000001"/>
    <n v="3.4180000000000001"/>
    <n v="3.4180000000000001"/>
    <n v="3.4180000000000001"/>
    <n v="0"/>
    <s v="CATIVO"/>
    <n v="0"/>
    <n v="0"/>
    <n v="57"/>
    <n v="31"/>
    <n v="0"/>
    <n v="763.29"/>
    <n v="211.46"/>
    <m/>
    <n v="893.37980365440046"/>
    <n v="299.3674776555294"/>
    <n v="0"/>
    <n v="454.32056000000034"/>
    <n v="0"/>
    <n v="260.22192813940507"/>
    <x v="1"/>
  </r>
  <r>
    <s v="Sistema de Compensação"/>
    <x v="2"/>
    <x v="1"/>
    <x v="0"/>
    <x v="7"/>
    <x v="0"/>
    <x v="0"/>
    <x v="1"/>
    <x v="10"/>
    <n v="0"/>
    <n v="0"/>
    <n v="2.7970000000000002"/>
    <n v="2.7970000000000002"/>
    <n v="2.7970000000000002"/>
    <n v="2.7970000000000002"/>
    <n v="0"/>
    <s v="CATIVO"/>
    <n v="0"/>
    <n v="0"/>
    <n v="57"/>
    <n v="31"/>
    <n v="0"/>
    <n v="763.29"/>
    <n v="211.46"/>
    <m/>
    <n v="893.37980365440046"/>
    <n v="299.3674776555294"/>
    <n v="0"/>
    <n v="371.77724000000029"/>
    <n v="0"/>
    <n v="212.94345611641776"/>
    <x v="1"/>
  </r>
  <r>
    <s v="Sistema de Compensação"/>
    <x v="2"/>
    <x v="1"/>
    <x v="0"/>
    <x v="7"/>
    <x v="0"/>
    <x v="0"/>
    <x v="1"/>
    <x v="11"/>
    <n v="0"/>
    <n v="0"/>
    <n v="2.8650000000000002"/>
    <n v="2.8650000000000002"/>
    <n v="2.8650000000000002"/>
    <n v="2.8650000000000002"/>
    <n v="0"/>
    <s v="CATIVO"/>
    <n v="0"/>
    <n v="0"/>
    <n v="57"/>
    <n v="31"/>
    <n v="0"/>
    <n v="763.29"/>
    <n v="211.46"/>
    <m/>
    <n v="893.37980365440046"/>
    <n v="299.3674776555294"/>
    <n v="0"/>
    <n v="380.81580000000031"/>
    <n v="0"/>
    <n v="218.12048686933747"/>
    <x v="1"/>
  </r>
  <r>
    <s v="Regular"/>
    <x v="2"/>
    <x v="1"/>
    <x v="0"/>
    <x v="8"/>
    <x v="1"/>
    <x v="0"/>
    <x v="1"/>
    <x v="0"/>
    <n v="0"/>
    <n v="0"/>
    <n v="56.527999999999999"/>
    <n v="56.527999999999999"/>
    <n v="56.527999999999999"/>
    <n v="56.527999999999999"/>
    <n v="171"/>
    <s v="CATIVO"/>
    <n v="0"/>
    <n v="0"/>
    <n v="57"/>
    <n v="31"/>
    <n v="0"/>
    <n v="763.29"/>
    <n v="211.46"/>
    <m/>
    <n v="893.37980365440046"/>
    <n v="299.3674776555294"/>
    <n v="0"/>
    <n v="7513.7017600000054"/>
    <n v="0"/>
    <n v="4303.6352117800725"/>
    <x v="1"/>
  </r>
  <r>
    <s v="Sistema de Compensação"/>
    <x v="2"/>
    <x v="1"/>
    <x v="0"/>
    <x v="8"/>
    <x v="1"/>
    <x v="0"/>
    <x v="1"/>
    <x v="0"/>
    <n v="0"/>
    <n v="0"/>
    <n v="0.1"/>
    <n v="0.1"/>
    <n v="0.1"/>
    <n v="0.1"/>
    <n v="2"/>
    <s v="CATIVO"/>
    <n v="0"/>
    <n v="0"/>
    <n v="57"/>
    <n v="31"/>
    <n v="0"/>
    <n v="763.29"/>
    <n v="211.46"/>
    <m/>
    <n v="893.37980365440046"/>
    <n v="299.3674776555294"/>
    <n v="0"/>
    <n v="13.29200000000001"/>
    <n v="0"/>
    <n v="7.6132805189995629"/>
    <x v="1"/>
  </r>
  <r>
    <s v="Regular"/>
    <x v="2"/>
    <x v="1"/>
    <x v="0"/>
    <x v="8"/>
    <x v="1"/>
    <x v="0"/>
    <x v="1"/>
    <x v="1"/>
    <n v="0"/>
    <n v="0"/>
    <n v="43.643999999999998"/>
    <n v="43.643999999999998"/>
    <n v="43.643999999999998"/>
    <n v="43.643999999999998"/>
    <n v="167"/>
    <s v="CATIVO"/>
    <n v="0"/>
    <n v="0"/>
    <n v="57"/>
    <n v="31"/>
    <n v="0"/>
    <n v="763.29"/>
    <n v="211.46"/>
    <m/>
    <n v="893.37980365440046"/>
    <n v="299.3674776555294"/>
    <n v="0"/>
    <n v="5801.1604800000041"/>
    <n v="0"/>
    <n v="3322.7401497121687"/>
    <x v="1"/>
  </r>
  <r>
    <s v="Refaturamento - Regular"/>
    <x v="2"/>
    <x v="1"/>
    <x v="0"/>
    <x v="8"/>
    <x v="1"/>
    <x v="0"/>
    <x v="1"/>
    <x v="1"/>
    <n v="0"/>
    <n v="0"/>
    <n v="-0.23200000000000001"/>
    <n v="-0.23200000000000001"/>
    <n v="-0.23200000000000001"/>
    <n v="-0.23200000000000001"/>
    <n v="0"/>
    <s v="CATIVO"/>
    <n v="0"/>
    <n v="0"/>
    <n v="57"/>
    <n v="31"/>
    <n v="0"/>
    <n v="763.29"/>
    <n v="211.46"/>
    <m/>
    <n v="893.37980365440046"/>
    <n v="299.3674776555294"/>
    <n v="0"/>
    <n v="-30.837440000000026"/>
    <n v="0"/>
    <n v="-17.662810804078987"/>
    <x v="1"/>
  </r>
  <r>
    <s v="Sistema de Compensação"/>
    <x v="2"/>
    <x v="1"/>
    <x v="0"/>
    <x v="8"/>
    <x v="1"/>
    <x v="0"/>
    <x v="1"/>
    <x v="1"/>
    <n v="0"/>
    <n v="0"/>
    <n v="0.246"/>
    <n v="0.246"/>
    <n v="0.246"/>
    <n v="0.246"/>
    <n v="3"/>
    <s v="CATIVO"/>
    <n v="0"/>
    <n v="0"/>
    <n v="57"/>
    <n v="31"/>
    <n v="0"/>
    <n v="763.29"/>
    <n v="211.46"/>
    <m/>
    <n v="893.37980365440046"/>
    <n v="299.3674776555294"/>
    <n v="0"/>
    <n v="32.698320000000024"/>
    <n v="0"/>
    <n v="18.728670076738922"/>
    <x v="1"/>
  </r>
  <r>
    <s v="Regular"/>
    <x v="2"/>
    <x v="1"/>
    <x v="0"/>
    <x v="8"/>
    <x v="1"/>
    <x v="0"/>
    <x v="1"/>
    <x v="2"/>
    <n v="0"/>
    <n v="0"/>
    <n v="47.582999999999998"/>
    <n v="47.582999999999998"/>
    <n v="47.582999999999998"/>
    <n v="47.582999999999998"/>
    <n v="166"/>
    <s v="CATIVO"/>
    <n v="0"/>
    <n v="0"/>
    <n v="57"/>
    <n v="31"/>
    <n v="0"/>
    <n v="763.29"/>
    <n v="211.46"/>
    <m/>
    <n v="893.37980365440046"/>
    <n v="299.3674776555294"/>
    <n v="0"/>
    <n v="6324.7323600000045"/>
    <n v="0"/>
    <n v="3622.6272693555616"/>
    <x v="1"/>
  </r>
  <r>
    <s v="Sistema de Compensação"/>
    <x v="2"/>
    <x v="1"/>
    <x v="0"/>
    <x v="8"/>
    <x v="1"/>
    <x v="0"/>
    <x v="1"/>
    <x v="2"/>
    <n v="0"/>
    <n v="0"/>
    <n v="0.34200000000000003"/>
    <n v="0.34200000000000003"/>
    <n v="0.34200000000000003"/>
    <n v="0.34200000000000003"/>
    <n v="3"/>
    <s v="CATIVO"/>
    <n v="0"/>
    <n v="0"/>
    <n v="57"/>
    <n v="31"/>
    <n v="0"/>
    <n v="763.29"/>
    <n v="211.46"/>
    <m/>
    <n v="893.37980365440046"/>
    <n v="299.3674776555294"/>
    <n v="0"/>
    <n v="45.458640000000038"/>
    <n v="0"/>
    <n v="26.037419374978505"/>
    <x v="1"/>
  </r>
  <r>
    <s v="Regular"/>
    <x v="2"/>
    <x v="1"/>
    <x v="0"/>
    <x v="8"/>
    <x v="1"/>
    <x v="0"/>
    <x v="1"/>
    <x v="3"/>
    <n v="0"/>
    <n v="0"/>
    <n v="63.924999999999997"/>
    <n v="63.924999999999997"/>
    <n v="63.924999999999997"/>
    <n v="63.924999999999997"/>
    <n v="162"/>
    <s v="CATIVO"/>
    <n v="0"/>
    <n v="0"/>
    <n v="57"/>
    <n v="31"/>
    <n v="0"/>
    <n v="763.29"/>
    <n v="211.46"/>
    <m/>
    <n v="893.37980365440046"/>
    <n v="299.3674776555294"/>
    <n v="0"/>
    <n v="8496.9110000000055"/>
    <n v="0"/>
    <n v="4866.7895717704696"/>
    <x v="1"/>
  </r>
  <r>
    <s v="Sistema de Compensação"/>
    <x v="2"/>
    <x v="1"/>
    <x v="0"/>
    <x v="8"/>
    <x v="1"/>
    <x v="0"/>
    <x v="1"/>
    <x v="3"/>
    <n v="0"/>
    <n v="0"/>
    <n v="0.58699999999999997"/>
    <n v="0.58699999999999997"/>
    <n v="0.58699999999999997"/>
    <n v="0.58699999999999997"/>
    <n v="5"/>
    <s v="CATIVO"/>
    <n v="0"/>
    <n v="0"/>
    <n v="57"/>
    <n v="31"/>
    <n v="0"/>
    <n v="763.29"/>
    <n v="211.46"/>
    <m/>
    <n v="893.37980365440046"/>
    <n v="299.3674776555294"/>
    <n v="0"/>
    <n v="78.024040000000056"/>
    <n v="0"/>
    <n v="44.689956646527428"/>
    <x v="1"/>
  </r>
  <r>
    <s v="Regular"/>
    <x v="2"/>
    <x v="1"/>
    <x v="0"/>
    <x v="8"/>
    <x v="1"/>
    <x v="0"/>
    <x v="1"/>
    <x v="4"/>
    <n v="0"/>
    <n v="0"/>
    <n v="39.451999999999998"/>
    <n v="39.451999999999998"/>
    <n v="39.451999999999998"/>
    <n v="39.451999999999998"/>
    <n v="160"/>
    <s v="CATIVO"/>
    <n v="0"/>
    <n v="0"/>
    <n v="57"/>
    <n v="31"/>
    <n v="0"/>
    <n v="763.29"/>
    <n v="211.46"/>
    <m/>
    <n v="893.37980365440046"/>
    <n v="299.3674776555294"/>
    <n v="0"/>
    <n v="5243.9598400000041"/>
    <n v="0"/>
    <n v="3003.591430355707"/>
    <x v="1"/>
  </r>
  <r>
    <s v="Refaturamento - Regular"/>
    <x v="2"/>
    <x v="1"/>
    <x v="0"/>
    <x v="8"/>
    <x v="1"/>
    <x v="0"/>
    <x v="1"/>
    <x v="4"/>
    <n v="0"/>
    <n v="0"/>
    <n v="-9.7000000000000003E-2"/>
    <n v="-9.7000000000000003E-2"/>
    <n v="-9.7000000000000003E-2"/>
    <n v="-9.7000000000000003E-2"/>
    <n v="0"/>
    <s v="CATIVO"/>
    <n v="0"/>
    <n v="0"/>
    <n v="57"/>
    <n v="31"/>
    <n v="0"/>
    <n v="763.29"/>
    <n v="211.46"/>
    <m/>
    <n v="893.37980365440046"/>
    <n v="299.3674776555294"/>
    <n v="0"/>
    <n v="-12.893240000000009"/>
    <n v="0"/>
    <n v="-7.3848821034295753"/>
    <x v="1"/>
  </r>
  <r>
    <s v="Sistema de Compensação"/>
    <x v="2"/>
    <x v="1"/>
    <x v="0"/>
    <x v="8"/>
    <x v="1"/>
    <x v="0"/>
    <x v="1"/>
    <x v="4"/>
    <n v="0"/>
    <n v="0"/>
    <n v="0.56000000000000005"/>
    <n v="0.56000000000000005"/>
    <n v="0.56000000000000005"/>
    <n v="0.56000000000000005"/>
    <n v="5"/>
    <s v="CATIVO"/>
    <n v="0"/>
    <n v="0"/>
    <n v="57"/>
    <n v="31"/>
    <n v="0"/>
    <n v="763.29"/>
    <n v="211.46"/>
    <m/>
    <n v="893.37980365440046"/>
    <n v="299.3674776555294"/>
    <n v="0"/>
    <n v="74.435200000000066"/>
    <n v="0"/>
    <n v="42.63437090639755"/>
    <x v="1"/>
  </r>
  <r>
    <s v="Regular"/>
    <x v="2"/>
    <x v="1"/>
    <x v="0"/>
    <x v="8"/>
    <x v="1"/>
    <x v="0"/>
    <x v="1"/>
    <x v="5"/>
    <n v="0"/>
    <n v="0"/>
    <n v="42.475999999999999"/>
    <n v="42.475999999999999"/>
    <n v="42.475999999999999"/>
    <n v="42.475999999999999"/>
    <n v="161"/>
    <s v="CATIVO"/>
    <n v="0"/>
    <n v="0"/>
    <n v="57"/>
    <n v="31"/>
    <n v="0"/>
    <n v="763.29"/>
    <n v="211.46"/>
    <m/>
    <n v="893.37980365440046"/>
    <n v="299.3674776555294"/>
    <n v="0"/>
    <n v="5645.9099200000046"/>
    <n v="0"/>
    <n v="3233.8170332502541"/>
    <x v="1"/>
  </r>
  <r>
    <s v="Refaturamento - Regular"/>
    <x v="2"/>
    <x v="1"/>
    <x v="0"/>
    <x v="8"/>
    <x v="1"/>
    <x v="0"/>
    <x v="1"/>
    <x v="5"/>
    <n v="0"/>
    <n v="0"/>
    <n v="-0.309"/>
    <n v="-0.309"/>
    <n v="-0.309"/>
    <n v="-0.309"/>
    <n v="0"/>
    <s v="CATIVO"/>
    <n v="0"/>
    <n v="0"/>
    <n v="57"/>
    <n v="31"/>
    <n v="0"/>
    <n v="763.29"/>
    <n v="211.46"/>
    <m/>
    <n v="893.37980365440046"/>
    <n v="299.3674776555294"/>
    <n v="0"/>
    <n v="-41.072280000000028"/>
    <n v="0"/>
    <n v="-23.525036803708648"/>
    <x v="1"/>
  </r>
  <r>
    <s v="Sistema de Compensação"/>
    <x v="2"/>
    <x v="1"/>
    <x v="0"/>
    <x v="8"/>
    <x v="1"/>
    <x v="0"/>
    <x v="1"/>
    <x v="5"/>
    <n v="0"/>
    <n v="0"/>
    <n v="0.45300000000000001"/>
    <n v="0.45300000000000001"/>
    <n v="0.45300000000000001"/>
    <n v="0.45300000000000001"/>
    <n v="5"/>
    <s v="CATIVO"/>
    <n v="0"/>
    <n v="0"/>
    <n v="57"/>
    <n v="31"/>
    <n v="0"/>
    <n v="763.29"/>
    <n v="211.46"/>
    <m/>
    <n v="893.37980365440046"/>
    <n v="299.3674776555294"/>
    <n v="0"/>
    <n v="60.212760000000046"/>
    <n v="0"/>
    <n v="34.488160751068015"/>
    <x v="1"/>
  </r>
  <r>
    <s v="Regular"/>
    <x v="2"/>
    <x v="1"/>
    <x v="0"/>
    <x v="8"/>
    <x v="1"/>
    <x v="0"/>
    <x v="1"/>
    <x v="6"/>
    <n v="0"/>
    <n v="0"/>
    <n v="40.125"/>
    <n v="40.125"/>
    <n v="40.125"/>
    <n v="40.125"/>
    <n v="150"/>
    <s v="CATIVO"/>
    <n v="0"/>
    <n v="0"/>
    <n v="57"/>
    <n v="31"/>
    <n v="0"/>
    <n v="763.29"/>
    <n v="211.46"/>
    <m/>
    <n v="893.37980365440046"/>
    <n v="299.3674776555294"/>
    <n v="0"/>
    <n v="5333.4150000000045"/>
    <n v="0"/>
    <n v="3054.8288082485742"/>
    <x v="1"/>
  </r>
  <r>
    <s v="Sistema de Compensação"/>
    <x v="2"/>
    <x v="1"/>
    <x v="0"/>
    <x v="8"/>
    <x v="1"/>
    <x v="0"/>
    <x v="1"/>
    <x v="6"/>
    <n v="0"/>
    <n v="0"/>
    <n v="0.55300000000000005"/>
    <n v="0.55300000000000005"/>
    <n v="0.55300000000000005"/>
    <n v="0.55300000000000005"/>
    <n v="5"/>
    <s v="CATIVO"/>
    <n v="0"/>
    <n v="0"/>
    <n v="57"/>
    <n v="31"/>
    <n v="0"/>
    <n v="763.29"/>
    <n v="211.46"/>
    <m/>
    <n v="893.37980365440046"/>
    <n v="299.3674776555294"/>
    <n v="0"/>
    <n v="73.504760000000061"/>
    <n v="0"/>
    <n v="42.101441270067582"/>
    <x v="1"/>
  </r>
  <r>
    <s v="Regular"/>
    <x v="2"/>
    <x v="1"/>
    <x v="0"/>
    <x v="8"/>
    <x v="1"/>
    <x v="0"/>
    <x v="1"/>
    <x v="7"/>
    <n v="0"/>
    <n v="0"/>
    <n v="38.409999999999997"/>
    <n v="38.409999999999997"/>
    <n v="38.409999999999997"/>
    <n v="38.409999999999997"/>
    <n v="147"/>
    <s v="CATIVO"/>
    <n v="0"/>
    <n v="0"/>
    <n v="57"/>
    <n v="31"/>
    <n v="0"/>
    <n v="763.29"/>
    <n v="211.46"/>
    <m/>
    <n v="893.37980365440046"/>
    <n v="299.3674776555294"/>
    <n v="0"/>
    <n v="5105.4572000000035"/>
    <n v="0"/>
    <n v="2924.2610473477316"/>
    <x v="1"/>
  </r>
  <r>
    <s v="Sistema de Compensação"/>
    <x v="2"/>
    <x v="1"/>
    <x v="0"/>
    <x v="8"/>
    <x v="1"/>
    <x v="0"/>
    <x v="1"/>
    <x v="7"/>
    <n v="0"/>
    <n v="0"/>
    <n v="0.52"/>
    <n v="0.52"/>
    <n v="0.52"/>
    <n v="0.52"/>
    <n v="5"/>
    <s v="CATIVO"/>
    <n v="0"/>
    <n v="0"/>
    <n v="57"/>
    <n v="31"/>
    <n v="0"/>
    <n v="763.29"/>
    <n v="211.46"/>
    <m/>
    <n v="893.37980365440046"/>
    <n v="299.3674776555294"/>
    <n v="0"/>
    <n v="69.118400000000051"/>
    <n v="0"/>
    <n v="39.589058698797722"/>
    <x v="1"/>
  </r>
  <r>
    <s v="Regular"/>
    <x v="2"/>
    <x v="1"/>
    <x v="0"/>
    <x v="8"/>
    <x v="1"/>
    <x v="0"/>
    <x v="1"/>
    <x v="8"/>
    <n v="0"/>
    <n v="0"/>
    <n v="38.148000000000003"/>
    <n v="38.148000000000003"/>
    <n v="38.148000000000003"/>
    <n v="38.148000000000003"/>
    <n v="145"/>
    <s v="CATIVO"/>
    <n v="0"/>
    <n v="0"/>
    <n v="57"/>
    <n v="31"/>
    <n v="0"/>
    <n v="763.29"/>
    <n v="211.46"/>
    <m/>
    <n v="893.37980365440046"/>
    <n v="299.3674776555294"/>
    <n v="0"/>
    <n v="5070.6321600000047"/>
    <n v="0"/>
    <n v="2904.3142523879533"/>
    <x v="1"/>
  </r>
  <r>
    <s v="Sistema de Compensação"/>
    <x v="2"/>
    <x v="1"/>
    <x v="0"/>
    <x v="8"/>
    <x v="1"/>
    <x v="0"/>
    <x v="1"/>
    <x v="8"/>
    <n v="0"/>
    <n v="0"/>
    <n v="3.2010000000000001"/>
    <n v="3.2010000000000001"/>
    <n v="3.2010000000000001"/>
    <n v="3.2010000000000001"/>
    <n v="7"/>
    <s v="CATIVO"/>
    <n v="0"/>
    <n v="0"/>
    <n v="57"/>
    <n v="31"/>
    <n v="0"/>
    <n v="763.29"/>
    <n v="211.46"/>
    <m/>
    <n v="893.37980365440046"/>
    <n v="299.3674776555294"/>
    <n v="0"/>
    <n v="425.47692000000035"/>
    <n v="0"/>
    <n v="243.701109413176"/>
    <x v="1"/>
  </r>
  <r>
    <s v="Regular"/>
    <x v="2"/>
    <x v="1"/>
    <x v="0"/>
    <x v="8"/>
    <x v="1"/>
    <x v="0"/>
    <x v="1"/>
    <x v="9"/>
    <n v="0"/>
    <n v="0"/>
    <n v="41.704999999999998"/>
    <n v="41.704999999999998"/>
    <n v="41.704999999999998"/>
    <n v="41.704999999999998"/>
    <n v="142"/>
    <s v="CATIVO"/>
    <n v="0"/>
    <n v="0"/>
    <n v="57"/>
    <n v="31"/>
    <n v="0"/>
    <n v="763.29"/>
    <n v="211.46"/>
    <m/>
    <n v="893.37980365440046"/>
    <n v="299.3674776555294"/>
    <n v="0"/>
    <n v="5543.4286000000038"/>
    <n v="0"/>
    <n v="3175.1186404487671"/>
    <x v="1"/>
  </r>
  <r>
    <s v="Sistema de Compensação"/>
    <x v="2"/>
    <x v="1"/>
    <x v="0"/>
    <x v="8"/>
    <x v="1"/>
    <x v="0"/>
    <x v="1"/>
    <x v="9"/>
    <n v="0"/>
    <n v="0"/>
    <n v="2.4119999999999999"/>
    <n v="2.4119999999999999"/>
    <n v="2.4119999999999999"/>
    <n v="2.4119999999999999"/>
    <n v="7"/>
    <s v="CATIVO"/>
    <n v="0"/>
    <n v="0"/>
    <n v="57"/>
    <n v="31"/>
    <n v="0"/>
    <n v="763.29"/>
    <n v="211.46"/>
    <m/>
    <n v="893.37980365440046"/>
    <n v="299.3674776555294"/>
    <n v="0"/>
    <n v="320.60304000000025"/>
    <n v="0"/>
    <n v="183.63232611826945"/>
    <x v="1"/>
  </r>
  <r>
    <s v="Regular"/>
    <x v="2"/>
    <x v="1"/>
    <x v="0"/>
    <x v="8"/>
    <x v="1"/>
    <x v="0"/>
    <x v="1"/>
    <x v="10"/>
    <n v="0"/>
    <n v="0"/>
    <n v="42.475000000000001"/>
    <n v="42.475000000000001"/>
    <n v="42.475000000000001"/>
    <n v="42.475000000000001"/>
    <n v="142"/>
    <s v="CATIVO"/>
    <n v="0"/>
    <n v="0"/>
    <n v="57"/>
    <n v="31"/>
    <n v="0"/>
    <n v="763.29"/>
    <n v="211.46"/>
    <m/>
    <n v="893.37980365440046"/>
    <n v="299.3674776555294"/>
    <n v="0"/>
    <n v="5645.7770000000046"/>
    <n v="0"/>
    <n v="3233.7409004450642"/>
    <x v="1"/>
  </r>
  <r>
    <s v="Sistema de Compensação"/>
    <x v="2"/>
    <x v="1"/>
    <x v="0"/>
    <x v="8"/>
    <x v="1"/>
    <x v="0"/>
    <x v="1"/>
    <x v="10"/>
    <n v="0"/>
    <n v="0"/>
    <n v="1.849"/>
    <n v="1.849"/>
    <n v="1.849"/>
    <n v="1.849"/>
    <n v="7"/>
    <s v="CATIVO"/>
    <n v="0"/>
    <n v="0"/>
    <n v="57"/>
    <n v="31"/>
    <n v="0"/>
    <n v="763.29"/>
    <n v="211.46"/>
    <m/>
    <n v="893.37980365440046"/>
    <n v="299.3674776555294"/>
    <n v="0"/>
    <n v="245.76908000000017"/>
    <n v="0"/>
    <n v="140.76955679630191"/>
    <x v="1"/>
  </r>
  <r>
    <s v="Regular"/>
    <x v="2"/>
    <x v="1"/>
    <x v="0"/>
    <x v="8"/>
    <x v="1"/>
    <x v="0"/>
    <x v="1"/>
    <x v="11"/>
    <n v="0"/>
    <n v="0"/>
    <n v="41.295000000000002"/>
    <n v="41.295000000000002"/>
    <n v="41.295000000000002"/>
    <n v="41.295000000000002"/>
    <n v="142"/>
    <s v="CATIVO"/>
    <n v="0"/>
    <n v="0"/>
    <n v="57"/>
    <n v="31"/>
    <n v="0"/>
    <n v="763.29"/>
    <n v="211.46"/>
    <m/>
    <n v="893.37980365440046"/>
    <n v="299.3674776555294"/>
    <n v="0"/>
    <n v="5488.931400000004"/>
    <n v="0"/>
    <n v="3143.9041903208695"/>
    <x v="1"/>
  </r>
  <r>
    <s v="Sistema de Compensação"/>
    <x v="2"/>
    <x v="1"/>
    <x v="0"/>
    <x v="8"/>
    <x v="1"/>
    <x v="0"/>
    <x v="1"/>
    <x v="11"/>
    <n v="0"/>
    <n v="0"/>
    <n v="1.4870000000000001"/>
    <n v="1.4870000000000001"/>
    <n v="1.4870000000000001"/>
    <n v="1.4870000000000001"/>
    <n v="7"/>
    <s v="CATIVO"/>
    <n v="0"/>
    <n v="0"/>
    <n v="57"/>
    <n v="31"/>
    <n v="0"/>
    <n v="763.29"/>
    <n v="211.46"/>
    <m/>
    <n v="893.37980365440046"/>
    <n v="299.3674776555294"/>
    <n v="0"/>
    <n v="197.65204000000017"/>
    <n v="0"/>
    <n v="113.2094813175235"/>
    <x v="1"/>
  </r>
  <r>
    <s v="Regular"/>
    <x v="3"/>
    <x v="1"/>
    <x v="1"/>
    <x v="1"/>
    <x v="1"/>
    <x v="0"/>
    <x v="1"/>
    <x v="0"/>
    <n v="0"/>
    <n v="0"/>
    <n v="14.05"/>
    <n v="13.207000000000001"/>
    <n v="14.05"/>
    <n v="13.207000000000001"/>
    <n v="3"/>
    <s v="CATIVO"/>
    <n v="0"/>
    <n v="0"/>
    <n v="17"/>
    <n v="46"/>
    <n v="0"/>
    <n v="867.38"/>
    <n v="240.29"/>
    <m/>
    <n v="950.40404644085163"/>
    <n v="318.47604005907385"/>
    <n v="0"/>
    <n v="933.76580999999999"/>
    <n v="0"/>
    <n v="1069.6659129194372"/>
    <x v="2"/>
  </r>
  <r>
    <s v="Regular"/>
    <x v="3"/>
    <x v="1"/>
    <x v="1"/>
    <x v="1"/>
    <x v="1"/>
    <x v="0"/>
    <x v="1"/>
    <x v="1"/>
    <n v="0"/>
    <n v="0"/>
    <n v="22.119"/>
    <n v="20.79186"/>
    <n v="22.119"/>
    <n v="20.79186"/>
    <n v="3"/>
    <s v="CATIVO"/>
    <n v="0"/>
    <n v="0"/>
    <n v="17"/>
    <n v="46"/>
    <n v="0"/>
    <n v="867.38"/>
    <n v="240.29"/>
    <m/>
    <n v="950.40404644085163"/>
    <n v="318.47604005907385"/>
    <n v="0"/>
    <n v="1470.0331637999998"/>
    <n v="0"/>
    <n v="1683.9815179975112"/>
    <x v="2"/>
  </r>
  <r>
    <s v="Regular"/>
    <x v="3"/>
    <x v="1"/>
    <x v="1"/>
    <x v="1"/>
    <x v="1"/>
    <x v="0"/>
    <x v="1"/>
    <x v="2"/>
    <n v="0"/>
    <n v="0"/>
    <n v="21.76"/>
    <n v="20.4544"/>
    <n v="21.76"/>
    <n v="20.4544"/>
    <n v="3"/>
    <s v="CATIVO"/>
    <n v="0"/>
    <n v="0"/>
    <n v="17"/>
    <n v="46"/>
    <n v="0"/>
    <n v="867.38"/>
    <n v="240.29"/>
    <m/>
    <n v="950.40404644085163"/>
    <n v="318.47604005907385"/>
    <n v="0"/>
    <n v="1446.1739520000021"/>
    <n v="0"/>
    <n v="1656.6498409343051"/>
    <x v="2"/>
  </r>
  <r>
    <s v="Regular"/>
    <x v="3"/>
    <x v="1"/>
    <x v="1"/>
    <x v="1"/>
    <x v="1"/>
    <x v="0"/>
    <x v="1"/>
    <x v="3"/>
    <n v="0"/>
    <n v="0"/>
    <n v="9.3780000000000001"/>
    <n v="8.8153199999999998"/>
    <n v="9.3780000000000001"/>
    <n v="8.8153199999999998"/>
    <n v="3"/>
    <s v="CATIVO"/>
    <n v="0"/>
    <n v="0"/>
    <n v="17"/>
    <n v="46"/>
    <n v="0"/>
    <n v="867.38"/>
    <n v="240.29"/>
    <m/>
    <n v="950.40404644085163"/>
    <n v="318.47604005907385"/>
    <n v="0"/>
    <n v="623.26375560000031"/>
    <n v="0"/>
    <n v="713.97344707177854"/>
    <x v="2"/>
  </r>
  <r>
    <s v="Regular"/>
    <x v="3"/>
    <x v="1"/>
    <x v="1"/>
    <x v="1"/>
    <x v="1"/>
    <x v="0"/>
    <x v="1"/>
    <x v="4"/>
    <n v="0"/>
    <n v="0"/>
    <n v="14.198"/>
    <n v="13.346120000000001"/>
    <n v="14.198"/>
    <n v="13.346120000000001"/>
    <n v="3"/>
    <s v="CATIVO"/>
    <n v="0"/>
    <n v="0"/>
    <n v="17"/>
    <n v="46"/>
    <n v="0"/>
    <n v="867.38"/>
    <n v="240.29"/>
    <m/>
    <n v="950.40404644085163"/>
    <n v="318.47604005907385"/>
    <n v="0"/>
    <n v="943.60191959999941"/>
    <n v="0"/>
    <n v="1080.9335680875561"/>
    <x v="2"/>
  </r>
  <r>
    <s v="Regular"/>
    <x v="3"/>
    <x v="1"/>
    <x v="1"/>
    <x v="1"/>
    <x v="1"/>
    <x v="0"/>
    <x v="1"/>
    <x v="5"/>
    <n v="0"/>
    <n v="0"/>
    <n v="13.079000000000001"/>
    <n v="12.29426"/>
    <n v="13.079000000000001"/>
    <n v="12.29426"/>
    <n v="2"/>
    <s v="CATIVO"/>
    <n v="0"/>
    <n v="0"/>
    <n v="17"/>
    <n v="46"/>
    <n v="0"/>
    <n v="867.38"/>
    <n v="240.29"/>
    <m/>
    <n v="950.40404644085163"/>
    <n v="318.47604005907385"/>
    <n v="0"/>
    <n v="869.23295580000126"/>
    <n v="0"/>
    <n v="995.74095907995286"/>
    <x v="2"/>
  </r>
  <r>
    <s v="Regular"/>
    <x v="3"/>
    <x v="1"/>
    <x v="1"/>
    <x v="1"/>
    <x v="1"/>
    <x v="0"/>
    <x v="1"/>
    <x v="6"/>
    <n v="0"/>
    <n v="0"/>
    <n v="12.247"/>
    <n v="11.512180000000001"/>
    <n v="12.247"/>
    <n v="11.512180000000001"/>
    <n v="2"/>
    <s v="CATIVO"/>
    <n v="0"/>
    <n v="0"/>
    <n v="17"/>
    <n v="46"/>
    <n v="0"/>
    <n v="867.38"/>
    <n v="240.29"/>
    <m/>
    <n v="950.40404644085163"/>
    <n v="318.47604005907385"/>
    <n v="0"/>
    <n v="813.93806939999911"/>
    <n v="0"/>
    <n v="932.39846516187413"/>
    <x v="2"/>
  </r>
  <r>
    <s v="Regular"/>
    <x v="3"/>
    <x v="1"/>
    <x v="1"/>
    <x v="1"/>
    <x v="1"/>
    <x v="0"/>
    <x v="1"/>
    <x v="7"/>
    <n v="0"/>
    <n v="0"/>
    <n v="12.291"/>
    <n v="11.55354"/>
    <n v="12.291"/>
    <n v="11.55354"/>
    <n v="2"/>
    <s v="CATIVO"/>
    <n v="0"/>
    <n v="0"/>
    <n v="17"/>
    <n v="46"/>
    <n v="0"/>
    <n v="867.38"/>
    <n v="240.29"/>
    <m/>
    <n v="950.40404644085163"/>
    <n v="318.47604005907385"/>
    <n v="0"/>
    <n v="816.86231820000057"/>
    <n v="0"/>
    <n v="935.74830859023564"/>
    <x v="2"/>
  </r>
  <r>
    <s v="Regular"/>
    <x v="3"/>
    <x v="1"/>
    <x v="1"/>
    <x v="1"/>
    <x v="1"/>
    <x v="0"/>
    <x v="1"/>
    <x v="8"/>
    <n v="0"/>
    <n v="0"/>
    <n v="14.467000000000001"/>
    <n v="13.598979999999999"/>
    <n v="14.467000000000001"/>
    <n v="13.598979999999999"/>
    <n v="2"/>
    <s v="CATIVO"/>
    <n v="0"/>
    <n v="0"/>
    <n v="17"/>
    <n v="46"/>
    <n v="0"/>
    <n v="867.38"/>
    <n v="240.29"/>
    <m/>
    <n v="950.40404644085163"/>
    <n v="318.47604005907385"/>
    <n v="0"/>
    <n v="961.47971340000151"/>
    <n v="0"/>
    <n v="1101.4132926836671"/>
    <x v="2"/>
  </r>
  <r>
    <s v="Regular"/>
    <x v="3"/>
    <x v="1"/>
    <x v="1"/>
    <x v="1"/>
    <x v="1"/>
    <x v="0"/>
    <x v="1"/>
    <x v="9"/>
    <n v="0"/>
    <n v="0"/>
    <n v="14.925000000000001"/>
    <n v="14.029500000000001"/>
    <n v="14.925000000000001"/>
    <n v="14.029500000000001"/>
    <n v="2"/>
    <s v="CATIVO"/>
    <n v="0"/>
    <n v="0"/>
    <n v="17"/>
    <n v="46"/>
    <n v="0"/>
    <n v="867.38"/>
    <n v="240.29"/>
    <m/>
    <n v="950.40404644085163"/>
    <n v="318.47604005907385"/>
    <n v="0"/>
    <n v="991.91848500000015"/>
    <n v="0"/>
    <n v="1136.2821174606834"/>
    <x v="2"/>
  </r>
  <r>
    <s v="Regular"/>
    <x v="3"/>
    <x v="1"/>
    <x v="1"/>
    <x v="1"/>
    <x v="1"/>
    <x v="0"/>
    <x v="1"/>
    <x v="10"/>
    <n v="0"/>
    <n v="0"/>
    <n v="18.042999999999999"/>
    <n v="16.960419999999999"/>
    <n v="18.042999999999999"/>
    <n v="16.960419999999999"/>
    <n v="2"/>
    <s v="CATIVO"/>
    <n v="0"/>
    <n v="0"/>
    <n v="17"/>
    <n v="46"/>
    <n v="0"/>
    <n v="867.38"/>
    <n v="240.29"/>
    <m/>
    <n v="950.40404644085163"/>
    <n v="318.47604005907385"/>
    <n v="0"/>
    <n v="1199.1413886"/>
    <n v="0"/>
    <n v="1373.6642040430895"/>
    <x v="2"/>
  </r>
  <r>
    <s v="Regular"/>
    <x v="3"/>
    <x v="1"/>
    <x v="1"/>
    <x v="1"/>
    <x v="1"/>
    <x v="0"/>
    <x v="1"/>
    <x v="11"/>
    <n v="0"/>
    <n v="0"/>
    <n v="15.497"/>
    <n v="14.56718"/>
    <n v="15.497"/>
    <n v="14.56718"/>
    <n v="2"/>
    <s v="CATIVO"/>
    <n v="0"/>
    <n v="0"/>
    <n v="17"/>
    <n v="46"/>
    <n v="0"/>
    <n v="867.38"/>
    <n v="240.29"/>
    <m/>
    <n v="950.40404644085163"/>
    <n v="318.47604005907385"/>
    <n v="0"/>
    <n v="1029.9337193999993"/>
    <n v="0"/>
    <n v="1179.8300820293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66326-4E12-4050-A624-35B51D0967BD}" name="Efeito Resumo" cacheId="138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5" indent="0" outline="1" outlineData="1" multipleFieldFilters="0">
  <location ref="A1:J545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9">
        <item x="0"/>
        <item x="5"/>
        <item x="7"/>
        <item x="1"/>
        <item x="6"/>
        <item x="4"/>
        <item x="2"/>
        <item x="3"/>
        <item t="default"/>
      </items>
    </pivotField>
    <pivotField axis="axisRow" showAll="0">
      <items count="11">
        <item x="1"/>
        <item x="2"/>
        <item x="8"/>
        <item x="9"/>
        <item x="0"/>
        <item x="3"/>
        <item x="4"/>
        <item x="5"/>
        <item x="6"/>
        <item x="7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544">
    <i>
      <x/>
    </i>
    <i r="1">
      <x/>
    </i>
    <i r="2">
      <x/>
    </i>
    <i r="3">
      <x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3"/>
    </i>
    <i r="3">
      <x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1"/>
    </i>
    <i r="3">
      <x v="5"/>
    </i>
    <i r="4">
      <x v="5"/>
    </i>
    <i r="5">
      <x v="2"/>
    </i>
    <i r="6">
      <x/>
    </i>
    <i r="7">
      <x/>
    </i>
    <i r="8">
      <x/>
    </i>
    <i r="8">
      <x v="1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7">
      <x v="3"/>
    </i>
    <i r="8">
      <x v="2"/>
    </i>
    <i r="8">
      <x v="3"/>
    </i>
    <i r="2">
      <x v="2"/>
    </i>
    <i r="3">
      <x v="5"/>
    </i>
    <i r="4">
      <x v="5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2"/>
    </i>
    <i r="3">
      <x v="6"/>
    </i>
    <i r="4">
      <x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8"/>
    </i>
    <i r="8">
      <x v="9"/>
    </i>
    <i r="8">
      <x v="10"/>
    </i>
    <i r="8">
      <x v="11"/>
    </i>
    <i r="4">
      <x v="2"/>
    </i>
    <i r="5">
      <x/>
    </i>
    <i r="6">
      <x/>
    </i>
    <i r="7">
      <x v="2"/>
    </i>
    <i r="8">
      <x v="4"/>
    </i>
    <i r="8">
      <x v="5"/>
    </i>
    <i r="8">
      <x v="6"/>
    </i>
    <i r="8">
      <x v="7"/>
    </i>
    <i r="8">
      <x v="9"/>
    </i>
    <i r="8">
      <x v="10"/>
    </i>
    <i r="8">
      <x v="11"/>
    </i>
    <i r="5">
      <x v="1"/>
    </i>
    <i r="6">
      <x/>
    </i>
    <i r="7">
      <x v="2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2"/>
    </i>
    <i r="3">
      <x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2"/>
    </i>
    <i r="3">
      <x v="2"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82">
    <format dxfId="618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61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16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615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614">
      <pivotArea type="all" dataOnly="0" outline="0" fieldPosition="0"/>
    </format>
    <format dxfId="613">
      <pivotArea outline="0" collapsedLevelsAreSubtotals="1" fieldPosition="0"/>
    </format>
    <format dxfId="612">
      <pivotArea field="16" type="button" dataOnly="0" labelOnly="1" outline="0" axis="axisRow" fieldPosition="0"/>
    </format>
    <format dxfId="611">
      <pivotArea dataOnly="0" labelOnly="1" fieldPosition="0">
        <references count="1">
          <reference field="16" count="0"/>
        </references>
      </pivotArea>
    </format>
    <format dxfId="610">
      <pivotArea dataOnly="0" labelOnly="1" fieldPosition="0">
        <references count="2">
          <reference field="1" count="0"/>
          <reference field="16" count="0" selected="0"/>
        </references>
      </pivotArea>
    </format>
    <format dxfId="609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0" selected="0"/>
        </references>
      </pivotArea>
    </format>
    <format dxfId="608">
      <pivotArea dataOnly="0" labelOnly="1" fieldPosition="0">
        <references count="3">
          <reference field="1" count="1" selected="0">
            <x v="1"/>
          </reference>
          <reference field="2" count="2">
            <x v="1"/>
            <x v="2"/>
          </reference>
          <reference field="16" count="0" selected="0"/>
        </references>
      </pivotArea>
    </format>
    <format dxfId="607">
      <pivotArea dataOnly="0" labelOnly="1" fieldPosition="0">
        <references count="3">
          <reference field="1" count="1" selected="0">
            <x v="2"/>
          </reference>
          <reference field="2" count="1">
            <x v="2"/>
          </reference>
          <reference field="16" count="0" selected="0"/>
        </references>
      </pivotArea>
    </format>
    <format dxfId="606">
      <pivotArea dataOnly="0" labelOnly="1" fieldPosition="0">
        <references count="3">
          <reference field="1" count="1" selected="0">
            <x v="3"/>
          </reference>
          <reference field="2" count="2">
            <x v="1"/>
            <x v="2"/>
          </reference>
          <reference field="16" count="0" selected="0"/>
        </references>
      </pivotArea>
    </format>
    <format dxfId="605">
      <pivotArea dataOnly="0" labelOnly="1" fieldPosition="0">
        <references count="3">
          <reference field="1" count="1" selected="0">
            <x v="4"/>
          </reference>
          <reference field="2" count="1">
            <x v="2"/>
          </reference>
          <reference field="16" count="0" selected="0"/>
        </references>
      </pivotArea>
    </format>
    <format dxfId="604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  <reference field="16" count="0" selected="0"/>
        </references>
      </pivotArea>
    </format>
    <format dxfId="603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4">
            <x v="0"/>
            <x v="3"/>
            <x v="6"/>
            <x v="7"/>
          </reference>
          <reference field="16" count="0" selected="0"/>
        </references>
      </pivotArea>
    </format>
    <format dxfId="602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601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>
            <x v="5"/>
          </reference>
          <reference field="16" count="0" selected="0"/>
        </references>
      </pivotArea>
    </format>
    <format dxfId="600">
      <pivotArea dataOnly="0" labelOnly="1" fieldPosition="0">
        <references count="4">
          <reference field="1" count="1" selected="0">
            <x v="2"/>
          </reference>
          <reference field="2" count="1" selected="0">
            <x v="2"/>
          </reference>
          <reference field="3" count="1">
            <x v="6"/>
          </reference>
          <reference field="16" count="0" selected="0"/>
        </references>
      </pivotArea>
    </format>
    <format dxfId="599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0"/>
          </reference>
          <reference field="16" count="0" selected="0"/>
        </references>
      </pivotArea>
    </format>
    <format dxfId="598">
      <pivotArea dataOnly="0" labelOnly="1" fieldPosition="0">
        <references count="4">
          <reference field="1" count="1" selected="0">
            <x v="3"/>
          </reference>
          <reference field="2" count="1" selected="0">
            <x v="2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597">
      <pivotArea dataOnly="0" labelOnly="1" fieldPosition="0">
        <references count="4">
          <reference field="1" count="1" selected="0">
            <x v="4"/>
          </reference>
          <reference field="2" count="1" selected="0">
            <x v="2"/>
          </reference>
          <reference field="3" count="1">
            <x v="2"/>
          </reference>
          <reference field="16" count="0" selected="0"/>
        </references>
      </pivotArea>
    </format>
    <format dxfId="59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595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594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593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>
            <x v="0"/>
          </reference>
          <reference field="16" count="0" selected="0"/>
        </references>
      </pivotArea>
    </format>
    <format dxfId="59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591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5"/>
          </reference>
          <reference field="16" count="0" selected="0"/>
        </references>
      </pivotArea>
    </format>
    <format dxfId="590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0" selected="0"/>
        </references>
      </pivotArea>
    </format>
    <format dxfId="589">
      <pivotArea dataOnly="0" labelOnly="1" fieldPosition="0">
        <references count="5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0" selected="0"/>
        </references>
      </pivotArea>
    </format>
    <format dxfId="58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587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586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"/>
          </reference>
          <reference field="16" count="0" selected="0"/>
        </references>
      </pivotArea>
    </format>
    <format dxfId="585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584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4"/>
          </reference>
          <reference field="16" count="0" selected="0"/>
        </references>
      </pivotArea>
    </format>
    <format dxfId="583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582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16" count="0" selected="0"/>
        </references>
      </pivotArea>
    </format>
    <format dxfId="581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80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79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7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0" selected="0"/>
        </references>
      </pivotArea>
    </format>
    <format dxfId="577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57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575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57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573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572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571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570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569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0" selected="0"/>
        </references>
      </pivotArea>
    </format>
    <format dxfId="568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6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66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65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64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63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62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561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560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5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58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57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556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55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5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53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52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51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5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49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48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547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546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545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544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4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42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41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40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39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38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37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36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53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534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533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0"/>
          </reference>
          <reference field="16" count="0" selected="0"/>
        </references>
      </pivotArea>
    </format>
    <format dxfId="532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531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53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529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28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27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2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25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24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23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22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21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20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1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518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17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16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15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14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13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512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511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51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50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50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50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50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50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50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50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50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50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50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9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9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9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10">
            <x v="0"/>
            <x v="1"/>
            <x v="3"/>
            <x v="4"/>
            <x v="5"/>
            <x v="6"/>
            <x v="7"/>
            <x v="8"/>
            <x v="9"/>
            <x v="10"/>
          </reference>
          <reference field="16" count="0" selected="0"/>
        </references>
      </pivotArea>
    </format>
    <format dxfId="49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2">
            <x v="2"/>
            <x v="3"/>
          </reference>
          <reference field="16" count="0" selected="0"/>
        </references>
      </pivotArea>
    </format>
    <format dxfId="495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94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93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9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91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90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89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11">
            <x v="0"/>
            <x v="1"/>
            <x v="2"/>
            <x v="3"/>
            <x v="4"/>
            <x v="5"/>
            <x v="6"/>
            <x v="8"/>
            <x v="9"/>
            <x v="10"/>
            <x v="11"/>
          </reference>
          <reference field="16" count="0" selected="0"/>
        </references>
      </pivotArea>
    </format>
    <format dxfId="488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7">
            <x v="4"/>
            <x v="5"/>
            <x v="6"/>
            <x v="7"/>
            <x v="9"/>
            <x v="10"/>
            <x v="11"/>
          </reference>
          <reference field="16" count="0" selected="0"/>
        </references>
      </pivotArea>
    </format>
    <format dxfId="487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8"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486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8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8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8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82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81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80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79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78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77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76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75">
      <pivotArea type="all" dataOnly="0" outline="0" fieldPosition="0"/>
    </format>
    <format dxfId="474">
      <pivotArea outline="0" collapsedLevelsAreSubtotals="1" fieldPosition="0"/>
    </format>
    <format dxfId="473">
      <pivotArea field="16" type="button" dataOnly="0" labelOnly="1" outline="0" axis="axisRow" fieldPosition="0"/>
    </format>
    <format dxfId="472">
      <pivotArea dataOnly="0" labelOnly="1" fieldPosition="0">
        <references count="1">
          <reference field="16" count="0"/>
        </references>
      </pivotArea>
    </format>
    <format dxfId="471">
      <pivotArea dataOnly="0" labelOnly="1" fieldPosition="0">
        <references count="2">
          <reference field="1" count="0"/>
          <reference field="16" count="0" selected="0"/>
        </references>
      </pivotArea>
    </format>
    <format dxfId="470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0" selected="0"/>
        </references>
      </pivotArea>
    </format>
    <format dxfId="469">
      <pivotArea dataOnly="0" labelOnly="1" fieldPosition="0">
        <references count="3">
          <reference field="1" count="1" selected="0">
            <x v="1"/>
          </reference>
          <reference field="2" count="2">
            <x v="1"/>
            <x v="2"/>
          </reference>
          <reference field="16" count="0" selected="0"/>
        </references>
      </pivotArea>
    </format>
    <format dxfId="468">
      <pivotArea dataOnly="0" labelOnly="1" fieldPosition="0">
        <references count="3">
          <reference field="1" count="1" selected="0">
            <x v="2"/>
          </reference>
          <reference field="2" count="1">
            <x v="2"/>
          </reference>
          <reference field="16" count="0" selected="0"/>
        </references>
      </pivotArea>
    </format>
    <format dxfId="467">
      <pivotArea dataOnly="0" labelOnly="1" fieldPosition="0">
        <references count="3">
          <reference field="1" count="1" selected="0">
            <x v="3"/>
          </reference>
          <reference field="2" count="2">
            <x v="1"/>
            <x v="2"/>
          </reference>
          <reference field="16" count="0" selected="0"/>
        </references>
      </pivotArea>
    </format>
    <format dxfId="466">
      <pivotArea dataOnly="0" labelOnly="1" fieldPosition="0">
        <references count="3">
          <reference field="1" count="1" selected="0">
            <x v="4"/>
          </reference>
          <reference field="2" count="1">
            <x v="2"/>
          </reference>
          <reference field="16" count="0" selected="0"/>
        </references>
      </pivotArea>
    </format>
    <format dxfId="46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  <reference field="16" count="0" selected="0"/>
        </references>
      </pivotArea>
    </format>
    <format dxfId="464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4">
            <x v="0"/>
            <x v="3"/>
            <x v="6"/>
            <x v="7"/>
          </reference>
          <reference field="16" count="0" selected="0"/>
        </references>
      </pivotArea>
    </format>
    <format dxfId="463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462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>
            <x v="5"/>
          </reference>
          <reference field="16" count="0" selected="0"/>
        </references>
      </pivotArea>
    </format>
    <format dxfId="461">
      <pivotArea dataOnly="0" labelOnly="1" fieldPosition="0">
        <references count="4">
          <reference field="1" count="1" selected="0">
            <x v="2"/>
          </reference>
          <reference field="2" count="1" selected="0">
            <x v="2"/>
          </reference>
          <reference field="3" count="1">
            <x v="6"/>
          </reference>
          <reference field="16" count="0" selected="0"/>
        </references>
      </pivotArea>
    </format>
    <format dxfId="460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0"/>
          </reference>
          <reference field="16" count="0" selected="0"/>
        </references>
      </pivotArea>
    </format>
    <format dxfId="459">
      <pivotArea dataOnly="0" labelOnly="1" fieldPosition="0">
        <references count="4">
          <reference field="1" count="1" selected="0">
            <x v="3"/>
          </reference>
          <reference field="2" count="1" selected="0">
            <x v="2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458">
      <pivotArea dataOnly="0" labelOnly="1" fieldPosition="0">
        <references count="4">
          <reference field="1" count="1" selected="0">
            <x v="4"/>
          </reference>
          <reference field="2" count="1" selected="0">
            <x v="2"/>
          </reference>
          <reference field="3" count="1">
            <x v="2"/>
          </reference>
          <reference field="16" count="0" selected="0"/>
        </references>
      </pivotArea>
    </format>
    <format dxfId="457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456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455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454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>
            <x v="0"/>
          </reference>
          <reference field="16" count="0" selected="0"/>
        </references>
      </pivotArea>
    </format>
    <format dxfId="453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452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5"/>
          </reference>
          <reference field="16" count="0" selected="0"/>
        </references>
      </pivotArea>
    </format>
    <format dxfId="451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0" selected="0"/>
        </references>
      </pivotArea>
    </format>
    <format dxfId="450">
      <pivotArea dataOnly="0" labelOnly="1" fieldPosition="0">
        <references count="5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0" selected="0"/>
        </references>
      </pivotArea>
    </format>
    <format dxfId="44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448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447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4"/>
          </reference>
          <reference field="16" count="0" selected="0"/>
        </references>
      </pivotArea>
    </format>
    <format dxfId="446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445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4"/>
          </reference>
          <reference field="16" count="0" selected="0"/>
        </references>
      </pivotArea>
    </format>
    <format dxfId="444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443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3"/>
          </reference>
          <reference field="16" count="0" selected="0"/>
        </references>
      </pivotArea>
    </format>
    <format dxfId="44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41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40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39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0" selected="0"/>
        </references>
      </pivotArea>
    </format>
    <format dxfId="43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43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436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435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434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433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432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431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430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0" selected="0"/>
        </references>
      </pivotArea>
    </format>
    <format dxfId="429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2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27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26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25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24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23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422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21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20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1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18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17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16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1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14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13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12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11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1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09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408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07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406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05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0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03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02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01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00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9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8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7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396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9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94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0"/>
          </reference>
          <reference field="16" count="0" selected="0"/>
        </references>
      </pivotArea>
    </format>
    <format dxfId="393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92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9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390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9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8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7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5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4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3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2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1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379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8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7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6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5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4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72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7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7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6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6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6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6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6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6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6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6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6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6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5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10">
            <x v="0"/>
            <x v="1"/>
            <x v="3"/>
            <x v="4"/>
            <x v="5"/>
            <x v="6"/>
            <x v="7"/>
            <x v="8"/>
            <x v="9"/>
            <x v="10"/>
          </reference>
          <reference field="16" count="0" selected="0"/>
        </references>
      </pivotArea>
    </format>
    <format dxfId="35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2">
            <x v="2"/>
            <x v="3"/>
          </reference>
          <reference field="16" count="0" selected="0"/>
        </references>
      </pivotArea>
    </format>
    <format dxfId="356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5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4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3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1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0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11">
            <x v="0"/>
            <x v="1"/>
            <x v="2"/>
            <x v="3"/>
            <x v="4"/>
            <x v="5"/>
            <x v="6"/>
            <x v="8"/>
            <x v="9"/>
            <x v="10"/>
            <x v="11"/>
          </reference>
          <reference field="16" count="0" selected="0"/>
        </references>
      </pivotArea>
    </format>
    <format dxfId="349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7">
            <x v="4"/>
            <x v="5"/>
            <x v="6"/>
            <x v="7"/>
            <x v="9"/>
            <x v="10"/>
            <x v="11"/>
          </reference>
          <reference field="16" count="0" selected="0"/>
        </references>
      </pivotArea>
    </format>
    <format dxfId="348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8"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347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4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4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43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2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1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0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9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8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7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CA871D-BC08-461A-9087-98E63C094349}" name="Subsidio Resumo" cacheId="139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5" indent="0" outline="1" outlineData="1" multipleFieldFilters="0">
  <location ref="A1:G288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10">
        <item x="0"/>
        <item x="1"/>
        <item x="7"/>
        <item x="8"/>
        <item x="2"/>
        <item x="3"/>
        <item x="4"/>
        <item x="5"/>
        <item x="6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2"/>
        <item x="4"/>
        <item x="0"/>
        <item x="1"/>
        <item x="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87">
    <i>
      <x/>
    </i>
    <i r="1">
      <x/>
    </i>
    <i r="2">
      <x v="1"/>
    </i>
    <i r="3">
      <x v="2"/>
    </i>
    <i r="4">
      <x v="1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 v="2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1"/>
    </i>
    <i r="3">
      <x v="1"/>
    </i>
    <i r="4">
      <x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1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 v="1"/>
    </i>
    <i r="8">
      <x v="4"/>
    </i>
    <i r="8">
      <x v="5"/>
    </i>
    <i>
      <x v="3"/>
    </i>
    <i r="1">
      <x/>
    </i>
    <i r="2">
      <x v="1"/>
    </i>
    <i r="3">
      <x v="1"/>
    </i>
    <i r="4">
      <x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1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/>
    </i>
    <i r="6">
      <x/>
    </i>
    <i r="7">
      <x v="1"/>
    </i>
    <i r="8">
      <x v="4"/>
    </i>
    <i r="8">
      <x v="5"/>
    </i>
    <i r="8">
      <x v="6"/>
    </i>
    <i r="8">
      <x v="7"/>
    </i>
    <i r="8">
      <x v="9"/>
    </i>
    <i r="8">
      <x v="10"/>
    </i>
    <i r="8">
      <x v="11"/>
    </i>
    <i r="5">
      <x v="1"/>
    </i>
    <i r="6">
      <x/>
    </i>
    <i r="7">
      <x v="1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1"/>
    </i>
    <i r="2">
      <x/>
    </i>
    <i r="3">
      <x/>
    </i>
    <i r="4">
      <x v="4"/>
    </i>
    <i r="5">
      <x v="2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96">
    <format dxfId="336">
      <pivotArea outline="0" collapsedLevelsAreSubtotals="1" fieldPosition="0"/>
    </format>
    <format dxfId="33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34">
      <pivotArea type="all" dataOnly="0" outline="0" fieldPosition="0"/>
    </format>
    <format dxfId="333">
      <pivotArea outline="0" collapsedLevelsAreSubtotals="1" fieldPosition="0"/>
    </format>
    <format dxfId="332">
      <pivotArea field="31" type="button" dataOnly="0" labelOnly="1" outline="0" axis="axisRow" fieldPosition="0"/>
    </format>
    <format dxfId="331">
      <pivotArea dataOnly="0" labelOnly="1" fieldPosition="0">
        <references count="1">
          <reference field="31" count="0"/>
        </references>
      </pivotArea>
    </format>
    <format dxfId="330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329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28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2"/>
          </reference>
        </references>
      </pivotArea>
    </format>
    <format dxfId="327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326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325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324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323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322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321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320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319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318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317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316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315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314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31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312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311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310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309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08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07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306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305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2"/>
          </reference>
        </references>
      </pivotArea>
    </format>
    <format dxfId="304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303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3">
            <x v="0"/>
            <x v="2"/>
            <x v="3"/>
          </reference>
          <reference field="31" count="1" selected="0">
            <x v="3"/>
          </reference>
        </references>
      </pivotArea>
    </format>
    <format dxfId="302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"/>
          </reference>
          <reference field="31" count="1" selected="0">
            <x v="4"/>
          </reference>
        </references>
      </pivotArea>
    </format>
    <format dxfId="301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300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9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9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9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9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95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94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9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92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9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29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2">
            <x v="0"/>
            <x v="1"/>
          </reference>
          <reference field="31" count="1" selected="0">
            <x v="3"/>
          </reference>
        </references>
      </pivotArea>
    </format>
    <format dxfId="28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8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87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286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28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8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8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8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81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8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7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78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7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7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75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27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7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272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271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7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6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6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6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66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0"/>
          </reference>
          <reference field="31" count="1" selected="0">
            <x v="2"/>
          </reference>
        </references>
      </pivotArea>
    </format>
    <format dxfId="265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26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263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26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6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6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5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5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5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25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5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54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5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5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5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5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4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1">
            <x v="0"/>
            <x v="1"/>
            <x v="2"/>
            <x v="3"/>
            <x v="4"/>
            <x v="5"/>
            <x v="6"/>
            <x v="8"/>
            <x v="9"/>
            <x v="10"/>
            <x v="11"/>
          </reference>
          <reference field="31" count="1" selected="0">
            <x v="2"/>
          </reference>
        </references>
      </pivotArea>
    </format>
    <format dxfId="24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2">
            <x v="4"/>
            <x v="5"/>
          </reference>
          <reference field="31" count="1" selected="0">
            <x v="2"/>
          </reference>
        </references>
      </pivotArea>
    </format>
    <format dxfId="24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4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4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4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4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7">
            <x v="4"/>
            <x v="5"/>
            <x v="6"/>
            <x v="7"/>
            <x v="9"/>
            <x v="10"/>
            <x v="11"/>
          </reference>
          <reference field="31" count="1" selected="0">
            <x v="3"/>
          </reference>
        </references>
      </pivotArea>
    </format>
    <format dxfId="24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6">
            <x v="6"/>
            <x v="7"/>
            <x v="8"/>
            <x v="9"/>
            <x v="10"/>
            <x v="11"/>
          </reference>
          <reference field="31" count="1" selected="0">
            <x v="3"/>
          </reference>
        </references>
      </pivotArea>
    </format>
    <format dxfId="24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3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23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37">
      <pivotArea type="all" dataOnly="0" outline="0" fieldPosition="0"/>
    </format>
    <format dxfId="236">
      <pivotArea outline="0" collapsedLevelsAreSubtotals="1" fieldPosition="0"/>
    </format>
    <format dxfId="235">
      <pivotArea field="31" type="button" dataOnly="0" labelOnly="1" outline="0" axis="axisRow" fieldPosition="0"/>
    </format>
    <format dxfId="234">
      <pivotArea dataOnly="0" labelOnly="1" fieldPosition="0">
        <references count="1">
          <reference field="31" count="0"/>
        </references>
      </pivotArea>
    </format>
    <format dxfId="233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32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31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2"/>
          </reference>
        </references>
      </pivotArea>
    </format>
    <format dxfId="230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29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28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27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26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25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24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23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22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21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20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19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18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17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16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15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14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13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212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11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10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09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208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2"/>
          </reference>
        </references>
      </pivotArea>
    </format>
    <format dxfId="207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206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3">
            <x v="0"/>
            <x v="2"/>
            <x v="3"/>
          </reference>
          <reference field="31" count="1" selected="0">
            <x v="3"/>
          </reference>
        </references>
      </pivotArea>
    </format>
    <format dxfId="205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"/>
          </reference>
          <reference field="31" count="1" selected="0">
            <x v="4"/>
          </reference>
        </references>
      </pivotArea>
    </format>
    <format dxfId="204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03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0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8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97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96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95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94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9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2">
            <x v="0"/>
            <x v="1"/>
          </reference>
          <reference field="31" count="1" selected="0">
            <x v="3"/>
          </reference>
        </references>
      </pivotArea>
    </format>
    <format dxfId="19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9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90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89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8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4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8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82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81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8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7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7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17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7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175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174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7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9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0"/>
          </reference>
          <reference field="31" count="1" selected="0">
            <x v="2"/>
          </reference>
        </references>
      </pivotArea>
    </format>
    <format dxfId="16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6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66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165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5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5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57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5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5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1">
            <x v="0"/>
            <x v="1"/>
            <x v="2"/>
            <x v="3"/>
            <x v="4"/>
            <x v="5"/>
            <x v="6"/>
            <x v="8"/>
            <x v="9"/>
            <x v="10"/>
            <x v="11"/>
          </reference>
          <reference field="31" count="1" selected="0">
            <x v="2"/>
          </reference>
        </references>
      </pivotArea>
    </format>
    <format dxfId="15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2">
            <x v="4"/>
            <x v="5"/>
          </reference>
          <reference field="31" count="1" selected="0">
            <x v="2"/>
          </reference>
        </references>
      </pivotArea>
    </format>
    <format dxfId="14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4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4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4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4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7">
            <x v="4"/>
            <x v="5"/>
            <x v="6"/>
            <x v="7"/>
            <x v="9"/>
            <x v="10"/>
            <x v="11"/>
          </reference>
          <reference field="31" count="1" selected="0">
            <x v="3"/>
          </reference>
        </references>
      </pivotArea>
    </format>
    <format dxfId="14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6">
            <x v="6"/>
            <x v="7"/>
            <x v="8"/>
            <x v="9"/>
            <x v="10"/>
            <x v="11"/>
          </reference>
          <reference field="31" count="1" selected="0">
            <x v="3"/>
          </reference>
        </references>
      </pivotArea>
    </format>
    <format dxfId="14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4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14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0CCD0F9-C681-4F79-8690-27605060FBE1}" autoFormatId="0" applyNumberFormats="0" applyBorderFormats="0" applyFontFormats="1" applyPatternFormats="1" applyAlignmentFormats="0" applyWidthHeightFormats="0">
  <queryTableRefresh nextId="43">
    <queryTableFields count="42">
      <queryTableField id="1" name="SUBGRUPO" tableColumnId="43"/>
      <queryTableField id="2" name="MODALIDADE" tableColumnId="44"/>
      <queryTableField id="3" name="CLASSE" tableColumnId="45"/>
      <queryTableField id="4" name="SUBCLASSE" tableColumnId="46"/>
      <queryTableField id="5" name="DETALHE" tableColumnId="47"/>
      <queryTableField id="6" name="POSTO" tableColumnId="48"/>
      <queryTableField id="7" name="UNIDADE" tableColumnId="49"/>
      <queryTableField id="8" name="ACESSANTE" tableColumnId="50"/>
      <queryTableField id="9" name="Total TUSD" tableColumnId="51"/>
      <queryTableField id="10" name="Total TE" tableColumnId="52"/>
      <queryTableField id="11" name="TUSD_CDE_COVID" tableColumnId="53"/>
      <queryTableField id="12" name="TUSD_TFSEE" tableColumnId="54"/>
      <queryTableField id="13" name="TUSD_PeD" tableColumnId="55"/>
      <queryTableField id="14" name="TUSD_ONS" tableColumnId="56"/>
      <queryTableField id="15" name="TUSD_CCC" tableColumnId="57"/>
      <queryTableField id="16" name="TUSD_CDE" tableColumnId="58"/>
      <queryTableField id="17" name="TUSD_PROINFA" tableColumnId="59"/>
      <queryTableField id="18" name="Liminar1" tableColumnId="60"/>
      <queryTableField id="19" name="TUSD_RB" tableColumnId="61"/>
      <queryTableField id="20" name="TUSD_FR" tableColumnId="62"/>
      <queryTableField id="21" name="TUSD_CCT" tableColumnId="63"/>
      <queryTableField id="22" name="TUSD_CCD" tableColumnId="64"/>
      <queryTableField id="23" name="TUSD_CUSD" tableColumnId="65"/>
      <queryTableField id="24" name="TUSDG_T" tableColumnId="66"/>
      <queryTableField id="25" name="TUSDG_ONS" tableColumnId="67"/>
      <queryTableField id="26" name="TUSD_FioB" tableColumnId="68"/>
      <queryTableField id="27" name="TUSD Subsidio" tableColumnId="69"/>
      <queryTableField id="28" name="TUSD Outros" tableColumnId="70"/>
      <queryTableField id="29" name="TUSD_PT" tableColumnId="71"/>
      <queryTableField id="30" name="TUSD_Per_RB_D" tableColumnId="72"/>
      <queryTableField id="31" name="TUSD_PNT" tableColumnId="73"/>
      <queryTableField id="32" name="TUSD_RI" tableColumnId="74"/>
      <queryTableField id="33" name="TE_CDE_COVID" tableColumnId="75"/>
      <queryTableField id="34" name="TE_PeD" tableColumnId="76"/>
      <queryTableField id="35" name="TE_ESSERR" tableColumnId="77"/>
      <queryTableField id="36" name="TE_CFURH" tableColumnId="78"/>
      <queryTableField id="37" name="TE_ENERGIA" tableColumnId="79"/>
      <queryTableField id="38" name="TE_TRANSPORTE_ITAIPU" tableColumnId="80"/>
      <queryTableField id="39" name="TE_TUST_ITAIPU" tableColumnId="81"/>
      <queryTableField id="40" name="TE_TUST_CI" tableColumnId="82"/>
      <queryTableField id="41" name="TE Subsidio" tableColumnId="83"/>
      <queryTableField id="42" name="TE_Per_RB" tableColumnId="8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8F8A5C5-BA12-4242-9AD8-34F5E2FFA372}" autoFormatId="0" applyNumberFormats="0" applyBorderFormats="0" applyFontFormats="1" applyPatternFormats="1" applyAlignmentFormats="0" applyWidthHeightFormats="0">
  <queryTableRefresh nextId="43">
    <queryTableFields count="42">
      <queryTableField id="1" name="SUBGRUPO" tableColumnId="43"/>
      <queryTableField id="2" name="MODALIDADE" tableColumnId="44"/>
      <queryTableField id="3" name="CLASSE" tableColumnId="45"/>
      <queryTableField id="4" name="SUBCLASSE" tableColumnId="46"/>
      <queryTableField id="5" name="DETALHE" tableColumnId="47"/>
      <queryTableField id="6" name="POSTO" tableColumnId="48"/>
      <queryTableField id="7" name="UNIDADE" tableColumnId="49"/>
      <queryTableField id="8" name="ACESSANTE" tableColumnId="50"/>
      <queryTableField id="9" name="Total TUSD" tableColumnId="51"/>
      <queryTableField id="10" name="Total TE" tableColumnId="52"/>
      <queryTableField id="11" name="TUSD_CDE_COVID" tableColumnId="53"/>
      <queryTableField id="12" name="TUSD_TFSEE" tableColumnId="54"/>
      <queryTableField id="13" name="TUSD_PeD" tableColumnId="55"/>
      <queryTableField id="14" name="TUSD_ONS" tableColumnId="56"/>
      <queryTableField id="15" name="TUSD_CCC" tableColumnId="57"/>
      <queryTableField id="16" name="TUSD_CDE" tableColumnId="58"/>
      <queryTableField id="17" name="TUSD_PROINFA" tableColumnId="59"/>
      <queryTableField id="18" name="Liminar1" tableColumnId="60"/>
      <queryTableField id="19" name="TUSD_RB" tableColumnId="61"/>
      <queryTableField id="20" name="TUSD_FR" tableColumnId="62"/>
      <queryTableField id="21" name="TUSD_CCT" tableColumnId="63"/>
      <queryTableField id="22" name="TUSD_CCD" tableColumnId="64"/>
      <queryTableField id="23" name="TUSD_CUSD" tableColumnId="65"/>
      <queryTableField id="24" name="TUSDG_T" tableColumnId="66"/>
      <queryTableField id="25" name="TUSDG_ONS" tableColumnId="67"/>
      <queryTableField id="26" name="TUSD_FioB" tableColumnId="68"/>
      <queryTableField id="27" name="TUSD Subsidio" tableColumnId="69"/>
      <queryTableField id="28" name="TUSD Outros" tableColumnId="70"/>
      <queryTableField id="29" name="TUSD_PT" tableColumnId="71"/>
      <queryTableField id="30" name="TUSD_Per_RB_D" tableColumnId="72"/>
      <queryTableField id="31" name="TUSD_PNT" tableColumnId="73"/>
      <queryTableField id="32" name="TUSD_RI" tableColumnId="74"/>
      <queryTableField id="33" name="TE_CDE_COVID" tableColumnId="75"/>
      <queryTableField id="34" name="TE_PeD" tableColumnId="76"/>
      <queryTableField id="35" name="TE_ESSERR" tableColumnId="77"/>
      <queryTableField id="36" name="TE_CFURH" tableColumnId="78"/>
      <queryTableField id="37" name="TE_ENERGIA" tableColumnId="79"/>
      <queryTableField id="38" name="TE_TRANSPORTE_ITAIPU" tableColumnId="80"/>
      <queryTableField id="39" name="TE_TUST_ITAIPU" tableColumnId="81"/>
      <queryTableField id="40" name="TE_TUST_CI" tableColumnId="82"/>
      <queryTableField id="41" name="TE Subsidio" tableColumnId="83"/>
      <queryTableField id="42" name="TE_Per_RB" tableColumnId="8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56C9A9B-A3F7-4233-B763-45B3F30F31C4}" autoFormatId="0" applyNumberFormats="0" applyBorderFormats="0" applyFontFormats="1" applyPatternFormats="1" applyAlignmentFormats="0" applyWidthHeightFormats="0">
  <queryTableRefresh nextId="43">
    <queryTableFields count="42">
      <queryTableField id="1" name="SUBGRUPO" tableColumnId="43"/>
      <queryTableField id="2" name="MODALIDADE" tableColumnId="44"/>
      <queryTableField id="3" name="CLASSE" tableColumnId="45"/>
      <queryTableField id="4" name="SUBCLASSE" tableColumnId="46"/>
      <queryTableField id="5" name="DETALHE" tableColumnId="47"/>
      <queryTableField id="6" name="POSTO" tableColumnId="48"/>
      <queryTableField id="7" name="UNIDADE" tableColumnId="49"/>
      <queryTableField id="8" name="ACESSANTE" tableColumnId="50"/>
      <queryTableField id="9" name="Total TUSD" tableColumnId="51"/>
      <queryTableField id="10" name="Total TE" tableColumnId="52"/>
      <queryTableField id="11" name="TUSD_CDE_COVID" tableColumnId="53"/>
      <queryTableField id="12" name="TUSD_TFSEE" tableColumnId="54"/>
      <queryTableField id="13" name="TUSD_PeD" tableColumnId="55"/>
      <queryTableField id="14" name="TUSD_ONS" tableColumnId="56"/>
      <queryTableField id="15" name="TUSD_CCC" tableColumnId="57"/>
      <queryTableField id="16" name="TUSD_CDE" tableColumnId="58"/>
      <queryTableField id="17" name="TUSD_PROINFA" tableColumnId="59"/>
      <queryTableField id="18" name="Liminar1" tableColumnId="60"/>
      <queryTableField id="19" name="TUSD_RB" tableColumnId="61"/>
      <queryTableField id="20" name="TUSD_FR" tableColumnId="62"/>
      <queryTableField id="21" name="TUSD_CCT" tableColumnId="63"/>
      <queryTableField id="22" name="TUSD_CCD" tableColumnId="64"/>
      <queryTableField id="23" name="TUSD_CUSD" tableColumnId="65"/>
      <queryTableField id="24" name="TUSDG_T" tableColumnId="66"/>
      <queryTableField id="25" name="TUSDG_ONS" tableColumnId="67"/>
      <queryTableField id="26" name="TUSD_FioB" tableColumnId="68"/>
      <queryTableField id="27" name="TUSD Subsidio" tableColumnId="69"/>
      <queryTableField id="28" name="TUSD Outros" tableColumnId="70"/>
      <queryTableField id="29" name="TUSD_PT" tableColumnId="71"/>
      <queryTableField id="30" name="TUSD_Per_RB_D" tableColumnId="72"/>
      <queryTableField id="31" name="TUSD_PNT" tableColumnId="73"/>
      <queryTableField id="32" name="TUSD_RI" tableColumnId="74"/>
      <queryTableField id="33" name="TE_CDE_COVID" tableColumnId="75"/>
      <queryTableField id="34" name="TE_PeD" tableColumnId="76"/>
      <queryTableField id="35" name="TE_ESSERR" tableColumnId="77"/>
      <queryTableField id="36" name="TE_CFURH" tableColumnId="78"/>
      <queryTableField id="37" name="TE_ENERGIA" tableColumnId="79"/>
      <queryTableField id="38" name="TE_TRANSPORTE_ITAIPU" tableColumnId="80"/>
      <queryTableField id="39" name="TE_TUST_ITAIPU" tableColumnId="81"/>
      <queryTableField id="40" name="TE_TUST_CI" tableColumnId="82"/>
      <queryTableField id="41" name="TE Subsidio" tableColumnId="83"/>
      <queryTableField id="42" name="TE_Per_RB" tableColumnId="8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2D1A8D-A63D-452E-B9DB-4BD5444D1EE8}" name="Efeito" displayName="Efeito" ref="A1:AG475" totalsRowShown="0" headerRowDxfId="687" dataDxfId="686">
  <autoFilter ref="A1:AG475" xr:uid="{2D2D1A8D-A63D-452E-B9DB-4BD5444D1EE8}"/>
  <tableColumns count="33">
    <tableColumn id="1" xr3:uid="{3A6E7421-4C62-4F35-BCEC-BCA19051BB2C}" name="TipoMercado" dataDxfId="685"/>
    <tableColumn id="2" xr3:uid="{7EE00175-7BBC-4254-8BCB-2E7B92149EB7}" name="Subgrupo" dataDxfId="684"/>
    <tableColumn id="3" xr3:uid="{3BBCEE5C-3AE7-458C-9D1F-F8A8FA056446}" name="Modalidade" dataDxfId="683"/>
    <tableColumn id="4" xr3:uid="{DA75FD0F-A2C0-44DD-830A-F5022E1BB5BD}" name="Classe" dataDxfId="682"/>
    <tableColumn id="5" xr3:uid="{8EB67145-0E63-43CB-A13A-A923FEBFA1EA}" name="Subclasse" dataDxfId="681"/>
    <tableColumn id="6" xr3:uid="{BAD6D25F-F5E2-48A2-AE75-DF488338138B}" name="Detalhe" dataDxfId="680"/>
    <tableColumn id="7" xr3:uid="{8EB0BDDF-6AEE-4760-82EF-A4FECE70A329}" name="Agente" dataDxfId="679"/>
    <tableColumn id="8" xr3:uid="{91452566-37C1-4103-924D-A498C2CE5959}" name="Posto" dataDxfId="678"/>
    <tableColumn id="9" xr3:uid="{6B65F57D-8314-4EF7-81B6-BD2E0919B5B1}" name="AnoMes" dataDxfId="677"/>
    <tableColumn id="10" xr3:uid="{DD86050F-D3B1-43A1-8251-22C43B8CD6D6}" name="D" dataDxfId="676"/>
    <tableColumn id="11" xr3:uid="{CD6BF8B7-F821-420D-8B4C-B8A6F975D2F2}" name="Daj" dataDxfId="675"/>
    <tableColumn id="12" xr3:uid="{9B1FF595-F54A-4383-ADD1-9047E00ED1AD}" name="TUSD_E" dataDxfId="674"/>
    <tableColumn id="13" xr3:uid="{AFCFC313-F9B7-4C35-AC10-448A9DE48D34}" name="TUSD_Eaj" dataDxfId="673"/>
    <tableColumn id="14" xr3:uid="{AF34EA6E-C721-476F-9FF0-CB63967B9CAB}" name="TE_E" dataDxfId="672"/>
    <tableColumn id="15" xr3:uid="{07A98D96-2CDB-4C9C-A41B-633A7FFE7514}" name="TE_Eaj" dataDxfId="671"/>
    <tableColumn id="16" xr3:uid="{3F94F1AF-401D-4A79-8B5A-8802FE1CBFD1}" name="UC" dataDxfId="670"/>
    <tableColumn id="17" xr3:uid="{D6406205-687C-4419-AA6A-E18BB606372B}" name="OPÇÃO" dataDxfId="669"/>
    <tableColumn id="18" xr3:uid="{1C0EF59F-4046-49AF-95D8-DBD6DB8EBB9D}" name="CóD. AUX." dataDxfId="668"/>
    <tableColumn id="19" xr3:uid="{C28005BA-ECE9-47C4-836F-3D2753AA891F}" name="CóD. AUX. TUSD R$/kW" dataDxfId="667"/>
    <tableColumn id="20" xr3:uid="{CDB42319-B3FF-4195-93AF-ECA7812E1B8B}" name="CóD. AUX. TUSD R$/MWh" dataDxfId="666"/>
    <tableColumn id="21" xr3:uid="{ECCAB884-A4B3-465C-AD6A-FFA29850890A}" name="CóD. AUX. TE R$/MWh" dataDxfId="665"/>
    <tableColumn id="22" xr3:uid="{35808C4C-3995-44F8-B08D-6348B6913C52}" name="TUSD (R$/kW)" dataDxfId="664"/>
    <tableColumn id="23" xr3:uid="{61FE0F0B-0CCD-4FBE-98C5-5F11100B06F8}" name="TUSD (R$/MWh)" dataDxfId="663"/>
    <tableColumn id="24" xr3:uid="{5BF15902-4DB5-4A52-8D77-9016A6CC605B}" name="TE (R$/MWh)" dataDxfId="662"/>
    <tableColumn id="25" xr3:uid="{02A7D49D-17BA-4636-90D6-F3D41588F516}" name="TUSD (R$/kW) NOVA" dataDxfId="661"/>
    <tableColumn id="26" xr3:uid="{FBC3DB9C-6845-4D71-A656-66CFC40CD278}" name="TUSD (R$/MWh) NOVA" dataDxfId="660">
      <calculatedColumnFormula>('TUSD BE'!$AM$50+'TUSD BF'!$AM$50+'TUSD CVA'!$AM$50)*1</calculatedColumnFormula>
    </tableColumn>
    <tableColumn id="27" xr3:uid="{AC2E6F3D-6DB6-41D7-9D23-29CD48BBF582}" name="TE (R$/MWh) NOVA" dataDxfId="659">
      <calculatedColumnFormula>('TE BE'!$AA$41+'TE BF'!$AA$41+'TE CVA'!$AA$41)*1</calculatedColumnFormula>
    </tableColumn>
    <tableColumn id="28" xr3:uid="{0B52CF4B-3843-48F5-ADEF-1984B0E44642}" name="RA0 ou RV - TUSD (kW)" dataDxfId="658"/>
    <tableColumn id="29" xr3:uid="{43E2631E-F327-426C-B133-820C9C59599C}" name="RA0 ou RV - TUSD (MWh)" dataDxfId="657"/>
    <tableColumn id="30" xr3:uid="{C0049375-7564-4EEB-9181-FB12A05924F1}" name="RA0 ou RV - TE (MWh)" dataDxfId="656"/>
    <tableColumn id="31" xr3:uid="{453D4E39-DF6C-4233-B46C-FD90AFDE0D72}" name="RA1 ou RRD - TUSD (kW)" dataDxfId="655"/>
    <tableColumn id="32" xr3:uid="{C496A2EC-3A68-466B-AEBE-B2856B4D9355}" name="RA1 ou RRD - TUSD (MWh)" dataDxfId="654"/>
    <tableColumn id="33" xr3:uid="{35E48820-EDB8-4908-BF31-90BAA8CEC2F3}" name="RA1 ou RRD - TE (MWh)" dataDxfId="65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E9E413-F219-459C-892E-46FCB42FE6C7}" name="Subsidio" displayName="Subsidio" ref="A1:AF211" totalsRowShown="0" headerRowDxfId="652" dataDxfId="651">
  <autoFilter ref="A1:AF211" xr:uid="{54E9E413-F219-459C-892E-46FCB42FE6C7}"/>
  <tableColumns count="32">
    <tableColumn id="1" xr3:uid="{C09BB5D3-9973-46C8-A0FC-69E30B2E6F88}" name="TipoMercado" dataDxfId="650"/>
    <tableColumn id="2" xr3:uid="{159FA743-88BC-41FF-B1D6-0BD656C00B74}" name="Subgrupo" dataDxfId="649"/>
    <tableColumn id="3" xr3:uid="{DB972B7E-82FE-4F3C-89DE-8971E4126E7E}" name="Modalidade" dataDxfId="648"/>
    <tableColumn id="4" xr3:uid="{F5315037-248B-43A2-8108-A728F9FCE5F6}" name="Classe" dataDxfId="647"/>
    <tableColumn id="5" xr3:uid="{5ACE2B91-3551-4C04-81C6-72644A1C6820}" name="Subclasse" dataDxfId="646"/>
    <tableColumn id="6" xr3:uid="{0F59FA5F-06DF-449D-BEB0-43446274DCDA}" name="Detalhe" dataDxfId="645"/>
    <tableColumn id="7" xr3:uid="{3DF84F03-F461-486B-91C7-82528F1CD1CC}" name="Agente" dataDxfId="644"/>
    <tableColumn id="8" xr3:uid="{98331E60-E9C1-42B5-A5F5-A3CD3A43440A}" name="Posto" dataDxfId="643"/>
    <tableColumn id="9" xr3:uid="{632D1F65-E6FA-4EEF-BF58-BF4CE143E58A}" name="AnoMes" dataDxfId="642"/>
    <tableColumn id="10" xr3:uid="{AA95BF98-2E1E-44B4-A0F7-AD220388ECE3}" name="D" dataDxfId="641"/>
    <tableColumn id="11" xr3:uid="{A5F4D860-CE51-465D-98AE-AA0CF82C56E3}" name="Daj" dataDxfId="640"/>
    <tableColumn id="12" xr3:uid="{C92BA64B-B3BD-4480-AB8F-C37DD65479A1}" name="TUSD_E" dataDxfId="639"/>
    <tableColumn id="13" xr3:uid="{3D404B82-49C7-42CC-B967-3B8475764C82}" name="TUSD_Eaj" dataDxfId="638"/>
    <tableColumn id="14" xr3:uid="{0D03C5FD-55A2-4DCB-BB7E-46B03DBE92E5}" name="TE_E" dataDxfId="637"/>
    <tableColumn id="15" xr3:uid="{BB18C779-7109-450A-93B0-0820FC34F65C}" name="TE_Eaj" dataDxfId="636"/>
    <tableColumn id="16" xr3:uid="{75F1BE7E-1AF8-4B53-83A9-A808B16E644D}" name="UC" dataDxfId="635"/>
    <tableColumn id="17" xr3:uid="{55FA4177-4978-4160-A67E-6060078B8E4F}" name="OPÇÃO" dataDxfId="634"/>
    <tableColumn id="18" xr3:uid="{87CACE4E-7789-4637-A98F-4B1B6349F589}" name="CóD. AUX." dataDxfId="633"/>
    <tableColumn id="19" xr3:uid="{EEBD73B2-C812-424A-A5F2-590F91489464}" name="CóD. AUX. TUSD R$/kW" dataDxfId="632"/>
    <tableColumn id="20" xr3:uid="{6D4E0716-FE1C-4B8C-81DF-4BAA2E141EEE}" name="CóD. AUX. TUSD R$/MWh" dataDxfId="631"/>
    <tableColumn id="21" xr3:uid="{93EC1C27-6A2E-4CE5-90BA-24E3778FD9BD}" name="CóD. AUX. TE R$/MWh" dataDxfId="630"/>
    <tableColumn id="22" xr3:uid="{DA655861-D1F9-458E-BC3D-26721D28AADC}" name="TUSD (R$/kW)" dataDxfId="629"/>
    <tableColumn id="23" xr3:uid="{5C9FC07A-67EA-455B-827C-D4501ED96688}" name="TUSD (R$/MWh)" dataDxfId="628"/>
    <tableColumn id="24" xr3:uid="{C0A35FDF-5E01-406E-B18F-E24019F6A023}" name="TE (R$/MWh)" dataDxfId="627"/>
    <tableColumn id="25" xr3:uid="{4826537D-BA81-40C7-BA61-BAFE922092F9}" name="TUSD (R$/kW) NOVA" dataDxfId="626"/>
    <tableColumn id="26" xr3:uid="{10167971-6F9D-4B7D-87BB-AE44184BD363}" name="TUSD (R$/MWh) NOVA" dataDxfId="625">
      <calculatedColumnFormula>('TUSD BE'!$AM$48+'TUSD BF'!$AM$48+'TUSD CVA'!$AM$48)*1</calculatedColumnFormula>
    </tableColumn>
    <tableColumn id="27" xr3:uid="{4BADB972-B641-4A8F-8DFA-6225DC01C7F3}" name="TE (R$/MWh) NOVA" dataDxfId="624">
      <calculatedColumnFormula>('TE BE'!$AA$39+'TE BF'!$AA$39+'TE CVA'!$AA$39)*1</calculatedColumnFormula>
    </tableColumn>
    <tableColumn id="28" xr3:uid="{A6CAAA00-9A17-4A26-9BDA-D00A939F6B66}" name="SUBSIDIO kW - TV" dataDxfId="623">
      <calculatedColumnFormula>(J2-K2)*V2</calculatedColumnFormula>
    </tableColumn>
    <tableColumn id="29" xr3:uid="{8B7319B3-708A-4B9E-846C-E658BFBB33BF}" name="SUBSIDIO MWh - TV" dataDxfId="622">
      <calculatedColumnFormula>(L2-M2)*W2+(N2-O2)*X2</calculatedColumnFormula>
    </tableColumn>
    <tableColumn id="30" xr3:uid="{CD64B898-ABCE-46F0-89C0-D7E68DABE710}" name="SUBSIDIO kW - TN" dataDxfId="621">
      <calculatedColumnFormula>(J2-K2)*Y2</calculatedColumnFormula>
    </tableColumn>
    <tableColumn id="31" xr3:uid="{5C3747A5-AA9D-401E-9587-583F8EE1FEC3}" name="SUBSIDIO MWh - TN" dataDxfId="620">
      <calculatedColumnFormula>(L2-M2)*Z2+(N2-O2)*AA2</calculatedColumnFormula>
    </tableColumn>
    <tableColumn id="32" xr3:uid="{E5509B92-7AAD-42B9-AFAD-F05E7966481F}" name="TIPO" dataDxfId="6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E4F8AA-337F-43A0-8AC3-0CFFC9FDB25A}" name="TabelaFin" displayName="TabelaFin" ref="B3:AQ50" tableType="queryTable" totalsRowShown="0" headerRowDxfId="95" dataDxfId="94" headerRowBorderDxfId="139" tableBorderDxfId="140" totalsRowBorderDxfId="138">
  <autoFilter ref="B3:AQ50" xr:uid="{59E4F8AA-337F-43A0-8AC3-0CFFC9FDB25A}"/>
  <sortState xmlns:xlrd2="http://schemas.microsoft.com/office/spreadsheetml/2017/richdata2" ref="B4:AQ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2">
    <tableColumn id="43" xr3:uid="{FC3978F2-F2F3-4194-AAF4-892CF06D896F}" uniqueName="43" name="SUBGRUPO" queryTableFieldId="1" dataDxfId="137"/>
    <tableColumn id="44" xr3:uid="{19D65FC3-0368-4E85-9FF0-98A2189B4017}" uniqueName="44" name="MODALIDADE" queryTableFieldId="2" dataDxfId="136"/>
    <tableColumn id="45" xr3:uid="{49BE2F53-E9F2-4783-81A7-6D460C8311D5}" uniqueName="45" name="CLASSE" queryTableFieldId="3" dataDxfId="135"/>
    <tableColumn id="46" xr3:uid="{E278F450-FB4D-4514-AF3C-E8308513CBD9}" uniqueName="46" name="SUBCLASSE" queryTableFieldId="4" dataDxfId="134"/>
    <tableColumn id="47" xr3:uid="{1A831DC6-1639-467D-B217-94304DC19B8B}" uniqueName="47" name="DETALHE" queryTableFieldId="5" dataDxfId="133"/>
    <tableColumn id="48" xr3:uid="{A3FDE182-8ABB-4684-92DB-DDB6D04F8767}" uniqueName="48" name="POSTO" queryTableFieldId="6" dataDxfId="132"/>
    <tableColumn id="49" xr3:uid="{6194CA38-9C9F-4D47-BCDB-2F1217CD753A}" uniqueName="49" name="UNIDADE" queryTableFieldId="7" dataDxfId="131"/>
    <tableColumn id="50" xr3:uid="{CE46A522-72DB-4F8E-BA7C-E2D6DDB4030E}" uniqueName="50" name="ACESSANTE" queryTableFieldId="8" dataDxfId="130"/>
    <tableColumn id="51" xr3:uid="{30312115-CD20-4CDA-A798-AF6CBA73C4D1}" uniqueName="51" name="Total TUSD" queryTableFieldId="9" dataDxfId="129"/>
    <tableColumn id="52" xr3:uid="{9FDEF403-AA39-4F76-A8A6-065AE2CEDED1}" uniqueName="52" name="Total TE" queryTableFieldId="10" dataDxfId="128"/>
    <tableColumn id="53" xr3:uid="{32A8CD96-FC83-4DCF-BDD6-9E9AA63FE414}" uniqueName="53" name="TUSD_CDE_COVID" queryTableFieldId="11" dataDxfId="127"/>
    <tableColumn id="54" xr3:uid="{602EBEE6-AB56-4A7C-A700-713F43B08BB0}" uniqueName="54" name="TUSD_TFSEE" queryTableFieldId="12" dataDxfId="126"/>
    <tableColumn id="55" xr3:uid="{E4F19A99-2D17-4212-95F0-8B2BA85FC462}" uniqueName="55" name="TUSD_PeD" queryTableFieldId="13" dataDxfId="125"/>
    <tableColumn id="56" xr3:uid="{649DB666-EC65-4CA2-AFAE-952809EA9D39}" uniqueName="56" name="TUSD_ONS" queryTableFieldId="14" dataDxfId="124"/>
    <tableColumn id="57" xr3:uid="{75DBFEED-63A7-4380-906A-859FEC9C2105}" uniqueName="57" name="TUSD_CCC" queryTableFieldId="15" dataDxfId="123"/>
    <tableColumn id="58" xr3:uid="{D72ED3AD-EC4D-4CF0-A758-BE262490327A}" uniqueName="58" name="TUSD_CDE" queryTableFieldId="16" dataDxfId="122"/>
    <tableColumn id="59" xr3:uid="{761DAA9B-8A50-4E05-9B12-1D6E07FF627A}" uniqueName="59" name="TUSD_PROINFA" queryTableFieldId="17" dataDxfId="121"/>
    <tableColumn id="60" xr3:uid="{D5E0B61F-B333-4D64-AA55-93CC971BF060}" uniqueName="60" name="Liminar1" queryTableFieldId="18" dataDxfId="120"/>
    <tableColumn id="61" xr3:uid="{B476ECE1-256A-446C-BC13-4C95A6B72DAC}" uniqueName="61" name="TUSD_RB" queryTableFieldId="19" dataDxfId="119"/>
    <tableColumn id="62" xr3:uid="{E4242F63-09CA-41C3-A483-E61FBE6A48BC}" uniqueName="62" name="TUSD_FR" queryTableFieldId="20" dataDxfId="118"/>
    <tableColumn id="63" xr3:uid="{7E243403-A3FF-48E5-A30F-83B2AFE05F50}" uniqueName="63" name="TUSD_CCT" queryTableFieldId="21" dataDxfId="117"/>
    <tableColumn id="64" xr3:uid="{32BD8497-D8E5-4333-890C-02E44FAC4413}" uniqueName="64" name="TUSD_CCD" queryTableFieldId="22" dataDxfId="116"/>
    <tableColumn id="65" xr3:uid="{E734CFFF-3560-4F8B-9FEE-8FB7F9B91E00}" uniqueName="65" name="TUSD_CUSD" queryTableFieldId="23" dataDxfId="115"/>
    <tableColumn id="66" xr3:uid="{E9828242-D800-4E2B-8A14-A9C804F01E78}" uniqueName="66" name="TUSDG_T" queryTableFieldId="24" dataDxfId="114"/>
    <tableColumn id="67" xr3:uid="{EBA65996-7016-4315-89F6-F8928E7A5E0C}" uniqueName="67" name="TUSDG_ONS" queryTableFieldId="25" dataDxfId="113"/>
    <tableColumn id="68" xr3:uid="{E0878E07-0DA8-4FA7-BFD9-4D3C2C658C3C}" uniqueName="68" name="TUSD_FioB" queryTableFieldId="26" dataDxfId="112"/>
    <tableColumn id="69" xr3:uid="{B27550C9-CE8C-4603-8CFB-218A9014DFD7}" uniqueName="69" name="TUSD Subsidio" queryTableFieldId="27" dataDxfId="111"/>
    <tableColumn id="70" xr3:uid="{61A588A1-6FBD-46BE-822E-0F4974AA31A9}" uniqueName="70" name="TUSD Outros" queryTableFieldId="28" dataDxfId="110"/>
    <tableColumn id="71" xr3:uid="{9CF877F4-AEA9-49CB-AE92-57EDA0AA7731}" uniqueName="71" name="TUSD_PT" queryTableFieldId="29" dataDxfId="109"/>
    <tableColumn id="72" xr3:uid="{4E44927D-FEAC-4D4E-AE99-D47F03E110E1}" uniqueName="72" name="TUSD_Per_RB_D" queryTableFieldId="30" dataDxfId="108"/>
    <tableColumn id="73" xr3:uid="{6106E4E7-1B3E-4BCA-AFD9-5681DE2967DA}" uniqueName="73" name="TUSD_PNT" queryTableFieldId="31" dataDxfId="107"/>
    <tableColumn id="74" xr3:uid="{A19C44D0-0E31-4484-9BFF-B842C52F55BB}" uniqueName="74" name="TUSD_RI" queryTableFieldId="32" dataDxfId="106"/>
    <tableColumn id="75" xr3:uid="{3359FB80-FDF4-4703-ACC8-9C7A8AFA78ED}" uniqueName="75" name="TE_CDE_COVID" queryTableFieldId="33" dataDxfId="105"/>
    <tableColumn id="76" xr3:uid="{8364F6D3-0BA6-40F6-9B9D-8E8E592E40F1}" uniqueName="76" name="TE_PeD" queryTableFieldId="34" dataDxfId="104"/>
    <tableColumn id="77" xr3:uid="{C878189D-141D-488A-B4B1-91C4AF274EB2}" uniqueName="77" name="TE_ESSERR" queryTableFieldId="35" dataDxfId="103"/>
    <tableColumn id="78" xr3:uid="{2CDBF3FA-B3CB-4BF5-8FF7-EDD84A5BA12E}" uniqueName="78" name="TE_CFURH" queryTableFieldId="36" dataDxfId="102"/>
    <tableColumn id="79" xr3:uid="{A40C749B-AA3A-4098-9D7F-F767416DECF6}" uniqueName="79" name="TE_ENERGIA" queryTableFieldId="37" dataDxfId="101"/>
    <tableColumn id="80" xr3:uid="{64E0C9AB-C310-43E3-BC37-9354B2F3F5B6}" uniqueName="80" name="TE_TRANSPORTE_ITAIPU" queryTableFieldId="38" dataDxfId="100"/>
    <tableColumn id="81" xr3:uid="{F911FECF-88B1-45AB-864F-C4D5DAFEDD04}" uniqueName="81" name="TE_TUST_ITAIPU" queryTableFieldId="39" dataDxfId="99"/>
    <tableColumn id="82" xr3:uid="{2B7F4828-C5BF-4075-ABFC-B679491B7A3B}" uniqueName="82" name="TE_TUST_CI" queryTableFieldId="40" dataDxfId="98"/>
    <tableColumn id="83" xr3:uid="{D930C259-986A-46B2-8C87-B294393794FA}" uniqueName="83" name="TE Subsidio" queryTableFieldId="41" dataDxfId="97"/>
    <tableColumn id="84" xr3:uid="{1D604AA0-4460-4F63-B6B5-3BEBBFA8B326}" uniqueName="84" name="TE_Per_RB" queryTableFieldId="42" dataDxfId="9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770193-F851-4796-B115-FDDDDC7757EB}" name="TabelaEc" displayName="TabelaEc" ref="B3:AQ50" tableType="queryTable" totalsRowShown="0" headerRowDxfId="48" dataDxfId="47" headerRowBorderDxfId="92" tableBorderDxfId="93" totalsRowBorderDxfId="91">
  <autoFilter ref="B3:AQ50" xr:uid="{1F770193-F851-4796-B115-FDDDDC7757EB}"/>
  <sortState xmlns:xlrd2="http://schemas.microsoft.com/office/spreadsheetml/2017/richdata2" ref="B4:AQ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2">
    <tableColumn id="43" xr3:uid="{B41B7FD7-5C6A-4447-B7EF-173703A6E121}" uniqueName="43" name="SUBGRUPO" queryTableFieldId="1" dataDxfId="90"/>
    <tableColumn id="44" xr3:uid="{64E0753E-80EB-4CC1-B79D-14B35B7103C7}" uniqueName="44" name="MODALIDADE" queryTableFieldId="2" dataDxfId="89"/>
    <tableColumn id="45" xr3:uid="{F48996EA-1F17-4EDA-859C-72DAC7BE5EFA}" uniqueName="45" name="CLASSE" queryTableFieldId="3" dataDxfId="88"/>
    <tableColumn id="46" xr3:uid="{AF03F8C8-B50B-4350-A984-E3EE2FD00450}" uniqueName="46" name="SUBCLASSE" queryTableFieldId="4" dataDxfId="87"/>
    <tableColumn id="47" xr3:uid="{607B871D-AA4A-4944-9016-5F7ED2A1ADE3}" uniqueName="47" name="DETALHE" queryTableFieldId="5" dataDxfId="86"/>
    <tableColumn id="48" xr3:uid="{A84925E0-83A5-4DC1-8C48-A4D8150EE3AB}" uniqueName="48" name="POSTO" queryTableFieldId="6" dataDxfId="85"/>
    <tableColumn id="49" xr3:uid="{79FDAD64-BEB1-4561-923E-83653F4C58EA}" uniqueName="49" name="UNIDADE" queryTableFieldId="7" dataDxfId="84"/>
    <tableColumn id="50" xr3:uid="{9014C50E-ED88-4C5F-A58A-2DFB5F6BD27C}" uniqueName="50" name="ACESSANTE" queryTableFieldId="8" dataDxfId="83"/>
    <tableColumn id="51" xr3:uid="{FD41708F-5366-4740-9D6B-8637C7707252}" uniqueName="51" name="Total TUSD" queryTableFieldId="9" dataDxfId="82"/>
    <tableColumn id="52" xr3:uid="{8DA8A933-7AC4-46A8-96FF-02EB6D1FF018}" uniqueName="52" name="Total TE" queryTableFieldId="10" dataDxfId="81"/>
    <tableColumn id="53" xr3:uid="{8A7FD621-6BA9-449A-B2C0-7AB930AD2726}" uniqueName="53" name="TUSD_CDE_COVID" queryTableFieldId="11" dataDxfId="80"/>
    <tableColumn id="54" xr3:uid="{BA7C6786-6379-42C7-9B13-F1BBE6E34AF0}" uniqueName="54" name="TUSD_TFSEE" queryTableFieldId="12" dataDxfId="79"/>
    <tableColumn id="55" xr3:uid="{C1315515-0EB2-41A6-B3DA-64C7E319F7B1}" uniqueName="55" name="TUSD_PeD" queryTableFieldId="13" dataDxfId="78"/>
    <tableColumn id="56" xr3:uid="{33308BD8-E589-4EE6-96F5-0DF3A62CEABC}" uniqueName="56" name="TUSD_ONS" queryTableFieldId="14" dataDxfId="77"/>
    <tableColumn id="57" xr3:uid="{4237786A-70C6-4772-A992-F1696ABED204}" uniqueName="57" name="TUSD_CCC" queryTableFieldId="15" dataDxfId="76"/>
    <tableColumn id="58" xr3:uid="{F4AA0A25-63E9-498C-8C51-A91C41F05A1F}" uniqueName="58" name="TUSD_CDE" queryTableFieldId="16" dataDxfId="75"/>
    <tableColumn id="59" xr3:uid="{EF6FB1C5-B019-49C4-B69F-DDDCA6423C08}" uniqueName="59" name="TUSD_PROINFA" queryTableFieldId="17" dataDxfId="74"/>
    <tableColumn id="60" xr3:uid="{18FEB204-F67E-4C6C-85C6-5FF08F738B60}" uniqueName="60" name="Liminar1" queryTableFieldId="18" dataDxfId="73"/>
    <tableColumn id="61" xr3:uid="{1AA3DDC1-C1DF-4C9F-B5C4-2C1875FEA400}" uniqueName="61" name="TUSD_RB" queryTableFieldId="19" dataDxfId="72"/>
    <tableColumn id="62" xr3:uid="{1CB5F620-5DFE-4C78-9C92-46B7C8B824FC}" uniqueName="62" name="TUSD_FR" queryTableFieldId="20" dataDxfId="71"/>
    <tableColumn id="63" xr3:uid="{4077C522-E129-4F94-B819-34D8EF0EB20A}" uniqueName="63" name="TUSD_CCT" queryTableFieldId="21" dataDxfId="70"/>
    <tableColumn id="64" xr3:uid="{E0BF9D2A-550C-4E48-AA7A-109D81DA736F}" uniqueName="64" name="TUSD_CCD" queryTableFieldId="22" dataDxfId="69"/>
    <tableColumn id="65" xr3:uid="{CB10397A-E7DD-44C8-9FE0-591DE73E855E}" uniqueName="65" name="TUSD_CUSD" queryTableFieldId="23" dataDxfId="68"/>
    <tableColumn id="66" xr3:uid="{425204B5-725E-4CC9-AA53-5C9BBD3F0FCB}" uniqueName="66" name="TUSDG_T" queryTableFieldId="24" dataDxfId="67"/>
    <tableColumn id="67" xr3:uid="{72E0E94B-A391-4D5B-9D8D-742602A22E8F}" uniqueName="67" name="TUSDG_ONS" queryTableFieldId="25" dataDxfId="66"/>
    <tableColumn id="68" xr3:uid="{011F86F5-C084-4680-811B-837E5784DCA0}" uniqueName="68" name="TUSD_FioB" queryTableFieldId="26" dataDxfId="65"/>
    <tableColumn id="69" xr3:uid="{FA7CD491-1EB4-4985-9F18-4258F6659874}" uniqueName="69" name="TUSD Subsidio" queryTableFieldId="27" dataDxfId="64"/>
    <tableColumn id="70" xr3:uid="{0D510439-651D-4BFE-9818-D5628ACD6901}" uniqueName="70" name="TUSD Outros" queryTableFieldId="28" dataDxfId="63"/>
    <tableColumn id="71" xr3:uid="{C2725AB8-9B5D-4AE4-B6F0-D420BED55414}" uniqueName="71" name="TUSD_PT" queryTableFieldId="29" dataDxfId="62"/>
    <tableColumn id="72" xr3:uid="{ED694CFF-0C07-4A02-BF46-93134C511923}" uniqueName="72" name="TUSD_Per_RB_D" queryTableFieldId="30" dataDxfId="61"/>
    <tableColumn id="73" xr3:uid="{6BC903BD-55D0-4AD3-AB19-EAF36F6EEA61}" uniqueName="73" name="TUSD_PNT" queryTableFieldId="31" dataDxfId="60"/>
    <tableColumn id="74" xr3:uid="{09D3B2A9-E939-45B1-982F-C258BA6A4E3E}" uniqueName="74" name="TUSD_RI" queryTableFieldId="32" dataDxfId="59"/>
    <tableColumn id="75" xr3:uid="{9DC5B9C5-245F-4F72-8472-05B2F3AFCB2A}" uniqueName="75" name="TE_CDE_COVID" queryTableFieldId="33" dataDxfId="58"/>
    <tableColumn id="76" xr3:uid="{7A813616-131D-4941-833A-D900BAD3C314}" uniqueName="76" name="TE_PeD" queryTableFieldId="34" dataDxfId="57"/>
    <tableColumn id="77" xr3:uid="{B0C7CC11-6595-4C37-82E9-3E0176691D1C}" uniqueName="77" name="TE_ESSERR" queryTableFieldId="35" dataDxfId="56"/>
    <tableColumn id="78" xr3:uid="{FB20A181-3D10-4D04-98C2-B44ED32F53FD}" uniqueName="78" name="TE_CFURH" queryTableFieldId="36" dataDxfId="55"/>
    <tableColumn id="79" xr3:uid="{20F39F18-FABD-4E75-9B3F-F5757AECF4EF}" uniqueName="79" name="TE_ENERGIA" queryTableFieldId="37" dataDxfId="54"/>
    <tableColumn id="80" xr3:uid="{131D167E-1EAD-46C1-BA1D-A2275849E503}" uniqueName="80" name="TE_TRANSPORTE_ITAIPU" queryTableFieldId="38" dataDxfId="53"/>
    <tableColumn id="81" xr3:uid="{D0C14FEC-6F00-4BB7-9B7A-4C4C72C85D97}" uniqueName="81" name="TE_TUST_ITAIPU" queryTableFieldId="39" dataDxfId="52"/>
    <tableColumn id="82" xr3:uid="{772192D3-4596-483F-A4C0-A11C2FE65A37}" uniqueName="82" name="TE_TUST_CI" queryTableFieldId="40" dataDxfId="51"/>
    <tableColumn id="83" xr3:uid="{D5FD3326-22EF-49B2-8C95-A0E7CEFFA6A4}" uniqueName="83" name="TE Subsidio" queryTableFieldId="41" dataDxfId="50"/>
    <tableColumn id="84" xr3:uid="{216275F6-A1ED-4B8E-A3F7-B16692CCDBBD}" uniqueName="84" name="TE_Per_RB" queryTableFieldId="42" dataDxfId="4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885CAE-2B72-421E-B7C6-37C386C91016}" name="TabelaCVA" displayName="TabelaCVA" ref="B3:AQ50" tableType="queryTable" totalsRowShown="0" headerRowDxfId="1" dataDxfId="0" headerRowBorderDxfId="45" tableBorderDxfId="46" totalsRowBorderDxfId="44">
  <autoFilter ref="B3:AQ50" xr:uid="{00885CAE-2B72-421E-B7C6-37C386C91016}"/>
  <sortState xmlns:xlrd2="http://schemas.microsoft.com/office/spreadsheetml/2017/richdata2" ref="B4:AQ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2">
    <tableColumn id="43" xr3:uid="{05C19E18-ACF9-4901-B603-33B5BEB01EB9}" uniqueName="43" name="SUBGRUPO" queryTableFieldId="1" dataDxfId="43"/>
    <tableColumn id="44" xr3:uid="{34398DC0-5C71-464D-8082-C6F01E6095CC}" uniqueName="44" name="MODALIDADE" queryTableFieldId="2" dataDxfId="42"/>
    <tableColumn id="45" xr3:uid="{DE3C9B3D-C8F2-4937-B5B3-CDFD4AD3354F}" uniqueName="45" name="CLASSE" queryTableFieldId="3" dataDxfId="41"/>
    <tableColumn id="46" xr3:uid="{57721D37-A752-499D-87C2-1118661245C1}" uniqueName="46" name="SUBCLASSE" queryTableFieldId="4" dataDxfId="40"/>
    <tableColumn id="47" xr3:uid="{8405F6BC-6EA7-435F-8652-B558C2495EC1}" uniqueName="47" name="DETALHE" queryTableFieldId="5" dataDxfId="39"/>
    <tableColumn id="48" xr3:uid="{7830E3B0-1D59-4277-A367-1B7901C85C81}" uniqueName="48" name="POSTO" queryTableFieldId="6" dataDxfId="38"/>
    <tableColumn id="49" xr3:uid="{7850AC8F-3493-41B9-B0E1-36A33A675955}" uniqueName="49" name="UNIDADE" queryTableFieldId="7" dataDxfId="37"/>
    <tableColumn id="50" xr3:uid="{C1A806FC-B1D1-4E3B-8ECE-4CDA375803A3}" uniqueName="50" name="ACESSANTE" queryTableFieldId="8" dataDxfId="36"/>
    <tableColumn id="51" xr3:uid="{2FC07AC7-AC52-4F05-BAC1-2090FF0A8B2A}" uniqueName="51" name="Total TUSD" queryTableFieldId="9" dataDxfId="35"/>
    <tableColumn id="52" xr3:uid="{16BF0A76-0416-4A19-BD90-E7656ECB424B}" uniqueName="52" name="Total TE" queryTableFieldId="10" dataDxfId="34"/>
    <tableColumn id="53" xr3:uid="{F4ECB06C-8494-465E-A5EF-211860B359D6}" uniqueName="53" name="TUSD_CDE_COVID" queryTableFieldId="11" dataDxfId="33"/>
    <tableColumn id="54" xr3:uid="{AF0B53AB-B196-4922-B391-CCF4970CE85F}" uniqueName="54" name="TUSD_TFSEE" queryTableFieldId="12" dataDxfId="32"/>
    <tableColumn id="55" xr3:uid="{DF7DAE1B-9DC7-480E-BBA1-DB610829A027}" uniqueName="55" name="TUSD_PeD" queryTableFieldId="13" dataDxfId="31"/>
    <tableColumn id="56" xr3:uid="{370F40D6-2F66-40C0-B3DA-8EC77C0FEEC6}" uniqueName="56" name="TUSD_ONS" queryTableFieldId="14" dataDxfId="30"/>
    <tableColumn id="57" xr3:uid="{6356A5F1-13BF-4887-98DF-958BE99A62BE}" uniqueName="57" name="TUSD_CCC" queryTableFieldId="15" dataDxfId="29"/>
    <tableColumn id="58" xr3:uid="{DDCECC7F-D211-4E50-A8E3-FD29D25BCC87}" uniqueName="58" name="TUSD_CDE" queryTableFieldId="16" dataDxfId="28"/>
    <tableColumn id="59" xr3:uid="{63F523D8-97B7-4383-89DE-BA8A05CA051A}" uniqueName="59" name="TUSD_PROINFA" queryTableFieldId="17" dataDxfId="27"/>
    <tableColumn id="60" xr3:uid="{8435566E-5DAE-4D09-ABDC-267380CF8D64}" uniqueName="60" name="Liminar1" queryTableFieldId="18" dataDxfId="26"/>
    <tableColumn id="61" xr3:uid="{E601A421-DF48-4C37-A14A-6875559293F5}" uniqueName="61" name="TUSD_RB" queryTableFieldId="19" dataDxfId="25"/>
    <tableColumn id="62" xr3:uid="{439701CB-39FE-4939-B39C-03BA0154CE96}" uniqueName="62" name="TUSD_FR" queryTableFieldId="20" dataDxfId="24"/>
    <tableColumn id="63" xr3:uid="{EE6953EC-A499-432C-8769-6959FFDD1C10}" uniqueName="63" name="TUSD_CCT" queryTableFieldId="21" dataDxfId="23"/>
    <tableColumn id="64" xr3:uid="{4B917BB6-DF62-4F4C-B8BF-A2B97E9F26EB}" uniqueName="64" name="TUSD_CCD" queryTableFieldId="22" dataDxfId="22"/>
    <tableColumn id="65" xr3:uid="{90C622EF-3BEA-4FD2-ACF9-1726C7BE1CB8}" uniqueName="65" name="TUSD_CUSD" queryTableFieldId="23" dataDxfId="21"/>
    <tableColumn id="66" xr3:uid="{3AB85CFA-BA12-4FB7-AB67-4C1E21218518}" uniqueName="66" name="TUSDG_T" queryTableFieldId="24" dataDxfId="20"/>
    <tableColumn id="67" xr3:uid="{B0192900-C511-47C2-AF7B-04E82947B5B0}" uniqueName="67" name="TUSDG_ONS" queryTableFieldId="25" dataDxfId="19"/>
    <tableColumn id="68" xr3:uid="{E3E3880A-696A-44C3-950F-D961D0DA87E2}" uniqueName="68" name="TUSD_FioB" queryTableFieldId="26" dataDxfId="18"/>
    <tableColumn id="69" xr3:uid="{33664FEE-294F-4E66-AB5E-F31E9DD6A735}" uniqueName="69" name="TUSD Subsidio" queryTableFieldId="27" dataDxfId="17"/>
    <tableColumn id="70" xr3:uid="{A4605181-548C-49C1-99F4-A8A1D1132581}" uniqueName="70" name="TUSD Outros" queryTableFieldId="28" dataDxfId="16"/>
    <tableColumn id="71" xr3:uid="{D8CF3982-0E62-4821-9009-6A4312FB62A2}" uniqueName="71" name="TUSD_PT" queryTableFieldId="29" dataDxfId="15"/>
    <tableColumn id="72" xr3:uid="{449E7732-11E1-4663-8D26-C40C16BAB951}" uniqueName="72" name="TUSD_Per_RB_D" queryTableFieldId="30" dataDxfId="14"/>
    <tableColumn id="73" xr3:uid="{87AACEF6-77CB-4403-8648-FBB3DCACA69E}" uniqueName="73" name="TUSD_PNT" queryTableFieldId="31" dataDxfId="13"/>
    <tableColumn id="74" xr3:uid="{6F7EDFA0-D42A-49CE-B20A-0016070582FC}" uniqueName="74" name="TUSD_RI" queryTableFieldId="32" dataDxfId="12"/>
    <tableColumn id="75" xr3:uid="{C9E69E1C-3950-458F-A0FC-70601A9B7396}" uniqueName="75" name="TE_CDE_COVID" queryTableFieldId="33" dataDxfId="11"/>
    <tableColumn id="76" xr3:uid="{0EAE9C0C-FF03-4C68-B5AD-A2DDB5C88535}" uniqueName="76" name="TE_PeD" queryTableFieldId="34" dataDxfId="10"/>
    <tableColumn id="77" xr3:uid="{7A530591-2FD3-4E86-AF54-7399D7B7D710}" uniqueName="77" name="TE_ESSERR" queryTableFieldId="35" dataDxfId="9"/>
    <tableColumn id="78" xr3:uid="{487CFA5D-CB8B-4450-904F-E6730EB65608}" uniqueName="78" name="TE_CFURH" queryTableFieldId="36" dataDxfId="8"/>
    <tableColumn id="79" xr3:uid="{A59726C3-B667-408A-97ED-77201BA56279}" uniqueName="79" name="TE_ENERGIA" queryTableFieldId="37" dataDxfId="7"/>
    <tableColumn id="80" xr3:uid="{D8D8CEBC-0D8C-4F5D-B933-3D2677C14204}" uniqueName="80" name="TE_TRANSPORTE_ITAIPU" queryTableFieldId="38" dataDxfId="6"/>
    <tableColumn id="81" xr3:uid="{4335866F-6EF3-4A01-B0F3-728C5E3008E8}" uniqueName="81" name="TE_TUST_ITAIPU" queryTableFieldId="39" dataDxfId="5"/>
    <tableColumn id="82" xr3:uid="{7909E099-E57B-4AF9-A83A-42AFDA3E44DD}" uniqueName="82" name="TE_TUST_CI" queryTableFieldId="40" dataDxfId="4"/>
    <tableColumn id="83" xr3:uid="{ACA710E8-F14C-4070-B883-6747E233AE5F}" uniqueName="83" name="TE Subsidio" queryTableFieldId="41" dataDxfId="3"/>
    <tableColumn id="84" xr3:uid="{4D8C3D6C-6F8A-440F-A336-FBE11BDBA027}" uniqueName="84" name="TE_Per_RB" queryTableFieldId="4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EAEE-081F-4D95-B606-105CAC8419FB}">
  <dimension ref="A1:W475"/>
  <sheetViews>
    <sheetView showGridLines="0" topLeftCell="I451" workbookViewId="0">
      <selection activeCell="T476" sqref="T476"/>
    </sheetView>
  </sheetViews>
  <sheetFormatPr defaultColWidth="9.109375" defaultRowHeight="11.25" customHeight="1" x14ac:dyDescent="0.3"/>
  <cols>
    <col min="1" max="1" width="19.109375" style="4" bestFit="1" customWidth="1"/>
    <col min="2" max="2" width="8.6640625" style="4" bestFit="1" customWidth="1"/>
    <col min="3" max="3" width="10.33203125" style="4" bestFit="1" customWidth="1"/>
    <col min="4" max="4" width="13.5546875" style="4" bestFit="1" customWidth="1"/>
    <col min="5" max="5" width="25.109375" style="4" bestFit="1" customWidth="1"/>
    <col min="6" max="6" width="12.88671875" style="4" bestFit="1" customWidth="1"/>
    <col min="7" max="8" width="10.33203125" style="4" bestFit="1" customWidth="1"/>
    <col min="9" max="9" width="8.6640625" style="5" bestFit="1" customWidth="1"/>
    <col min="10" max="11" width="7" style="6" bestFit="1" customWidth="1"/>
    <col min="12" max="12" width="6.6640625" style="6" bestFit="1" customWidth="1"/>
    <col min="13" max="13" width="8" style="6" bestFit="1" customWidth="1"/>
    <col min="14" max="15" width="6.33203125" style="6" bestFit="1" customWidth="1"/>
    <col min="16" max="16" width="7" style="6" bestFit="1" customWidth="1"/>
    <col min="17" max="17" width="6.5546875" style="4" bestFit="1" customWidth="1"/>
    <col min="18" max="18" width="8.5546875" style="4" bestFit="1" customWidth="1"/>
    <col min="19" max="19" width="78.109375" style="4" bestFit="1" customWidth="1"/>
    <col min="20" max="20" width="83.88671875" style="4" bestFit="1" customWidth="1"/>
    <col min="21" max="21" width="18.44140625" style="4" bestFit="1" customWidth="1"/>
    <col min="22" max="22" width="19.88671875" style="4" bestFit="1" customWidth="1"/>
    <col min="23" max="23" width="17.6640625" style="4" bestFit="1" customWidth="1"/>
    <col min="24" max="16384" width="9.109375" style="4"/>
  </cols>
  <sheetData>
    <row r="1" spans="1:23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91</v>
      </c>
      <c r="T1" s="1" t="s">
        <v>296</v>
      </c>
      <c r="U1" s="1" t="s">
        <v>18</v>
      </c>
      <c r="V1" s="1" t="s">
        <v>19</v>
      </c>
      <c r="W1" s="1" t="s">
        <v>20</v>
      </c>
    </row>
    <row r="2" spans="1:23" ht="11.25" customHeight="1" x14ac:dyDescent="0.3">
      <c r="A2" s="4" t="s">
        <v>21</v>
      </c>
      <c r="B2" s="4" t="s">
        <v>37</v>
      </c>
      <c r="C2" s="4" t="s">
        <v>41</v>
      </c>
      <c r="D2" s="4" t="s">
        <v>40</v>
      </c>
      <c r="E2" s="4" t="s">
        <v>25</v>
      </c>
      <c r="F2" s="4" t="s">
        <v>25</v>
      </c>
      <c r="G2" s="4" t="s">
        <v>25</v>
      </c>
      <c r="H2" s="4" t="s">
        <v>34</v>
      </c>
      <c r="I2" s="5">
        <v>44287</v>
      </c>
      <c r="J2" s="6">
        <v>100</v>
      </c>
      <c r="K2" s="6">
        <v>100</v>
      </c>
      <c r="L2" s="6">
        <v>32.619</v>
      </c>
      <c r="M2" s="6">
        <v>32.619</v>
      </c>
      <c r="N2" s="6">
        <v>32.619</v>
      </c>
      <c r="O2" s="6">
        <v>32.619</v>
      </c>
      <c r="P2" s="6">
        <v>0</v>
      </c>
      <c r="Q2" s="4" t="s">
        <v>26</v>
      </c>
      <c r="R2" s="4">
        <v>0</v>
      </c>
      <c r="S2" s="4" t="s">
        <v>92</v>
      </c>
      <c r="T2" s="4" t="s">
        <v>297</v>
      </c>
      <c r="U2" s="4">
        <v>84</v>
      </c>
      <c r="V2" s="4">
        <v>80</v>
      </c>
      <c r="W2" s="4">
        <v>74</v>
      </c>
    </row>
    <row r="3" spans="1:23" ht="11.25" customHeight="1" x14ac:dyDescent="0.3">
      <c r="A3" s="4" t="s">
        <v>21</v>
      </c>
      <c r="B3" s="4" t="s">
        <v>37</v>
      </c>
      <c r="C3" s="4" t="s">
        <v>41</v>
      </c>
      <c r="D3" s="4" t="s">
        <v>40</v>
      </c>
      <c r="E3" s="4" t="s">
        <v>25</v>
      </c>
      <c r="F3" s="4" t="s">
        <v>25</v>
      </c>
      <c r="G3" s="4" t="s">
        <v>25</v>
      </c>
      <c r="H3" s="4" t="s">
        <v>34</v>
      </c>
      <c r="I3" s="5">
        <v>44317</v>
      </c>
      <c r="J3" s="6">
        <v>100</v>
      </c>
      <c r="K3" s="6">
        <v>100</v>
      </c>
      <c r="L3" s="6">
        <v>30.492000000000001</v>
      </c>
      <c r="M3" s="6">
        <v>30.492000000000001</v>
      </c>
      <c r="N3" s="6">
        <v>30.492000000000001</v>
      </c>
      <c r="O3" s="6">
        <v>30.492000000000001</v>
      </c>
      <c r="P3" s="6">
        <v>0</v>
      </c>
      <c r="Q3" s="4" t="s">
        <v>26</v>
      </c>
      <c r="R3" s="4">
        <v>0</v>
      </c>
      <c r="S3" s="4" t="s">
        <v>93</v>
      </c>
      <c r="T3" s="4" t="s">
        <v>298</v>
      </c>
      <c r="U3" s="4">
        <v>84</v>
      </c>
      <c r="V3" s="4">
        <v>80</v>
      </c>
      <c r="W3" s="4">
        <v>74</v>
      </c>
    </row>
    <row r="4" spans="1:23" ht="11.25" customHeight="1" x14ac:dyDescent="0.3">
      <c r="A4" s="4" t="s">
        <v>21</v>
      </c>
      <c r="B4" s="4" t="s">
        <v>37</v>
      </c>
      <c r="C4" s="4" t="s">
        <v>41</v>
      </c>
      <c r="D4" s="4" t="s">
        <v>40</v>
      </c>
      <c r="E4" s="4" t="s">
        <v>25</v>
      </c>
      <c r="F4" s="4" t="s">
        <v>25</v>
      </c>
      <c r="G4" s="4" t="s">
        <v>25</v>
      </c>
      <c r="H4" s="4" t="s">
        <v>34</v>
      </c>
      <c r="I4" s="5">
        <v>44348</v>
      </c>
      <c r="J4" s="6">
        <v>100</v>
      </c>
      <c r="K4" s="6">
        <v>100</v>
      </c>
      <c r="L4" s="6">
        <v>26.829000000000001</v>
      </c>
      <c r="M4" s="6">
        <v>26.829000000000001</v>
      </c>
      <c r="N4" s="6">
        <v>26.829000000000001</v>
      </c>
      <c r="O4" s="6">
        <v>26.829000000000001</v>
      </c>
      <c r="P4" s="6">
        <v>0</v>
      </c>
      <c r="Q4" s="4" t="s">
        <v>26</v>
      </c>
      <c r="R4" s="4">
        <v>0</v>
      </c>
      <c r="S4" s="4" t="s">
        <v>94</v>
      </c>
      <c r="T4" s="4" t="s">
        <v>299</v>
      </c>
      <c r="U4" s="4">
        <v>84</v>
      </c>
      <c r="V4" s="4">
        <v>80</v>
      </c>
      <c r="W4" s="4">
        <v>74</v>
      </c>
    </row>
    <row r="5" spans="1:23" ht="11.25" customHeight="1" x14ac:dyDescent="0.3">
      <c r="A5" s="4" t="s">
        <v>21</v>
      </c>
      <c r="B5" s="4" t="s">
        <v>37</v>
      </c>
      <c r="C5" s="4" t="s">
        <v>41</v>
      </c>
      <c r="D5" s="4" t="s">
        <v>40</v>
      </c>
      <c r="E5" s="4" t="s">
        <v>25</v>
      </c>
      <c r="F5" s="4" t="s">
        <v>25</v>
      </c>
      <c r="G5" s="4" t="s">
        <v>25</v>
      </c>
      <c r="H5" s="4" t="s">
        <v>34</v>
      </c>
      <c r="I5" s="5">
        <v>44378</v>
      </c>
      <c r="J5" s="6">
        <v>100</v>
      </c>
      <c r="K5" s="6">
        <v>100</v>
      </c>
      <c r="L5" s="6">
        <v>25.114000000000001</v>
      </c>
      <c r="M5" s="6">
        <v>25.114000000000001</v>
      </c>
      <c r="N5" s="6">
        <v>25.114000000000001</v>
      </c>
      <c r="O5" s="6">
        <v>25.114000000000001</v>
      </c>
      <c r="P5" s="6">
        <v>0</v>
      </c>
      <c r="Q5" s="4" t="s">
        <v>26</v>
      </c>
      <c r="R5" s="4">
        <v>0</v>
      </c>
      <c r="S5" s="4" t="s">
        <v>95</v>
      </c>
      <c r="T5" s="4" t="s">
        <v>300</v>
      </c>
      <c r="U5" s="4">
        <v>84</v>
      </c>
      <c r="V5" s="4">
        <v>80</v>
      </c>
      <c r="W5" s="4">
        <v>74</v>
      </c>
    </row>
    <row r="6" spans="1:23" ht="11.25" customHeight="1" x14ac:dyDescent="0.3">
      <c r="A6" s="4" t="s">
        <v>21</v>
      </c>
      <c r="B6" s="4" t="s">
        <v>37</v>
      </c>
      <c r="C6" s="4" t="s">
        <v>41</v>
      </c>
      <c r="D6" s="4" t="s">
        <v>40</v>
      </c>
      <c r="E6" s="4" t="s">
        <v>25</v>
      </c>
      <c r="F6" s="4" t="s">
        <v>25</v>
      </c>
      <c r="G6" s="4" t="s">
        <v>25</v>
      </c>
      <c r="H6" s="4" t="s">
        <v>34</v>
      </c>
      <c r="I6" s="5">
        <v>44409</v>
      </c>
      <c r="J6" s="6">
        <v>100</v>
      </c>
      <c r="K6" s="6">
        <v>100</v>
      </c>
      <c r="L6" s="6">
        <v>27.245000000000001</v>
      </c>
      <c r="M6" s="6">
        <v>27.245000000000001</v>
      </c>
      <c r="N6" s="6">
        <v>27.245000000000001</v>
      </c>
      <c r="O6" s="6">
        <v>27.245000000000001</v>
      </c>
      <c r="P6" s="6">
        <v>0</v>
      </c>
      <c r="Q6" s="4" t="s">
        <v>26</v>
      </c>
      <c r="R6" s="4">
        <v>0</v>
      </c>
      <c r="S6" s="4" t="s">
        <v>96</v>
      </c>
      <c r="T6" s="4" t="s">
        <v>301</v>
      </c>
      <c r="U6" s="4">
        <v>84</v>
      </c>
      <c r="V6" s="4">
        <v>80</v>
      </c>
      <c r="W6" s="4">
        <v>74</v>
      </c>
    </row>
    <row r="7" spans="1:23" ht="11.25" customHeight="1" x14ac:dyDescent="0.3">
      <c r="A7" s="4" t="s">
        <v>21</v>
      </c>
      <c r="B7" s="4" t="s">
        <v>37</v>
      </c>
      <c r="C7" s="4" t="s">
        <v>41</v>
      </c>
      <c r="D7" s="4" t="s">
        <v>40</v>
      </c>
      <c r="E7" s="4" t="s">
        <v>25</v>
      </c>
      <c r="F7" s="4" t="s">
        <v>25</v>
      </c>
      <c r="G7" s="4" t="s">
        <v>25</v>
      </c>
      <c r="H7" s="4" t="s">
        <v>34</v>
      </c>
      <c r="I7" s="5">
        <v>44440</v>
      </c>
      <c r="J7" s="6">
        <v>100</v>
      </c>
      <c r="K7" s="6">
        <v>100</v>
      </c>
      <c r="L7" s="6">
        <v>30.143999999999998</v>
      </c>
      <c r="M7" s="6">
        <v>30.143999999999998</v>
      </c>
      <c r="N7" s="6">
        <v>30.143999999999998</v>
      </c>
      <c r="O7" s="6">
        <v>30.143999999999998</v>
      </c>
      <c r="P7" s="6">
        <v>0</v>
      </c>
      <c r="Q7" s="4" t="s">
        <v>26</v>
      </c>
      <c r="R7" s="4">
        <v>0</v>
      </c>
      <c r="S7" s="4" t="s">
        <v>97</v>
      </c>
      <c r="T7" s="4" t="s">
        <v>302</v>
      </c>
      <c r="U7" s="4">
        <v>84</v>
      </c>
      <c r="V7" s="4">
        <v>80</v>
      </c>
      <c r="W7" s="4">
        <v>74</v>
      </c>
    </row>
    <row r="8" spans="1:23" ht="11.25" customHeight="1" x14ac:dyDescent="0.3">
      <c r="A8" s="4" t="s">
        <v>21</v>
      </c>
      <c r="B8" s="4" t="s">
        <v>37</v>
      </c>
      <c r="C8" s="4" t="s">
        <v>41</v>
      </c>
      <c r="D8" s="4" t="s">
        <v>40</v>
      </c>
      <c r="E8" s="4" t="s">
        <v>25</v>
      </c>
      <c r="F8" s="4" t="s">
        <v>25</v>
      </c>
      <c r="G8" s="4" t="s">
        <v>25</v>
      </c>
      <c r="H8" s="4" t="s">
        <v>34</v>
      </c>
      <c r="I8" s="5">
        <v>44470</v>
      </c>
      <c r="J8" s="6">
        <v>100</v>
      </c>
      <c r="K8" s="6">
        <v>100</v>
      </c>
      <c r="L8" s="6">
        <v>30.068999999999999</v>
      </c>
      <c r="M8" s="6">
        <v>30.068999999999999</v>
      </c>
      <c r="N8" s="6">
        <v>30.068999999999999</v>
      </c>
      <c r="O8" s="6">
        <v>30.068999999999999</v>
      </c>
      <c r="P8" s="6">
        <v>0</v>
      </c>
      <c r="Q8" s="4" t="s">
        <v>26</v>
      </c>
      <c r="R8" s="4">
        <v>0</v>
      </c>
      <c r="S8" s="4" t="s">
        <v>98</v>
      </c>
      <c r="T8" s="4" t="s">
        <v>303</v>
      </c>
      <c r="U8" s="4">
        <v>84</v>
      </c>
      <c r="V8" s="4">
        <v>80</v>
      </c>
      <c r="W8" s="4">
        <v>74</v>
      </c>
    </row>
    <row r="9" spans="1:23" ht="11.25" customHeight="1" x14ac:dyDescent="0.3">
      <c r="A9" s="4" t="s">
        <v>21</v>
      </c>
      <c r="B9" s="4" t="s">
        <v>37</v>
      </c>
      <c r="C9" s="4" t="s">
        <v>41</v>
      </c>
      <c r="D9" s="4" t="s">
        <v>40</v>
      </c>
      <c r="E9" s="4" t="s">
        <v>25</v>
      </c>
      <c r="F9" s="4" t="s">
        <v>25</v>
      </c>
      <c r="G9" s="4" t="s">
        <v>25</v>
      </c>
      <c r="H9" s="4" t="s">
        <v>34</v>
      </c>
      <c r="I9" s="5">
        <v>44501</v>
      </c>
      <c r="J9" s="6">
        <v>100</v>
      </c>
      <c r="K9" s="6">
        <v>100</v>
      </c>
      <c r="L9" s="6">
        <v>31.263000000000002</v>
      </c>
      <c r="M9" s="6">
        <v>31.263000000000002</v>
      </c>
      <c r="N9" s="6">
        <v>31.263000000000002</v>
      </c>
      <c r="O9" s="6">
        <v>31.263000000000002</v>
      </c>
      <c r="P9" s="6">
        <v>0</v>
      </c>
      <c r="Q9" s="4" t="s">
        <v>26</v>
      </c>
      <c r="R9" s="4">
        <v>0</v>
      </c>
      <c r="S9" s="4" t="s">
        <v>99</v>
      </c>
      <c r="T9" s="4" t="s">
        <v>304</v>
      </c>
      <c r="U9" s="4">
        <v>84</v>
      </c>
      <c r="V9" s="4">
        <v>80</v>
      </c>
      <c r="W9" s="4">
        <v>74</v>
      </c>
    </row>
    <row r="10" spans="1:23" ht="11.25" customHeight="1" x14ac:dyDescent="0.3">
      <c r="A10" s="4" t="s">
        <v>21</v>
      </c>
      <c r="B10" s="4" t="s">
        <v>37</v>
      </c>
      <c r="C10" s="4" t="s">
        <v>41</v>
      </c>
      <c r="D10" s="4" t="s">
        <v>40</v>
      </c>
      <c r="E10" s="4" t="s">
        <v>25</v>
      </c>
      <c r="F10" s="4" t="s">
        <v>25</v>
      </c>
      <c r="G10" s="4" t="s">
        <v>25</v>
      </c>
      <c r="H10" s="4" t="s">
        <v>34</v>
      </c>
      <c r="I10" s="5">
        <v>44531</v>
      </c>
      <c r="J10" s="6">
        <v>100</v>
      </c>
      <c r="K10" s="6">
        <v>100</v>
      </c>
      <c r="L10" s="6">
        <v>36.128999999999998</v>
      </c>
      <c r="M10" s="6">
        <v>36.128999999999998</v>
      </c>
      <c r="N10" s="6">
        <v>36.128999999999998</v>
      </c>
      <c r="O10" s="6">
        <v>36.128999999999998</v>
      </c>
      <c r="P10" s="6">
        <v>0</v>
      </c>
      <c r="Q10" s="4" t="s">
        <v>26</v>
      </c>
      <c r="R10" s="4">
        <v>0</v>
      </c>
      <c r="S10" s="4" t="s">
        <v>100</v>
      </c>
      <c r="T10" s="4" t="s">
        <v>305</v>
      </c>
      <c r="U10" s="4">
        <v>84</v>
      </c>
      <c r="V10" s="4">
        <v>80</v>
      </c>
      <c r="W10" s="4">
        <v>74</v>
      </c>
    </row>
    <row r="11" spans="1:23" ht="11.25" customHeight="1" x14ac:dyDescent="0.3">
      <c r="A11" s="4" t="s">
        <v>21</v>
      </c>
      <c r="B11" s="4" t="s">
        <v>37</v>
      </c>
      <c r="C11" s="4" t="s">
        <v>41</v>
      </c>
      <c r="D11" s="4" t="s">
        <v>40</v>
      </c>
      <c r="E11" s="4" t="s">
        <v>25</v>
      </c>
      <c r="F11" s="4" t="s">
        <v>25</v>
      </c>
      <c r="G11" s="4" t="s">
        <v>25</v>
      </c>
      <c r="H11" s="4" t="s">
        <v>34</v>
      </c>
      <c r="I11" s="5">
        <v>44562</v>
      </c>
      <c r="J11" s="6">
        <v>104</v>
      </c>
      <c r="K11" s="6">
        <v>104</v>
      </c>
      <c r="L11" s="6">
        <v>40.896999999999998</v>
      </c>
      <c r="M11" s="6">
        <v>40.896999999999998</v>
      </c>
      <c r="N11" s="6">
        <v>40.896999999999998</v>
      </c>
      <c r="O11" s="6">
        <v>40.896999999999998</v>
      </c>
      <c r="P11" s="6">
        <v>0</v>
      </c>
      <c r="Q11" s="4" t="s">
        <v>26</v>
      </c>
      <c r="R11" s="4">
        <v>0</v>
      </c>
      <c r="S11" s="4" t="s">
        <v>101</v>
      </c>
      <c r="T11" s="4" t="s">
        <v>306</v>
      </c>
      <c r="U11" s="4">
        <v>84</v>
      </c>
      <c r="V11" s="4">
        <v>80</v>
      </c>
      <c r="W11" s="4">
        <v>74</v>
      </c>
    </row>
    <row r="12" spans="1:23" ht="11.25" customHeight="1" x14ac:dyDescent="0.3">
      <c r="A12" s="4" t="s">
        <v>21</v>
      </c>
      <c r="B12" s="4" t="s">
        <v>37</v>
      </c>
      <c r="C12" s="4" t="s">
        <v>41</v>
      </c>
      <c r="D12" s="4" t="s">
        <v>40</v>
      </c>
      <c r="E12" s="4" t="s">
        <v>25</v>
      </c>
      <c r="F12" s="4" t="s">
        <v>25</v>
      </c>
      <c r="G12" s="4" t="s">
        <v>25</v>
      </c>
      <c r="H12" s="4" t="s">
        <v>34</v>
      </c>
      <c r="I12" s="5">
        <v>44593</v>
      </c>
      <c r="J12" s="6">
        <v>101</v>
      </c>
      <c r="K12" s="6">
        <v>101</v>
      </c>
      <c r="L12" s="6">
        <v>35.027999999999999</v>
      </c>
      <c r="M12" s="6">
        <v>35.027999999999999</v>
      </c>
      <c r="N12" s="6">
        <v>35.027999999999999</v>
      </c>
      <c r="O12" s="6">
        <v>35.027999999999999</v>
      </c>
      <c r="P12" s="6">
        <v>0</v>
      </c>
      <c r="Q12" s="4" t="s">
        <v>26</v>
      </c>
      <c r="R12" s="4">
        <v>0</v>
      </c>
      <c r="S12" s="4" t="s">
        <v>102</v>
      </c>
      <c r="T12" s="4" t="s">
        <v>307</v>
      </c>
      <c r="U12" s="4">
        <v>84</v>
      </c>
      <c r="V12" s="4">
        <v>80</v>
      </c>
      <c r="W12" s="4">
        <v>74</v>
      </c>
    </row>
    <row r="13" spans="1:23" ht="11.25" customHeight="1" x14ac:dyDescent="0.3">
      <c r="A13" s="4" t="s">
        <v>21</v>
      </c>
      <c r="B13" s="4" t="s">
        <v>37</v>
      </c>
      <c r="C13" s="4" t="s">
        <v>41</v>
      </c>
      <c r="D13" s="4" t="s">
        <v>40</v>
      </c>
      <c r="E13" s="4" t="s">
        <v>25</v>
      </c>
      <c r="F13" s="4" t="s">
        <v>25</v>
      </c>
      <c r="G13" s="4" t="s">
        <v>25</v>
      </c>
      <c r="H13" s="4" t="s">
        <v>34</v>
      </c>
      <c r="I13" s="5">
        <v>44621</v>
      </c>
      <c r="J13" s="6">
        <v>104</v>
      </c>
      <c r="K13" s="6">
        <v>104</v>
      </c>
      <c r="L13" s="6">
        <v>42.872999999999998</v>
      </c>
      <c r="M13" s="6">
        <v>42.872999999999998</v>
      </c>
      <c r="N13" s="6">
        <v>42.872999999999998</v>
      </c>
      <c r="O13" s="6">
        <v>42.872999999999998</v>
      </c>
      <c r="P13" s="6">
        <v>0</v>
      </c>
      <c r="Q13" s="4" t="s">
        <v>26</v>
      </c>
      <c r="R13" s="4">
        <v>0</v>
      </c>
      <c r="S13" s="4" t="s">
        <v>103</v>
      </c>
      <c r="T13" s="4" t="s">
        <v>308</v>
      </c>
      <c r="U13" s="4">
        <v>84</v>
      </c>
      <c r="V13" s="4">
        <v>80</v>
      </c>
      <c r="W13" s="4">
        <v>74</v>
      </c>
    </row>
    <row r="14" spans="1:23" ht="11.25" customHeight="1" x14ac:dyDescent="0.3">
      <c r="A14" s="4" t="s">
        <v>21</v>
      </c>
      <c r="B14" s="4" t="s">
        <v>37</v>
      </c>
      <c r="C14" s="4" t="s">
        <v>41</v>
      </c>
      <c r="D14" s="4" t="s">
        <v>40</v>
      </c>
      <c r="E14" s="4" t="s">
        <v>25</v>
      </c>
      <c r="F14" s="4" t="s">
        <v>25</v>
      </c>
      <c r="G14" s="4" t="s">
        <v>25</v>
      </c>
      <c r="H14" s="4" t="s">
        <v>39</v>
      </c>
      <c r="I14" s="5">
        <v>44287</v>
      </c>
      <c r="J14" s="6">
        <v>100</v>
      </c>
      <c r="K14" s="6">
        <v>100</v>
      </c>
      <c r="L14" s="6">
        <v>3.4089999999999998</v>
      </c>
      <c r="M14" s="6">
        <v>3.4089999999999998</v>
      </c>
      <c r="N14" s="6">
        <v>3.4089999999999998</v>
      </c>
      <c r="O14" s="6">
        <v>3.4089999999999998</v>
      </c>
      <c r="P14" s="6">
        <v>0</v>
      </c>
      <c r="Q14" s="4" t="s">
        <v>26</v>
      </c>
      <c r="R14" s="4">
        <v>0</v>
      </c>
      <c r="S14" s="4" t="s">
        <v>104</v>
      </c>
      <c r="T14" s="4" t="s">
        <v>309</v>
      </c>
      <c r="U14" s="4">
        <v>83</v>
      </c>
      <c r="V14" s="4">
        <v>80</v>
      </c>
      <c r="W14" s="4">
        <v>73</v>
      </c>
    </row>
    <row r="15" spans="1:23" ht="11.25" customHeight="1" x14ac:dyDescent="0.3">
      <c r="A15" s="4" t="s">
        <v>21</v>
      </c>
      <c r="B15" s="4" t="s">
        <v>37</v>
      </c>
      <c r="C15" s="4" t="s">
        <v>41</v>
      </c>
      <c r="D15" s="4" t="s">
        <v>40</v>
      </c>
      <c r="E15" s="4" t="s">
        <v>25</v>
      </c>
      <c r="F15" s="4" t="s">
        <v>25</v>
      </c>
      <c r="G15" s="4" t="s">
        <v>25</v>
      </c>
      <c r="H15" s="4" t="s">
        <v>39</v>
      </c>
      <c r="I15" s="5">
        <v>44317</v>
      </c>
      <c r="J15" s="6">
        <v>100</v>
      </c>
      <c r="K15" s="6">
        <v>100</v>
      </c>
      <c r="L15" s="6">
        <v>3.3570000000000002</v>
      </c>
      <c r="M15" s="6">
        <v>3.3570000000000002</v>
      </c>
      <c r="N15" s="6">
        <v>3.3570000000000002</v>
      </c>
      <c r="O15" s="6">
        <v>3.3570000000000002</v>
      </c>
      <c r="P15" s="6">
        <v>0</v>
      </c>
      <c r="Q15" s="4" t="s">
        <v>26</v>
      </c>
      <c r="R15" s="4">
        <v>0</v>
      </c>
      <c r="S15" s="4" t="s">
        <v>105</v>
      </c>
      <c r="T15" s="4" t="s">
        <v>310</v>
      </c>
      <c r="U15" s="4">
        <v>83</v>
      </c>
      <c r="V15" s="4">
        <v>80</v>
      </c>
      <c r="W15" s="4">
        <v>73</v>
      </c>
    </row>
    <row r="16" spans="1:23" ht="11.25" customHeight="1" x14ac:dyDescent="0.3">
      <c r="A16" s="4" t="s">
        <v>21</v>
      </c>
      <c r="B16" s="4" t="s">
        <v>37</v>
      </c>
      <c r="C16" s="4" t="s">
        <v>41</v>
      </c>
      <c r="D16" s="4" t="s">
        <v>40</v>
      </c>
      <c r="E16" s="4" t="s">
        <v>25</v>
      </c>
      <c r="F16" s="4" t="s">
        <v>25</v>
      </c>
      <c r="G16" s="4" t="s">
        <v>25</v>
      </c>
      <c r="H16" s="4" t="s">
        <v>39</v>
      </c>
      <c r="I16" s="5">
        <v>44348</v>
      </c>
      <c r="J16" s="6">
        <v>100</v>
      </c>
      <c r="K16" s="6">
        <v>100</v>
      </c>
      <c r="L16" s="6">
        <v>3.093</v>
      </c>
      <c r="M16" s="6">
        <v>3.093</v>
      </c>
      <c r="N16" s="6">
        <v>3.093</v>
      </c>
      <c r="O16" s="6">
        <v>3.093</v>
      </c>
      <c r="P16" s="6">
        <v>0</v>
      </c>
      <c r="Q16" s="4" t="s">
        <v>26</v>
      </c>
      <c r="R16" s="4">
        <v>0</v>
      </c>
      <c r="S16" s="4" t="s">
        <v>106</v>
      </c>
      <c r="T16" s="4" t="s">
        <v>311</v>
      </c>
      <c r="U16" s="4">
        <v>83</v>
      </c>
      <c r="V16" s="4">
        <v>80</v>
      </c>
      <c r="W16" s="4">
        <v>73</v>
      </c>
    </row>
    <row r="17" spans="1:23" ht="11.25" customHeight="1" x14ac:dyDescent="0.3">
      <c r="A17" s="4" t="s">
        <v>21</v>
      </c>
      <c r="B17" s="4" t="s">
        <v>37</v>
      </c>
      <c r="C17" s="4" t="s">
        <v>41</v>
      </c>
      <c r="D17" s="4" t="s">
        <v>40</v>
      </c>
      <c r="E17" s="4" t="s">
        <v>25</v>
      </c>
      <c r="F17" s="4" t="s">
        <v>25</v>
      </c>
      <c r="G17" s="4" t="s">
        <v>25</v>
      </c>
      <c r="H17" s="4" t="s">
        <v>39</v>
      </c>
      <c r="I17" s="5">
        <v>44378</v>
      </c>
      <c r="J17" s="6">
        <v>100</v>
      </c>
      <c r="K17" s="6">
        <v>100</v>
      </c>
      <c r="L17" s="6">
        <v>3.032</v>
      </c>
      <c r="M17" s="6">
        <v>3.032</v>
      </c>
      <c r="N17" s="6">
        <v>3.032</v>
      </c>
      <c r="O17" s="6">
        <v>3.032</v>
      </c>
      <c r="P17" s="6">
        <v>0</v>
      </c>
      <c r="Q17" s="4" t="s">
        <v>26</v>
      </c>
      <c r="R17" s="4">
        <v>0</v>
      </c>
      <c r="S17" s="4" t="s">
        <v>107</v>
      </c>
      <c r="T17" s="4" t="s">
        <v>312</v>
      </c>
      <c r="U17" s="4">
        <v>83</v>
      </c>
      <c r="V17" s="4">
        <v>80</v>
      </c>
      <c r="W17" s="4">
        <v>73</v>
      </c>
    </row>
    <row r="18" spans="1:23" ht="11.25" customHeight="1" x14ac:dyDescent="0.3">
      <c r="A18" s="4" t="s">
        <v>21</v>
      </c>
      <c r="B18" s="4" t="s">
        <v>37</v>
      </c>
      <c r="C18" s="4" t="s">
        <v>41</v>
      </c>
      <c r="D18" s="4" t="s">
        <v>40</v>
      </c>
      <c r="E18" s="4" t="s">
        <v>25</v>
      </c>
      <c r="F18" s="4" t="s">
        <v>25</v>
      </c>
      <c r="G18" s="4" t="s">
        <v>25</v>
      </c>
      <c r="H18" s="4" t="s">
        <v>39</v>
      </c>
      <c r="I18" s="5">
        <v>44409</v>
      </c>
      <c r="J18" s="6">
        <v>100</v>
      </c>
      <c r="K18" s="6">
        <v>100</v>
      </c>
      <c r="L18" s="6">
        <v>3.165</v>
      </c>
      <c r="M18" s="6">
        <v>3.165</v>
      </c>
      <c r="N18" s="6">
        <v>3.165</v>
      </c>
      <c r="O18" s="6">
        <v>3.165</v>
      </c>
      <c r="P18" s="6">
        <v>0</v>
      </c>
      <c r="Q18" s="4" t="s">
        <v>26</v>
      </c>
      <c r="R18" s="4">
        <v>0</v>
      </c>
      <c r="S18" s="4" t="s">
        <v>108</v>
      </c>
      <c r="T18" s="4" t="s">
        <v>313</v>
      </c>
      <c r="U18" s="4">
        <v>83</v>
      </c>
      <c r="V18" s="4">
        <v>80</v>
      </c>
      <c r="W18" s="4">
        <v>73</v>
      </c>
    </row>
    <row r="19" spans="1:23" ht="11.25" customHeight="1" x14ac:dyDescent="0.3">
      <c r="A19" s="4" t="s">
        <v>21</v>
      </c>
      <c r="B19" s="4" t="s">
        <v>37</v>
      </c>
      <c r="C19" s="4" t="s">
        <v>41</v>
      </c>
      <c r="D19" s="4" t="s">
        <v>40</v>
      </c>
      <c r="E19" s="4" t="s">
        <v>25</v>
      </c>
      <c r="F19" s="4" t="s">
        <v>25</v>
      </c>
      <c r="G19" s="4" t="s">
        <v>25</v>
      </c>
      <c r="H19" s="4" t="s">
        <v>39</v>
      </c>
      <c r="I19" s="5">
        <v>44440</v>
      </c>
      <c r="J19" s="6">
        <v>100</v>
      </c>
      <c r="K19" s="6">
        <v>100</v>
      </c>
      <c r="L19" s="6">
        <v>3.4049999999999998</v>
      </c>
      <c r="M19" s="6">
        <v>3.4049999999999998</v>
      </c>
      <c r="N19" s="6">
        <v>3.4049999999999998</v>
      </c>
      <c r="O19" s="6">
        <v>3.4049999999999998</v>
      </c>
      <c r="P19" s="6">
        <v>0</v>
      </c>
      <c r="Q19" s="4" t="s">
        <v>26</v>
      </c>
      <c r="R19" s="4">
        <v>0</v>
      </c>
      <c r="S19" s="4" t="s">
        <v>109</v>
      </c>
      <c r="T19" s="4" t="s">
        <v>314</v>
      </c>
      <c r="U19" s="4">
        <v>83</v>
      </c>
      <c r="V19" s="4">
        <v>80</v>
      </c>
      <c r="W19" s="4">
        <v>73</v>
      </c>
    </row>
    <row r="20" spans="1:23" ht="11.25" customHeight="1" x14ac:dyDescent="0.3">
      <c r="A20" s="4" t="s">
        <v>21</v>
      </c>
      <c r="B20" s="4" t="s">
        <v>37</v>
      </c>
      <c r="C20" s="4" t="s">
        <v>41</v>
      </c>
      <c r="D20" s="4" t="s">
        <v>40</v>
      </c>
      <c r="E20" s="4" t="s">
        <v>25</v>
      </c>
      <c r="F20" s="4" t="s">
        <v>25</v>
      </c>
      <c r="G20" s="4" t="s">
        <v>25</v>
      </c>
      <c r="H20" s="4" t="s">
        <v>39</v>
      </c>
      <c r="I20" s="5">
        <v>44470</v>
      </c>
      <c r="J20" s="6">
        <v>100</v>
      </c>
      <c r="K20" s="6">
        <v>100</v>
      </c>
      <c r="L20" s="6">
        <v>3.105</v>
      </c>
      <c r="M20" s="6">
        <v>3.105</v>
      </c>
      <c r="N20" s="6">
        <v>3.105</v>
      </c>
      <c r="O20" s="6">
        <v>3.105</v>
      </c>
      <c r="P20" s="6">
        <v>0</v>
      </c>
      <c r="Q20" s="4" t="s">
        <v>26</v>
      </c>
      <c r="R20" s="4">
        <v>0</v>
      </c>
      <c r="S20" s="4" t="s">
        <v>110</v>
      </c>
      <c r="T20" s="4" t="s">
        <v>315</v>
      </c>
      <c r="U20" s="4">
        <v>83</v>
      </c>
      <c r="V20" s="4">
        <v>80</v>
      </c>
      <c r="W20" s="4">
        <v>73</v>
      </c>
    </row>
    <row r="21" spans="1:23" ht="11.25" customHeight="1" x14ac:dyDescent="0.3">
      <c r="A21" s="4" t="s">
        <v>21</v>
      </c>
      <c r="B21" s="4" t="s">
        <v>37</v>
      </c>
      <c r="C21" s="4" t="s">
        <v>41</v>
      </c>
      <c r="D21" s="4" t="s">
        <v>40</v>
      </c>
      <c r="E21" s="4" t="s">
        <v>25</v>
      </c>
      <c r="F21" s="4" t="s">
        <v>25</v>
      </c>
      <c r="G21" s="4" t="s">
        <v>25</v>
      </c>
      <c r="H21" s="4" t="s">
        <v>39</v>
      </c>
      <c r="I21" s="5">
        <v>44501</v>
      </c>
      <c r="J21" s="6">
        <v>100</v>
      </c>
      <c r="K21" s="6">
        <v>100</v>
      </c>
      <c r="L21" s="6">
        <v>3.3519999999999999</v>
      </c>
      <c r="M21" s="6">
        <v>3.3519999999999999</v>
      </c>
      <c r="N21" s="6">
        <v>3.3519999999999999</v>
      </c>
      <c r="O21" s="6">
        <v>3.3519999999999999</v>
      </c>
      <c r="P21" s="6">
        <v>0</v>
      </c>
      <c r="Q21" s="4" t="s">
        <v>26</v>
      </c>
      <c r="R21" s="4">
        <v>0</v>
      </c>
      <c r="S21" s="4" t="s">
        <v>111</v>
      </c>
      <c r="T21" s="4" t="s">
        <v>316</v>
      </c>
      <c r="U21" s="4">
        <v>83</v>
      </c>
      <c r="V21" s="4">
        <v>80</v>
      </c>
      <c r="W21" s="4">
        <v>73</v>
      </c>
    </row>
    <row r="22" spans="1:23" ht="11.25" customHeight="1" x14ac:dyDescent="0.3">
      <c r="A22" s="4" t="s">
        <v>21</v>
      </c>
      <c r="B22" s="4" t="s">
        <v>37</v>
      </c>
      <c r="C22" s="4" t="s">
        <v>41</v>
      </c>
      <c r="D22" s="4" t="s">
        <v>40</v>
      </c>
      <c r="E22" s="4" t="s">
        <v>25</v>
      </c>
      <c r="F22" s="4" t="s">
        <v>25</v>
      </c>
      <c r="G22" s="4" t="s">
        <v>25</v>
      </c>
      <c r="H22" s="4" t="s">
        <v>39</v>
      </c>
      <c r="I22" s="5">
        <v>44531</v>
      </c>
      <c r="J22" s="6">
        <v>100</v>
      </c>
      <c r="K22" s="6">
        <v>100</v>
      </c>
      <c r="L22" s="6">
        <v>3.9790000000000001</v>
      </c>
      <c r="M22" s="6">
        <v>3.9790000000000001</v>
      </c>
      <c r="N22" s="6">
        <v>3.9790000000000001</v>
      </c>
      <c r="O22" s="6">
        <v>3.9790000000000001</v>
      </c>
      <c r="P22" s="6">
        <v>0</v>
      </c>
      <c r="Q22" s="4" t="s">
        <v>26</v>
      </c>
      <c r="R22" s="4">
        <v>0</v>
      </c>
      <c r="S22" s="4" t="s">
        <v>112</v>
      </c>
      <c r="T22" s="4" t="s">
        <v>317</v>
      </c>
      <c r="U22" s="4">
        <v>83</v>
      </c>
      <c r="V22" s="4">
        <v>80</v>
      </c>
      <c r="W22" s="4">
        <v>73</v>
      </c>
    </row>
    <row r="23" spans="1:23" ht="11.25" customHeight="1" x14ac:dyDescent="0.3">
      <c r="A23" s="4" t="s">
        <v>21</v>
      </c>
      <c r="B23" s="4" t="s">
        <v>37</v>
      </c>
      <c r="C23" s="4" t="s">
        <v>41</v>
      </c>
      <c r="D23" s="4" t="s">
        <v>40</v>
      </c>
      <c r="E23" s="4" t="s">
        <v>25</v>
      </c>
      <c r="F23" s="4" t="s">
        <v>25</v>
      </c>
      <c r="G23" s="4" t="s">
        <v>25</v>
      </c>
      <c r="H23" s="4" t="s">
        <v>39</v>
      </c>
      <c r="I23" s="5">
        <v>44562</v>
      </c>
      <c r="J23" s="6">
        <v>100</v>
      </c>
      <c r="K23" s="6">
        <v>100</v>
      </c>
      <c r="L23" s="6">
        <v>4.1159999999999997</v>
      </c>
      <c r="M23" s="6">
        <v>4.1159999999999997</v>
      </c>
      <c r="N23" s="6">
        <v>4.1159999999999997</v>
      </c>
      <c r="O23" s="6">
        <v>4.1159999999999997</v>
      </c>
      <c r="P23" s="6">
        <v>0</v>
      </c>
      <c r="Q23" s="4" t="s">
        <v>26</v>
      </c>
      <c r="R23" s="4">
        <v>0</v>
      </c>
      <c r="S23" s="4" t="s">
        <v>113</v>
      </c>
      <c r="T23" s="4" t="s">
        <v>318</v>
      </c>
      <c r="U23" s="4">
        <v>83</v>
      </c>
      <c r="V23" s="4">
        <v>80</v>
      </c>
      <c r="W23" s="4">
        <v>73</v>
      </c>
    </row>
    <row r="24" spans="1:23" ht="11.25" customHeight="1" x14ac:dyDescent="0.3">
      <c r="A24" s="4" t="s">
        <v>21</v>
      </c>
      <c r="B24" s="4" t="s">
        <v>37</v>
      </c>
      <c r="C24" s="4" t="s">
        <v>41</v>
      </c>
      <c r="D24" s="4" t="s">
        <v>40</v>
      </c>
      <c r="E24" s="4" t="s">
        <v>25</v>
      </c>
      <c r="F24" s="4" t="s">
        <v>25</v>
      </c>
      <c r="G24" s="4" t="s">
        <v>25</v>
      </c>
      <c r="H24" s="4" t="s">
        <v>39</v>
      </c>
      <c r="I24" s="5">
        <v>44593</v>
      </c>
      <c r="J24" s="6">
        <v>100</v>
      </c>
      <c r="K24" s="6">
        <v>100</v>
      </c>
      <c r="L24" s="6">
        <v>3.6760000000000002</v>
      </c>
      <c r="M24" s="6">
        <v>3.6760000000000002</v>
      </c>
      <c r="N24" s="6">
        <v>3.6760000000000002</v>
      </c>
      <c r="O24" s="6">
        <v>3.6760000000000002</v>
      </c>
      <c r="P24" s="6">
        <v>0</v>
      </c>
      <c r="Q24" s="4" t="s">
        <v>26</v>
      </c>
      <c r="R24" s="4">
        <v>0</v>
      </c>
      <c r="S24" s="4" t="s">
        <v>114</v>
      </c>
      <c r="T24" s="4" t="s">
        <v>319</v>
      </c>
      <c r="U24" s="4">
        <v>83</v>
      </c>
      <c r="V24" s="4">
        <v>80</v>
      </c>
      <c r="W24" s="4">
        <v>73</v>
      </c>
    </row>
    <row r="25" spans="1:23" ht="11.25" customHeight="1" x14ac:dyDescent="0.3">
      <c r="A25" s="4" t="s">
        <v>21</v>
      </c>
      <c r="B25" s="4" t="s">
        <v>37</v>
      </c>
      <c r="C25" s="4" t="s">
        <v>41</v>
      </c>
      <c r="D25" s="4" t="s">
        <v>40</v>
      </c>
      <c r="E25" s="4" t="s">
        <v>25</v>
      </c>
      <c r="F25" s="4" t="s">
        <v>25</v>
      </c>
      <c r="G25" s="4" t="s">
        <v>25</v>
      </c>
      <c r="H25" s="4" t="s">
        <v>39</v>
      </c>
      <c r="I25" s="5">
        <v>44621</v>
      </c>
      <c r="J25" s="6">
        <v>100</v>
      </c>
      <c r="K25" s="6">
        <v>100</v>
      </c>
      <c r="L25" s="6">
        <v>4.6399999999999997</v>
      </c>
      <c r="M25" s="6">
        <v>4.6399999999999997</v>
      </c>
      <c r="N25" s="6">
        <v>4.6399999999999997</v>
      </c>
      <c r="O25" s="6">
        <v>4.6399999999999997</v>
      </c>
      <c r="P25" s="6">
        <v>0</v>
      </c>
      <c r="Q25" s="4" t="s">
        <v>26</v>
      </c>
      <c r="R25" s="4">
        <v>0</v>
      </c>
      <c r="S25" s="4" t="s">
        <v>115</v>
      </c>
      <c r="T25" s="4" t="s">
        <v>320</v>
      </c>
      <c r="U25" s="4">
        <v>83</v>
      </c>
      <c r="V25" s="4">
        <v>80</v>
      </c>
      <c r="W25" s="4">
        <v>73</v>
      </c>
    </row>
    <row r="26" spans="1:23" ht="11.25" customHeight="1" x14ac:dyDescent="0.3">
      <c r="A26" s="4" t="s">
        <v>21</v>
      </c>
      <c r="B26" s="4" t="s">
        <v>37</v>
      </c>
      <c r="C26" s="4" t="s">
        <v>38</v>
      </c>
      <c r="D26" s="4" t="s">
        <v>40</v>
      </c>
      <c r="E26" s="4" t="s">
        <v>25</v>
      </c>
      <c r="F26" s="4" t="s">
        <v>25</v>
      </c>
      <c r="G26" s="4" t="s">
        <v>25</v>
      </c>
      <c r="H26" s="4" t="s">
        <v>34</v>
      </c>
      <c r="I26" s="5">
        <v>44287</v>
      </c>
      <c r="J26" s="6">
        <v>0</v>
      </c>
      <c r="K26" s="6">
        <v>0</v>
      </c>
      <c r="L26" s="6">
        <v>75.804000000000002</v>
      </c>
      <c r="M26" s="6">
        <v>75.804000000000002</v>
      </c>
      <c r="N26" s="6">
        <v>75.804000000000002</v>
      </c>
      <c r="O26" s="6">
        <v>75.804000000000002</v>
      </c>
      <c r="P26" s="6">
        <v>0</v>
      </c>
      <c r="Q26" s="4" t="s">
        <v>26</v>
      </c>
      <c r="R26" s="4">
        <v>0</v>
      </c>
      <c r="S26" s="4" t="s">
        <v>116</v>
      </c>
      <c r="T26" s="4" t="s">
        <v>297</v>
      </c>
      <c r="U26" s="4">
        <v>0</v>
      </c>
      <c r="V26" s="4">
        <v>2</v>
      </c>
      <c r="W26" s="4">
        <v>74</v>
      </c>
    </row>
    <row r="27" spans="1:23" ht="11.25" customHeight="1" x14ac:dyDescent="0.3">
      <c r="A27" s="4" t="s">
        <v>21</v>
      </c>
      <c r="B27" s="4" t="s">
        <v>37</v>
      </c>
      <c r="C27" s="4" t="s">
        <v>38</v>
      </c>
      <c r="D27" s="4" t="s">
        <v>40</v>
      </c>
      <c r="E27" s="4" t="s">
        <v>25</v>
      </c>
      <c r="F27" s="4" t="s">
        <v>25</v>
      </c>
      <c r="G27" s="4" t="s">
        <v>25</v>
      </c>
      <c r="H27" s="4" t="s">
        <v>34</v>
      </c>
      <c r="I27" s="5">
        <v>44317</v>
      </c>
      <c r="J27" s="6">
        <v>0</v>
      </c>
      <c r="K27" s="6">
        <v>0</v>
      </c>
      <c r="L27" s="6">
        <v>74.941999999999993</v>
      </c>
      <c r="M27" s="6">
        <v>74.941999999999993</v>
      </c>
      <c r="N27" s="6">
        <v>74.941999999999993</v>
      </c>
      <c r="O27" s="6">
        <v>74.941999999999993</v>
      </c>
      <c r="P27" s="6">
        <v>0</v>
      </c>
      <c r="Q27" s="4" t="s">
        <v>26</v>
      </c>
      <c r="R27" s="4">
        <v>0</v>
      </c>
      <c r="S27" s="4" t="s">
        <v>117</v>
      </c>
      <c r="T27" s="4" t="s">
        <v>298</v>
      </c>
      <c r="U27" s="4">
        <v>0</v>
      </c>
      <c r="V27" s="4">
        <v>2</v>
      </c>
      <c r="W27" s="4">
        <v>74</v>
      </c>
    </row>
    <row r="28" spans="1:23" ht="11.25" customHeight="1" x14ac:dyDescent="0.3">
      <c r="A28" s="4" t="s">
        <v>21</v>
      </c>
      <c r="B28" s="4" t="s">
        <v>37</v>
      </c>
      <c r="C28" s="4" t="s">
        <v>38</v>
      </c>
      <c r="D28" s="4" t="s">
        <v>40</v>
      </c>
      <c r="E28" s="4" t="s">
        <v>25</v>
      </c>
      <c r="F28" s="4" t="s">
        <v>25</v>
      </c>
      <c r="G28" s="4" t="s">
        <v>25</v>
      </c>
      <c r="H28" s="4" t="s">
        <v>34</v>
      </c>
      <c r="I28" s="5">
        <v>44348</v>
      </c>
      <c r="J28" s="6">
        <v>0</v>
      </c>
      <c r="K28" s="6">
        <v>0</v>
      </c>
      <c r="L28" s="6">
        <v>70.647999999999996</v>
      </c>
      <c r="M28" s="6">
        <v>70.647999999999996</v>
      </c>
      <c r="N28" s="6">
        <v>70.647999999999996</v>
      </c>
      <c r="O28" s="6">
        <v>70.647999999999996</v>
      </c>
      <c r="P28" s="6">
        <v>0</v>
      </c>
      <c r="Q28" s="4" t="s">
        <v>26</v>
      </c>
      <c r="R28" s="4">
        <v>0</v>
      </c>
      <c r="S28" s="4" t="s">
        <v>118</v>
      </c>
      <c r="T28" s="4" t="s">
        <v>299</v>
      </c>
      <c r="U28" s="4">
        <v>0</v>
      </c>
      <c r="V28" s="4">
        <v>2</v>
      </c>
      <c r="W28" s="4">
        <v>74</v>
      </c>
    </row>
    <row r="29" spans="1:23" ht="11.25" customHeight="1" x14ac:dyDescent="0.3">
      <c r="A29" s="4" t="s">
        <v>21</v>
      </c>
      <c r="B29" s="4" t="s">
        <v>37</v>
      </c>
      <c r="C29" s="4" t="s">
        <v>38</v>
      </c>
      <c r="D29" s="4" t="s">
        <v>40</v>
      </c>
      <c r="E29" s="4" t="s">
        <v>25</v>
      </c>
      <c r="F29" s="4" t="s">
        <v>25</v>
      </c>
      <c r="G29" s="4" t="s">
        <v>25</v>
      </c>
      <c r="H29" s="4" t="s">
        <v>34</v>
      </c>
      <c r="I29" s="5">
        <v>44378</v>
      </c>
      <c r="J29" s="6">
        <v>0</v>
      </c>
      <c r="K29" s="6">
        <v>0</v>
      </c>
      <c r="L29" s="6">
        <v>69.599000000000004</v>
      </c>
      <c r="M29" s="6">
        <v>69.599000000000004</v>
      </c>
      <c r="N29" s="6">
        <v>69.599000000000004</v>
      </c>
      <c r="O29" s="6">
        <v>69.599000000000004</v>
      </c>
      <c r="P29" s="6">
        <v>0</v>
      </c>
      <c r="Q29" s="4" t="s">
        <v>26</v>
      </c>
      <c r="R29" s="4">
        <v>0</v>
      </c>
      <c r="S29" s="4" t="s">
        <v>119</v>
      </c>
      <c r="T29" s="4" t="s">
        <v>300</v>
      </c>
      <c r="U29" s="4">
        <v>0</v>
      </c>
      <c r="V29" s="4">
        <v>2</v>
      </c>
      <c r="W29" s="4">
        <v>74</v>
      </c>
    </row>
    <row r="30" spans="1:23" ht="11.25" customHeight="1" x14ac:dyDescent="0.3">
      <c r="A30" s="4" t="s">
        <v>21</v>
      </c>
      <c r="B30" s="4" t="s">
        <v>37</v>
      </c>
      <c r="C30" s="4" t="s">
        <v>38</v>
      </c>
      <c r="D30" s="4" t="s">
        <v>40</v>
      </c>
      <c r="E30" s="4" t="s">
        <v>25</v>
      </c>
      <c r="F30" s="4" t="s">
        <v>25</v>
      </c>
      <c r="G30" s="4" t="s">
        <v>25</v>
      </c>
      <c r="H30" s="4" t="s">
        <v>34</v>
      </c>
      <c r="I30" s="5">
        <v>44409</v>
      </c>
      <c r="J30" s="6">
        <v>0</v>
      </c>
      <c r="K30" s="6">
        <v>0</v>
      </c>
      <c r="L30" s="6">
        <v>69.894000000000005</v>
      </c>
      <c r="M30" s="6">
        <v>69.894000000000005</v>
      </c>
      <c r="N30" s="6">
        <v>69.894000000000005</v>
      </c>
      <c r="O30" s="6">
        <v>69.894000000000005</v>
      </c>
      <c r="P30" s="6">
        <v>0</v>
      </c>
      <c r="Q30" s="4" t="s">
        <v>26</v>
      </c>
      <c r="R30" s="4">
        <v>0</v>
      </c>
      <c r="S30" s="4" t="s">
        <v>120</v>
      </c>
      <c r="T30" s="4" t="s">
        <v>301</v>
      </c>
      <c r="U30" s="4">
        <v>0</v>
      </c>
      <c r="V30" s="4">
        <v>2</v>
      </c>
      <c r="W30" s="4">
        <v>74</v>
      </c>
    </row>
    <row r="31" spans="1:23" ht="11.25" customHeight="1" x14ac:dyDescent="0.3">
      <c r="A31" s="4" t="s">
        <v>21</v>
      </c>
      <c r="B31" s="4" t="s">
        <v>37</v>
      </c>
      <c r="C31" s="4" t="s">
        <v>38</v>
      </c>
      <c r="D31" s="4" t="s">
        <v>40</v>
      </c>
      <c r="E31" s="4" t="s">
        <v>25</v>
      </c>
      <c r="F31" s="4" t="s">
        <v>25</v>
      </c>
      <c r="G31" s="4" t="s">
        <v>25</v>
      </c>
      <c r="H31" s="4" t="s">
        <v>34</v>
      </c>
      <c r="I31" s="5">
        <v>44440</v>
      </c>
      <c r="J31" s="6">
        <v>0</v>
      </c>
      <c r="K31" s="6">
        <v>0</v>
      </c>
      <c r="L31" s="6">
        <v>82.757999999999996</v>
      </c>
      <c r="M31" s="6">
        <v>82.757999999999996</v>
      </c>
      <c r="N31" s="6">
        <v>82.757999999999996</v>
      </c>
      <c r="O31" s="6">
        <v>82.757999999999996</v>
      </c>
      <c r="P31" s="6">
        <v>0</v>
      </c>
      <c r="Q31" s="4" t="s">
        <v>26</v>
      </c>
      <c r="R31" s="4">
        <v>0</v>
      </c>
      <c r="S31" s="4" t="s">
        <v>121</v>
      </c>
      <c r="T31" s="4" t="s">
        <v>302</v>
      </c>
      <c r="U31" s="4">
        <v>0</v>
      </c>
      <c r="V31" s="4">
        <v>2</v>
      </c>
      <c r="W31" s="4">
        <v>74</v>
      </c>
    </row>
    <row r="32" spans="1:23" ht="11.25" customHeight="1" x14ac:dyDescent="0.3">
      <c r="A32" s="4" t="s">
        <v>21</v>
      </c>
      <c r="B32" s="4" t="s">
        <v>37</v>
      </c>
      <c r="C32" s="4" t="s">
        <v>38</v>
      </c>
      <c r="D32" s="4" t="s">
        <v>40</v>
      </c>
      <c r="E32" s="4" t="s">
        <v>25</v>
      </c>
      <c r="F32" s="4" t="s">
        <v>25</v>
      </c>
      <c r="G32" s="4" t="s">
        <v>25</v>
      </c>
      <c r="H32" s="4" t="s">
        <v>34</v>
      </c>
      <c r="I32" s="5">
        <v>44470</v>
      </c>
      <c r="J32" s="6">
        <v>0</v>
      </c>
      <c r="K32" s="6">
        <v>0</v>
      </c>
      <c r="L32" s="6">
        <v>86.043999999999997</v>
      </c>
      <c r="M32" s="6">
        <v>86.043999999999997</v>
      </c>
      <c r="N32" s="6">
        <v>86.043999999999997</v>
      </c>
      <c r="O32" s="6">
        <v>86.043999999999997</v>
      </c>
      <c r="P32" s="6">
        <v>0</v>
      </c>
      <c r="Q32" s="4" t="s">
        <v>26</v>
      </c>
      <c r="R32" s="4">
        <v>0</v>
      </c>
      <c r="S32" s="4" t="s">
        <v>122</v>
      </c>
      <c r="T32" s="4" t="s">
        <v>303</v>
      </c>
      <c r="U32" s="4">
        <v>0</v>
      </c>
      <c r="V32" s="4">
        <v>2</v>
      </c>
      <c r="W32" s="4">
        <v>74</v>
      </c>
    </row>
    <row r="33" spans="1:23" ht="11.25" customHeight="1" x14ac:dyDescent="0.3">
      <c r="A33" s="4" t="s">
        <v>21</v>
      </c>
      <c r="B33" s="4" t="s">
        <v>37</v>
      </c>
      <c r="C33" s="4" t="s">
        <v>38</v>
      </c>
      <c r="D33" s="4" t="s">
        <v>40</v>
      </c>
      <c r="E33" s="4" t="s">
        <v>25</v>
      </c>
      <c r="F33" s="4" t="s">
        <v>25</v>
      </c>
      <c r="G33" s="4" t="s">
        <v>25</v>
      </c>
      <c r="H33" s="4" t="s">
        <v>34</v>
      </c>
      <c r="I33" s="5">
        <v>44501</v>
      </c>
      <c r="J33" s="6">
        <v>0</v>
      </c>
      <c r="K33" s="6">
        <v>0</v>
      </c>
      <c r="L33" s="6">
        <v>86.302000000000007</v>
      </c>
      <c r="M33" s="6">
        <v>86.302000000000007</v>
      </c>
      <c r="N33" s="6">
        <v>86.302000000000007</v>
      </c>
      <c r="O33" s="6">
        <v>86.302000000000007</v>
      </c>
      <c r="P33" s="6">
        <v>0</v>
      </c>
      <c r="Q33" s="4" t="s">
        <v>26</v>
      </c>
      <c r="R33" s="4">
        <v>0</v>
      </c>
      <c r="S33" s="4" t="s">
        <v>123</v>
      </c>
      <c r="T33" s="4" t="s">
        <v>304</v>
      </c>
      <c r="U33" s="4">
        <v>0</v>
      </c>
      <c r="V33" s="4">
        <v>2</v>
      </c>
      <c r="W33" s="4">
        <v>74</v>
      </c>
    </row>
    <row r="34" spans="1:23" ht="11.25" customHeight="1" x14ac:dyDescent="0.3">
      <c r="A34" s="4" t="s">
        <v>21</v>
      </c>
      <c r="B34" s="4" t="s">
        <v>37</v>
      </c>
      <c r="C34" s="4" t="s">
        <v>38</v>
      </c>
      <c r="D34" s="4" t="s">
        <v>40</v>
      </c>
      <c r="E34" s="4" t="s">
        <v>25</v>
      </c>
      <c r="F34" s="4" t="s">
        <v>25</v>
      </c>
      <c r="G34" s="4" t="s">
        <v>25</v>
      </c>
      <c r="H34" s="4" t="s">
        <v>34</v>
      </c>
      <c r="I34" s="5">
        <v>44531</v>
      </c>
      <c r="J34" s="6">
        <v>0</v>
      </c>
      <c r="K34" s="6">
        <v>0</v>
      </c>
      <c r="L34" s="6">
        <v>103.928</v>
      </c>
      <c r="M34" s="6">
        <v>103.928</v>
      </c>
      <c r="N34" s="6">
        <v>103.928</v>
      </c>
      <c r="O34" s="6">
        <v>103.928</v>
      </c>
      <c r="P34" s="6">
        <v>0</v>
      </c>
      <c r="Q34" s="4" t="s">
        <v>26</v>
      </c>
      <c r="R34" s="4">
        <v>0</v>
      </c>
      <c r="S34" s="4" t="s">
        <v>124</v>
      </c>
      <c r="T34" s="4" t="s">
        <v>305</v>
      </c>
      <c r="U34" s="4">
        <v>0</v>
      </c>
      <c r="V34" s="4">
        <v>2</v>
      </c>
      <c r="W34" s="4">
        <v>74</v>
      </c>
    </row>
    <row r="35" spans="1:23" ht="11.25" customHeight="1" x14ac:dyDescent="0.3">
      <c r="A35" s="4" t="s">
        <v>21</v>
      </c>
      <c r="B35" s="4" t="s">
        <v>37</v>
      </c>
      <c r="C35" s="4" t="s">
        <v>38</v>
      </c>
      <c r="D35" s="4" t="s">
        <v>40</v>
      </c>
      <c r="E35" s="4" t="s">
        <v>25</v>
      </c>
      <c r="F35" s="4" t="s">
        <v>25</v>
      </c>
      <c r="G35" s="4" t="s">
        <v>25</v>
      </c>
      <c r="H35" s="4" t="s">
        <v>34</v>
      </c>
      <c r="I35" s="5">
        <v>44562</v>
      </c>
      <c r="J35" s="6">
        <v>0</v>
      </c>
      <c r="K35" s="6">
        <v>0</v>
      </c>
      <c r="L35" s="6">
        <v>120.857</v>
      </c>
      <c r="M35" s="6">
        <v>120.857</v>
      </c>
      <c r="N35" s="6">
        <v>120.857</v>
      </c>
      <c r="O35" s="6">
        <v>120.857</v>
      </c>
      <c r="P35" s="6">
        <v>0</v>
      </c>
      <c r="Q35" s="4" t="s">
        <v>26</v>
      </c>
      <c r="R35" s="4">
        <v>0</v>
      </c>
      <c r="S35" s="4" t="s">
        <v>125</v>
      </c>
      <c r="T35" s="4" t="s">
        <v>306</v>
      </c>
      <c r="U35" s="4">
        <v>0</v>
      </c>
      <c r="V35" s="4">
        <v>2</v>
      </c>
      <c r="W35" s="4">
        <v>74</v>
      </c>
    </row>
    <row r="36" spans="1:23" ht="11.25" customHeight="1" x14ac:dyDescent="0.3">
      <c r="A36" s="4" t="s">
        <v>21</v>
      </c>
      <c r="B36" s="4" t="s">
        <v>37</v>
      </c>
      <c r="C36" s="4" t="s">
        <v>38</v>
      </c>
      <c r="D36" s="4" t="s">
        <v>40</v>
      </c>
      <c r="E36" s="4" t="s">
        <v>25</v>
      </c>
      <c r="F36" s="4" t="s">
        <v>25</v>
      </c>
      <c r="G36" s="4" t="s">
        <v>25</v>
      </c>
      <c r="H36" s="4" t="s">
        <v>34</v>
      </c>
      <c r="I36" s="5">
        <v>44593</v>
      </c>
      <c r="J36" s="6">
        <v>0</v>
      </c>
      <c r="K36" s="6">
        <v>0</v>
      </c>
      <c r="L36" s="6">
        <v>106.313</v>
      </c>
      <c r="M36" s="6">
        <v>106.313</v>
      </c>
      <c r="N36" s="6">
        <v>106.313</v>
      </c>
      <c r="O36" s="6">
        <v>106.313</v>
      </c>
      <c r="P36" s="6">
        <v>0</v>
      </c>
      <c r="Q36" s="4" t="s">
        <v>26</v>
      </c>
      <c r="R36" s="4">
        <v>0</v>
      </c>
      <c r="S36" s="4" t="s">
        <v>126</v>
      </c>
      <c r="T36" s="4" t="s">
        <v>307</v>
      </c>
      <c r="U36" s="4">
        <v>0</v>
      </c>
      <c r="V36" s="4">
        <v>2</v>
      </c>
      <c r="W36" s="4">
        <v>74</v>
      </c>
    </row>
    <row r="37" spans="1:23" ht="11.25" customHeight="1" x14ac:dyDescent="0.3">
      <c r="A37" s="4" t="s">
        <v>21</v>
      </c>
      <c r="B37" s="4" t="s">
        <v>37</v>
      </c>
      <c r="C37" s="4" t="s">
        <v>38</v>
      </c>
      <c r="D37" s="4" t="s">
        <v>40</v>
      </c>
      <c r="E37" s="4" t="s">
        <v>25</v>
      </c>
      <c r="F37" s="4" t="s">
        <v>25</v>
      </c>
      <c r="G37" s="4" t="s">
        <v>25</v>
      </c>
      <c r="H37" s="4" t="s">
        <v>34</v>
      </c>
      <c r="I37" s="5">
        <v>44621</v>
      </c>
      <c r="J37" s="6">
        <v>0</v>
      </c>
      <c r="K37" s="6">
        <v>0</v>
      </c>
      <c r="L37" s="6">
        <v>123.14100000000001</v>
      </c>
      <c r="M37" s="6">
        <v>123.14100000000001</v>
      </c>
      <c r="N37" s="6">
        <v>123.14100000000001</v>
      </c>
      <c r="O37" s="6">
        <v>123.14100000000001</v>
      </c>
      <c r="P37" s="6">
        <v>0</v>
      </c>
      <c r="Q37" s="4" t="s">
        <v>26</v>
      </c>
      <c r="R37" s="4">
        <v>0</v>
      </c>
      <c r="S37" s="4" t="s">
        <v>127</v>
      </c>
      <c r="T37" s="4" t="s">
        <v>308</v>
      </c>
      <c r="U37" s="4">
        <v>0</v>
      </c>
      <c r="V37" s="4">
        <v>2</v>
      </c>
      <c r="W37" s="4">
        <v>74</v>
      </c>
    </row>
    <row r="38" spans="1:23" ht="11.25" customHeight="1" x14ac:dyDescent="0.3">
      <c r="A38" s="4" t="s">
        <v>21</v>
      </c>
      <c r="B38" s="4" t="s">
        <v>37</v>
      </c>
      <c r="C38" s="4" t="s">
        <v>38</v>
      </c>
      <c r="D38" s="4" t="s">
        <v>40</v>
      </c>
      <c r="E38" s="4" t="s">
        <v>25</v>
      </c>
      <c r="F38" s="4" t="s">
        <v>25</v>
      </c>
      <c r="G38" s="4" t="s">
        <v>25</v>
      </c>
      <c r="H38" s="4" t="s">
        <v>25</v>
      </c>
      <c r="I38" s="5">
        <v>44287</v>
      </c>
      <c r="J38" s="6">
        <v>390</v>
      </c>
      <c r="K38" s="6">
        <v>390</v>
      </c>
      <c r="L38" s="6">
        <v>0</v>
      </c>
      <c r="M38" s="6">
        <v>0</v>
      </c>
      <c r="N38" s="6">
        <v>0</v>
      </c>
      <c r="O38" s="6">
        <v>0</v>
      </c>
      <c r="P38" s="6">
        <v>3</v>
      </c>
      <c r="Q38" s="4" t="s">
        <v>26</v>
      </c>
      <c r="R38" s="4">
        <v>0</v>
      </c>
      <c r="S38" s="4" t="s">
        <v>128</v>
      </c>
      <c r="U38" s="4">
        <v>50</v>
      </c>
      <c r="V38" s="4">
        <v>0</v>
      </c>
      <c r="W38" s="4">
        <v>0</v>
      </c>
    </row>
    <row r="39" spans="1:23" ht="11.25" customHeight="1" x14ac:dyDescent="0.3">
      <c r="A39" s="4" t="s">
        <v>21</v>
      </c>
      <c r="B39" s="4" t="s">
        <v>37</v>
      </c>
      <c r="C39" s="4" t="s">
        <v>38</v>
      </c>
      <c r="D39" s="4" t="s">
        <v>40</v>
      </c>
      <c r="E39" s="4" t="s">
        <v>25</v>
      </c>
      <c r="F39" s="4" t="s">
        <v>25</v>
      </c>
      <c r="G39" s="4" t="s">
        <v>25</v>
      </c>
      <c r="H39" s="4" t="s">
        <v>25</v>
      </c>
      <c r="I39" s="5">
        <v>44317</v>
      </c>
      <c r="J39" s="6">
        <v>392</v>
      </c>
      <c r="K39" s="6">
        <v>392</v>
      </c>
      <c r="L39" s="6">
        <v>0</v>
      </c>
      <c r="M39" s="6">
        <v>0</v>
      </c>
      <c r="N39" s="6">
        <v>0</v>
      </c>
      <c r="O39" s="6">
        <v>0</v>
      </c>
      <c r="P39" s="6">
        <v>3</v>
      </c>
      <c r="Q39" s="4" t="s">
        <v>26</v>
      </c>
      <c r="R39" s="4">
        <v>0</v>
      </c>
      <c r="S39" s="4" t="s">
        <v>129</v>
      </c>
      <c r="U39" s="4">
        <v>50</v>
      </c>
      <c r="V39" s="4">
        <v>0</v>
      </c>
      <c r="W39" s="4">
        <v>0</v>
      </c>
    </row>
    <row r="40" spans="1:23" ht="11.25" customHeight="1" x14ac:dyDescent="0.3">
      <c r="A40" s="4" t="s">
        <v>21</v>
      </c>
      <c r="B40" s="4" t="s">
        <v>37</v>
      </c>
      <c r="C40" s="4" t="s">
        <v>38</v>
      </c>
      <c r="D40" s="4" t="s">
        <v>40</v>
      </c>
      <c r="E40" s="4" t="s">
        <v>25</v>
      </c>
      <c r="F40" s="4" t="s">
        <v>25</v>
      </c>
      <c r="G40" s="4" t="s">
        <v>25</v>
      </c>
      <c r="H40" s="4" t="s">
        <v>25</v>
      </c>
      <c r="I40" s="5">
        <v>44348</v>
      </c>
      <c r="J40" s="6">
        <v>390</v>
      </c>
      <c r="K40" s="6">
        <v>390</v>
      </c>
      <c r="L40" s="6">
        <v>0</v>
      </c>
      <c r="M40" s="6">
        <v>0</v>
      </c>
      <c r="N40" s="6">
        <v>0</v>
      </c>
      <c r="O40" s="6">
        <v>0</v>
      </c>
      <c r="P40" s="6">
        <v>3</v>
      </c>
      <c r="Q40" s="4" t="s">
        <v>26</v>
      </c>
      <c r="R40" s="4">
        <v>0</v>
      </c>
      <c r="S40" s="4" t="s">
        <v>130</v>
      </c>
      <c r="U40" s="4">
        <v>50</v>
      </c>
      <c r="V40" s="4">
        <v>0</v>
      </c>
      <c r="W40" s="4">
        <v>0</v>
      </c>
    </row>
    <row r="41" spans="1:23" ht="11.25" customHeight="1" x14ac:dyDescent="0.3">
      <c r="A41" s="4" t="s">
        <v>21</v>
      </c>
      <c r="B41" s="4" t="s">
        <v>37</v>
      </c>
      <c r="C41" s="4" t="s">
        <v>38</v>
      </c>
      <c r="D41" s="4" t="s">
        <v>40</v>
      </c>
      <c r="E41" s="4" t="s">
        <v>25</v>
      </c>
      <c r="F41" s="4" t="s">
        <v>25</v>
      </c>
      <c r="G41" s="4" t="s">
        <v>25</v>
      </c>
      <c r="H41" s="4" t="s">
        <v>25</v>
      </c>
      <c r="I41" s="5">
        <v>44378</v>
      </c>
      <c r="J41" s="6">
        <v>390</v>
      </c>
      <c r="K41" s="6">
        <v>390</v>
      </c>
      <c r="L41" s="6">
        <v>0</v>
      </c>
      <c r="M41" s="6">
        <v>0</v>
      </c>
      <c r="N41" s="6">
        <v>0</v>
      </c>
      <c r="O41" s="6">
        <v>0</v>
      </c>
      <c r="P41" s="6">
        <v>3</v>
      </c>
      <c r="Q41" s="4" t="s">
        <v>26</v>
      </c>
      <c r="R41" s="4">
        <v>0</v>
      </c>
      <c r="S41" s="4" t="s">
        <v>131</v>
      </c>
      <c r="U41" s="4">
        <v>50</v>
      </c>
      <c r="V41" s="4">
        <v>0</v>
      </c>
      <c r="W41" s="4">
        <v>0</v>
      </c>
    </row>
    <row r="42" spans="1:23" ht="11.25" customHeight="1" x14ac:dyDescent="0.3">
      <c r="A42" s="4" t="s">
        <v>21</v>
      </c>
      <c r="B42" s="4" t="s">
        <v>37</v>
      </c>
      <c r="C42" s="4" t="s">
        <v>38</v>
      </c>
      <c r="D42" s="4" t="s">
        <v>40</v>
      </c>
      <c r="E42" s="4" t="s">
        <v>25</v>
      </c>
      <c r="F42" s="4" t="s">
        <v>25</v>
      </c>
      <c r="G42" s="4" t="s">
        <v>25</v>
      </c>
      <c r="H42" s="4" t="s">
        <v>25</v>
      </c>
      <c r="I42" s="5">
        <v>44409</v>
      </c>
      <c r="J42" s="6">
        <v>290</v>
      </c>
      <c r="K42" s="6">
        <v>290</v>
      </c>
      <c r="L42" s="6">
        <v>0</v>
      </c>
      <c r="M42" s="6">
        <v>0</v>
      </c>
      <c r="N42" s="6">
        <v>0</v>
      </c>
      <c r="O42" s="6">
        <v>0</v>
      </c>
      <c r="P42" s="6">
        <v>3</v>
      </c>
      <c r="Q42" s="4" t="s">
        <v>26</v>
      </c>
      <c r="R42" s="4">
        <v>0</v>
      </c>
      <c r="S42" s="4" t="s">
        <v>132</v>
      </c>
      <c r="U42" s="4">
        <v>50</v>
      </c>
      <c r="V42" s="4">
        <v>0</v>
      </c>
      <c r="W42" s="4">
        <v>0</v>
      </c>
    </row>
    <row r="43" spans="1:23" ht="11.25" customHeight="1" x14ac:dyDescent="0.3">
      <c r="A43" s="4" t="s">
        <v>21</v>
      </c>
      <c r="B43" s="4" t="s">
        <v>37</v>
      </c>
      <c r="C43" s="4" t="s">
        <v>38</v>
      </c>
      <c r="D43" s="4" t="s">
        <v>40</v>
      </c>
      <c r="E43" s="4" t="s">
        <v>25</v>
      </c>
      <c r="F43" s="4" t="s">
        <v>25</v>
      </c>
      <c r="G43" s="4" t="s">
        <v>25</v>
      </c>
      <c r="H43" s="4" t="s">
        <v>25</v>
      </c>
      <c r="I43" s="5">
        <v>44440</v>
      </c>
      <c r="J43" s="6">
        <v>321</v>
      </c>
      <c r="K43" s="6">
        <v>321</v>
      </c>
      <c r="L43" s="6">
        <v>0</v>
      </c>
      <c r="M43" s="6">
        <v>0</v>
      </c>
      <c r="N43" s="6">
        <v>0</v>
      </c>
      <c r="O43" s="6">
        <v>0</v>
      </c>
      <c r="P43" s="6">
        <v>3</v>
      </c>
      <c r="Q43" s="4" t="s">
        <v>26</v>
      </c>
      <c r="R43" s="4">
        <v>0</v>
      </c>
      <c r="S43" s="4" t="s">
        <v>133</v>
      </c>
      <c r="U43" s="4">
        <v>50</v>
      </c>
      <c r="V43" s="4">
        <v>0</v>
      </c>
      <c r="W43" s="4">
        <v>0</v>
      </c>
    </row>
    <row r="44" spans="1:23" ht="11.25" customHeight="1" x14ac:dyDescent="0.3">
      <c r="A44" s="4" t="s">
        <v>21</v>
      </c>
      <c r="B44" s="4" t="s">
        <v>37</v>
      </c>
      <c r="C44" s="4" t="s">
        <v>38</v>
      </c>
      <c r="D44" s="4" t="s">
        <v>40</v>
      </c>
      <c r="E44" s="4" t="s">
        <v>25</v>
      </c>
      <c r="F44" s="4" t="s">
        <v>25</v>
      </c>
      <c r="G44" s="4" t="s">
        <v>25</v>
      </c>
      <c r="H44" s="4" t="s">
        <v>25</v>
      </c>
      <c r="I44" s="5">
        <v>44470</v>
      </c>
      <c r="J44" s="6">
        <v>304</v>
      </c>
      <c r="K44" s="6">
        <v>304</v>
      </c>
      <c r="L44" s="6">
        <v>0</v>
      </c>
      <c r="M44" s="6">
        <v>0</v>
      </c>
      <c r="N44" s="6">
        <v>0</v>
      </c>
      <c r="O44" s="6">
        <v>0</v>
      </c>
      <c r="P44" s="6">
        <v>3</v>
      </c>
      <c r="Q44" s="4" t="s">
        <v>26</v>
      </c>
      <c r="R44" s="4">
        <v>0</v>
      </c>
      <c r="S44" s="4" t="s">
        <v>134</v>
      </c>
      <c r="U44" s="4">
        <v>50</v>
      </c>
      <c r="V44" s="4">
        <v>0</v>
      </c>
      <c r="W44" s="4">
        <v>0</v>
      </c>
    </row>
    <row r="45" spans="1:23" ht="11.25" customHeight="1" x14ac:dyDescent="0.3">
      <c r="A45" s="4" t="s">
        <v>21</v>
      </c>
      <c r="B45" s="4" t="s">
        <v>37</v>
      </c>
      <c r="C45" s="4" t="s">
        <v>38</v>
      </c>
      <c r="D45" s="4" t="s">
        <v>40</v>
      </c>
      <c r="E45" s="4" t="s">
        <v>25</v>
      </c>
      <c r="F45" s="4" t="s">
        <v>25</v>
      </c>
      <c r="G45" s="4" t="s">
        <v>25</v>
      </c>
      <c r="H45" s="4" t="s">
        <v>25</v>
      </c>
      <c r="I45" s="5">
        <v>44501</v>
      </c>
      <c r="J45" s="6">
        <v>296</v>
      </c>
      <c r="K45" s="6">
        <v>296</v>
      </c>
      <c r="L45" s="6">
        <v>0</v>
      </c>
      <c r="M45" s="6">
        <v>0</v>
      </c>
      <c r="N45" s="6">
        <v>0</v>
      </c>
      <c r="O45" s="6">
        <v>0</v>
      </c>
      <c r="P45" s="6">
        <v>3</v>
      </c>
      <c r="Q45" s="4" t="s">
        <v>26</v>
      </c>
      <c r="R45" s="4">
        <v>0</v>
      </c>
      <c r="S45" s="4" t="s">
        <v>135</v>
      </c>
      <c r="U45" s="4">
        <v>50</v>
      </c>
      <c r="V45" s="4">
        <v>0</v>
      </c>
      <c r="W45" s="4">
        <v>0</v>
      </c>
    </row>
    <row r="46" spans="1:23" ht="11.25" customHeight="1" x14ac:dyDescent="0.3">
      <c r="A46" s="4" t="s">
        <v>21</v>
      </c>
      <c r="B46" s="4" t="s">
        <v>37</v>
      </c>
      <c r="C46" s="4" t="s">
        <v>38</v>
      </c>
      <c r="D46" s="4" t="s">
        <v>40</v>
      </c>
      <c r="E46" s="4" t="s">
        <v>25</v>
      </c>
      <c r="F46" s="4" t="s">
        <v>25</v>
      </c>
      <c r="G46" s="4" t="s">
        <v>25</v>
      </c>
      <c r="H46" s="4" t="s">
        <v>25</v>
      </c>
      <c r="I46" s="5">
        <v>44531</v>
      </c>
      <c r="J46" s="6">
        <v>330</v>
      </c>
      <c r="K46" s="6">
        <v>330</v>
      </c>
      <c r="L46" s="6">
        <v>0</v>
      </c>
      <c r="M46" s="6">
        <v>0</v>
      </c>
      <c r="N46" s="6">
        <v>0</v>
      </c>
      <c r="O46" s="6">
        <v>0</v>
      </c>
      <c r="P46" s="6">
        <v>3</v>
      </c>
      <c r="Q46" s="4" t="s">
        <v>26</v>
      </c>
      <c r="R46" s="4">
        <v>0</v>
      </c>
      <c r="S46" s="4" t="s">
        <v>136</v>
      </c>
      <c r="U46" s="4">
        <v>50</v>
      </c>
      <c r="V46" s="4">
        <v>0</v>
      </c>
      <c r="W46" s="4">
        <v>0</v>
      </c>
    </row>
    <row r="47" spans="1:23" ht="11.25" customHeight="1" x14ac:dyDescent="0.3">
      <c r="A47" s="4" t="s">
        <v>21</v>
      </c>
      <c r="B47" s="4" t="s">
        <v>37</v>
      </c>
      <c r="C47" s="4" t="s">
        <v>38</v>
      </c>
      <c r="D47" s="4" t="s">
        <v>40</v>
      </c>
      <c r="E47" s="4" t="s">
        <v>25</v>
      </c>
      <c r="F47" s="4" t="s">
        <v>25</v>
      </c>
      <c r="G47" s="4" t="s">
        <v>25</v>
      </c>
      <c r="H47" s="4" t="s">
        <v>25</v>
      </c>
      <c r="I47" s="5">
        <v>44562</v>
      </c>
      <c r="J47" s="6">
        <v>370</v>
      </c>
      <c r="K47" s="6">
        <v>370</v>
      </c>
      <c r="L47" s="6">
        <v>0</v>
      </c>
      <c r="M47" s="6">
        <v>0</v>
      </c>
      <c r="N47" s="6">
        <v>0</v>
      </c>
      <c r="O47" s="6">
        <v>0</v>
      </c>
      <c r="P47" s="6">
        <v>3</v>
      </c>
      <c r="Q47" s="4" t="s">
        <v>26</v>
      </c>
      <c r="R47" s="4">
        <v>0</v>
      </c>
      <c r="S47" s="4" t="s">
        <v>137</v>
      </c>
      <c r="U47" s="4">
        <v>50</v>
      </c>
      <c r="V47" s="4">
        <v>0</v>
      </c>
      <c r="W47" s="4">
        <v>0</v>
      </c>
    </row>
    <row r="48" spans="1:23" ht="11.25" customHeight="1" x14ac:dyDescent="0.3">
      <c r="A48" s="4" t="s">
        <v>21</v>
      </c>
      <c r="B48" s="4" t="s">
        <v>37</v>
      </c>
      <c r="C48" s="4" t="s">
        <v>38</v>
      </c>
      <c r="D48" s="4" t="s">
        <v>40</v>
      </c>
      <c r="E48" s="4" t="s">
        <v>25</v>
      </c>
      <c r="F48" s="4" t="s">
        <v>25</v>
      </c>
      <c r="G48" s="4" t="s">
        <v>25</v>
      </c>
      <c r="H48" s="4" t="s">
        <v>25</v>
      </c>
      <c r="I48" s="5">
        <v>44593</v>
      </c>
      <c r="J48" s="6">
        <v>363</v>
      </c>
      <c r="K48" s="6">
        <v>363</v>
      </c>
      <c r="L48" s="6">
        <v>0</v>
      </c>
      <c r="M48" s="6">
        <v>0</v>
      </c>
      <c r="N48" s="6">
        <v>0</v>
      </c>
      <c r="O48" s="6">
        <v>0</v>
      </c>
      <c r="P48" s="6">
        <v>3</v>
      </c>
      <c r="Q48" s="4" t="s">
        <v>26</v>
      </c>
      <c r="R48" s="4">
        <v>0</v>
      </c>
      <c r="S48" s="4" t="s">
        <v>138</v>
      </c>
      <c r="U48" s="4">
        <v>50</v>
      </c>
      <c r="V48" s="4">
        <v>0</v>
      </c>
      <c r="W48" s="4">
        <v>0</v>
      </c>
    </row>
    <row r="49" spans="1:23" ht="11.25" customHeight="1" x14ac:dyDescent="0.3">
      <c r="A49" s="4" t="s">
        <v>21</v>
      </c>
      <c r="B49" s="4" t="s">
        <v>37</v>
      </c>
      <c r="C49" s="4" t="s">
        <v>38</v>
      </c>
      <c r="D49" s="4" t="s">
        <v>40</v>
      </c>
      <c r="E49" s="4" t="s">
        <v>25</v>
      </c>
      <c r="F49" s="4" t="s">
        <v>25</v>
      </c>
      <c r="G49" s="4" t="s">
        <v>25</v>
      </c>
      <c r="H49" s="4" t="s">
        <v>25</v>
      </c>
      <c r="I49" s="5">
        <v>44621</v>
      </c>
      <c r="J49" s="6">
        <v>332</v>
      </c>
      <c r="K49" s="6">
        <v>332</v>
      </c>
      <c r="L49" s="6">
        <v>0</v>
      </c>
      <c r="M49" s="6">
        <v>0</v>
      </c>
      <c r="N49" s="6">
        <v>0</v>
      </c>
      <c r="O49" s="6">
        <v>0</v>
      </c>
      <c r="P49" s="6">
        <v>3</v>
      </c>
      <c r="Q49" s="4" t="s">
        <v>26</v>
      </c>
      <c r="R49" s="4">
        <v>0</v>
      </c>
      <c r="S49" s="4" t="s">
        <v>139</v>
      </c>
      <c r="U49" s="4">
        <v>50</v>
      </c>
      <c r="V49" s="4">
        <v>0</v>
      </c>
      <c r="W49" s="4">
        <v>0</v>
      </c>
    </row>
    <row r="50" spans="1:23" ht="11.25" customHeight="1" x14ac:dyDescent="0.3">
      <c r="A50" s="4" t="s">
        <v>21</v>
      </c>
      <c r="B50" s="4" t="s">
        <v>37</v>
      </c>
      <c r="C50" s="4" t="s">
        <v>38</v>
      </c>
      <c r="D50" s="4" t="s">
        <v>40</v>
      </c>
      <c r="E50" s="4" t="s">
        <v>25</v>
      </c>
      <c r="F50" s="4" t="s">
        <v>25</v>
      </c>
      <c r="G50" s="4" t="s">
        <v>25</v>
      </c>
      <c r="H50" s="4" t="s">
        <v>39</v>
      </c>
      <c r="I50" s="5">
        <v>44287</v>
      </c>
      <c r="J50" s="6">
        <v>0</v>
      </c>
      <c r="K50" s="6">
        <v>0</v>
      </c>
      <c r="L50" s="6">
        <v>0.53400000000000003</v>
      </c>
      <c r="M50" s="6">
        <v>0.53400000000000003</v>
      </c>
      <c r="N50" s="6">
        <v>0.53400000000000003</v>
      </c>
      <c r="O50" s="6">
        <v>0.53400000000000003</v>
      </c>
      <c r="P50" s="6">
        <v>0</v>
      </c>
      <c r="Q50" s="4" t="s">
        <v>26</v>
      </c>
      <c r="R50" s="4">
        <v>0</v>
      </c>
      <c r="S50" s="4" t="s">
        <v>140</v>
      </c>
      <c r="T50" s="4" t="s">
        <v>309</v>
      </c>
      <c r="U50" s="4">
        <v>0</v>
      </c>
      <c r="V50" s="4">
        <v>1</v>
      </c>
      <c r="W50" s="4">
        <v>73</v>
      </c>
    </row>
    <row r="51" spans="1:23" ht="11.25" customHeight="1" x14ac:dyDescent="0.3">
      <c r="A51" s="4" t="s">
        <v>21</v>
      </c>
      <c r="B51" s="4" t="s">
        <v>37</v>
      </c>
      <c r="C51" s="4" t="s">
        <v>38</v>
      </c>
      <c r="D51" s="4" t="s">
        <v>40</v>
      </c>
      <c r="E51" s="4" t="s">
        <v>25</v>
      </c>
      <c r="F51" s="4" t="s">
        <v>25</v>
      </c>
      <c r="G51" s="4" t="s">
        <v>25</v>
      </c>
      <c r="H51" s="4" t="s">
        <v>39</v>
      </c>
      <c r="I51" s="5">
        <v>44317</v>
      </c>
      <c r="J51" s="6">
        <v>0</v>
      </c>
      <c r="K51" s="6">
        <v>0</v>
      </c>
      <c r="L51" s="6">
        <v>0.47099999999999997</v>
      </c>
      <c r="M51" s="6">
        <v>0.47099999999999997</v>
      </c>
      <c r="N51" s="6">
        <v>0.47099999999999997</v>
      </c>
      <c r="O51" s="6">
        <v>0.47099999999999997</v>
      </c>
      <c r="P51" s="6">
        <v>0</v>
      </c>
      <c r="Q51" s="4" t="s">
        <v>26</v>
      </c>
      <c r="R51" s="4">
        <v>0</v>
      </c>
      <c r="S51" s="4" t="s">
        <v>141</v>
      </c>
      <c r="T51" s="4" t="s">
        <v>310</v>
      </c>
      <c r="U51" s="4">
        <v>0</v>
      </c>
      <c r="V51" s="4">
        <v>1</v>
      </c>
      <c r="W51" s="4">
        <v>73</v>
      </c>
    </row>
    <row r="52" spans="1:23" ht="11.25" customHeight="1" x14ac:dyDescent="0.3">
      <c r="A52" s="4" t="s">
        <v>21</v>
      </c>
      <c r="B52" s="4" t="s">
        <v>37</v>
      </c>
      <c r="C52" s="4" t="s">
        <v>38</v>
      </c>
      <c r="D52" s="4" t="s">
        <v>40</v>
      </c>
      <c r="E52" s="4" t="s">
        <v>25</v>
      </c>
      <c r="F52" s="4" t="s">
        <v>25</v>
      </c>
      <c r="G52" s="4" t="s">
        <v>25</v>
      </c>
      <c r="H52" s="4" t="s">
        <v>39</v>
      </c>
      <c r="I52" s="5">
        <v>44348</v>
      </c>
      <c r="J52" s="6">
        <v>0</v>
      </c>
      <c r="K52" s="6">
        <v>0</v>
      </c>
      <c r="L52" s="6">
        <v>0.52</v>
      </c>
      <c r="M52" s="6">
        <v>0.52</v>
      </c>
      <c r="N52" s="6">
        <v>0.52</v>
      </c>
      <c r="O52" s="6">
        <v>0.52</v>
      </c>
      <c r="P52" s="6">
        <v>0</v>
      </c>
      <c r="Q52" s="4" t="s">
        <v>26</v>
      </c>
      <c r="R52" s="4">
        <v>0</v>
      </c>
      <c r="S52" s="4" t="s">
        <v>142</v>
      </c>
      <c r="T52" s="4" t="s">
        <v>311</v>
      </c>
      <c r="U52" s="4">
        <v>0</v>
      </c>
      <c r="V52" s="4">
        <v>1</v>
      </c>
      <c r="W52" s="4">
        <v>73</v>
      </c>
    </row>
    <row r="53" spans="1:23" ht="11.25" customHeight="1" x14ac:dyDescent="0.3">
      <c r="A53" s="4" t="s">
        <v>21</v>
      </c>
      <c r="B53" s="4" t="s">
        <v>37</v>
      </c>
      <c r="C53" s="4" t="s">
        <v>38</v>
      </c>
      <c r="D53" s="4" t="s">
        <v>40</v>
      </c>
      <c r="E53" s="4" t="s">
        <v>25</v>
      </c>
      <c r="F53" s="4" t="s">
        <v>25</v>
      </c>
      <c r="G53" s="4" t="s">
        <v>25</v>
      </c>
      <c r="H53" s="4" t="s">
        <v>39</v>
      </c>
      <c r="I53" s="5">
        <v>44378</v>
      </c>
      <c r="J53" s="6">
        <v>0</v>
      </c>
      <c r="K53" s="6">
        <v>0</v>
      </c>
      <c r="L53" s="6">
        <v>0.92800000000000005</v>
      </c>
      <c r="M53" s="6">
        <v>0.92800000000000005</v>
      </c>
      <c r="N53" s="6">
        <v>0.92800000000000005</v>
      </c>
      <c r="O53" s="6">
        <v>0.92800000000000005</v>
      </c>
      <c r="P53" s="6">
        <v>0</v>
      </c>
      <c r="Q53" s="4" t="s">
        <v>26</v>
      </c>
      <c r="R53" s="4">
        <v>0</v>
      </c>
      <c r="S53" s="4" t="s">
        <v>143</v>
      </c>
      <c r="T53" s="4" t="s">
        <v>312</v>
      </c>
      <c r="U53" s="4">
        <v>0</v>
      </c>
      <c r="V53" s="4">
        <v>1</v>
      </c>
      <c r="W53" s="4">
        <v>73</v>
      </c>
    </row>
    <row r="54" spans="1:23" ht="11.25" customHeight="1" x14ac:dyDescent="0.3">
      <c r="A54" s="4" t="s">
        <v>21</v>
      </c>
      <c r="B54" s="4" t="s">
        <v>37</v>
      </c>
      <c r="C54" s="4" t="s">
        <v>38</v>
      </c>
      <c r="D54" s="4" t="s">
        <v>40</v>
      </c>
      <c r="E54" s="4" t="s">
        <v>25</v>
      </c>
      <c r="F54" s="4" t="s">
        <v>25</v>
      </c>
      <c r="G54" s="4" t="s">
        <v>25</v>
      </c>
      <c r="H54" s="4" t="s">
        <v>39</v>
      </c>
      <c r="I54" s="5">
        <v>44409</v>
      </c>
      <c r="J54" s="6">
        <v>0</v>
      </c>
      <c r="K54" s="6">
        <v>0</v>
      </c>
      <c r="L54" s="6">
        <v>0.91800000000000004</v>
      </c>
      <c r="M54" s="6">
        <v>0.91800000000000004</v>
      </c>
      <c r="N54" s="6">
        <v>0.91800000000000004</v>
      </c>
      <c r="O54" s="6">
        <v>0.91800000000000004</v>
      </c>
      <c r="P54" s="6">
        <v>0</v>
      </c>
      <c r="Q54" s="4" t="s">
        <v>26</v>
      </c>
      <c r="R54" s="4">
        <v>0</v>
      </c>
      <c r="S54" s="4" t="s">
        <v>144</v>
      </c>
      <c r="T54" s="4" t="s">
        <v>313</v>
      </c>
      <c r="U54" s="4">
        <v>0</v>
      </c>
      <c r="V54" s="4">
        <v>1</v>
      </c>
      <c r="W54" s="4">
        <v>73</v>
      </c>
    </row>
    <row r="55" spans="1:23" ht="11.25" customHeight="1" x14ac:dyDescent="0.3">
      <c r="A55" s="4" t="s">
        <v>21</v>
      </c>
      <c r="B55" s="4" t="s">
        <v>37</v>
      </c>
      <c r="C55" s="4" t="s">
        <v>38</v>
      </c>
      <c r="D55" s="4" t="s">
        <v>40</v>
      </c>
      <c r="E55" s="4" t="s">
        <v>25</v>
      </c>
      <c r="F55" s="4" t="s">
        <v>25</v>
      </c>
      <c r="G55" s="4" t="s">
        <v>25</v>
      </c>
      <c r="H55" s="4" t="s">
        <v>39</v>
      </c>
      <c r="I55" s="5">
        <v>44440</v>
      </c>
      <c r="J55" s="6">
        <v>0</v>
      </c>
      <c r="K55" s="6">
        <v>0</v>
      </c>
      <c r="L55" s="6">
        <v>0.85099999999999998</v>
      </c>
      <c r="M55" s="6">
        <v>0.85099999999999998</v>
      </c>
      <c r="N55" s="6">
        <v>0.85099999999999998</v>
      </c>
      <c r="O55" s="6">
        <v>0.85099999999999998</v>
      </c>
      <c r="P55" s="6">
        <v>0</v>
      </c>
      <c r="Q55" s="4" t="s">
        <v>26</v>
      </c>
      <c r="R55" s="4">
        <v>0</v>
      </c>
      <c r="S55" s="4" t="s">
        <v>145</v>
      </c>
      <c r="T55" s="4" t="s">
        <v>314</v>
      </c>
      <c r="U55" s="4">
        <v>0</v>
      </c>
      <c r="V55" s="4">
        <v>1</v>
      </c>
      <c r="W55" s="4">
        <v>73</v>
      </c>
    </row>
    <row r="56" spans="1:23" ht="11.25" customHeight="1" x14ac:dyDescent="0.3">
      <c r="A56" s="4" t="s">
        <v>21</v>
      </c>
      <c r="B56" s="4" t="s">
        <v>37</v>
      </c>
      <c r="C56" s="4" t="s">
        <v>38</v>
      </c>
      <c r="D56" s="4" t="s">
        <v>40</v>
      </c>
      <c r="E56" s="4" t="s">
        <v>25</v>
      </c>
      <c r="F56" s="4" t="s">
        <v>25</v>
      </c>
      <c r="G56" s="4" t="s">
        <v>25</v>
      </c>
      <c r="H56" s="4" t="s">
        <v>39</v>
      </c>
      <c r="I56" s="5">
        <v>44470</v>
      </c>
      <c r="J56" s="6">
        <v>0</v>
      </c>
      <c r="K56" s="6">
        <v>0</v>
      </c>
      <c r="L56" s="6">
        <v>0.47</v>
      </c>
      <c r="M56" s="6">
        <v>0.47</v>
      </c>
      <c r="N56" s="6">
        <v>0.47</v>
      </c>
      <c r="O56" s="6">
        <v>0.47</v>
      </c>
      <c r="P56" s="6">
        <v>0</v>
      </c>
      <c r="Q56" s="4" t="s">
        <v>26</v>
      </c>
      <c r="R56" s="4">
        <v>0</v>
      </c>
      <c r="S56" s="4" t="s">
        <v>146</v>
      </c>
      <c r="T56" s="4" t="s">
        <v>315</v>
      </c>
      <c r="U56" s="4">
        <v>0</v>
      </c>
      <c r="V56" s="4">
        <v>1</v>
      </c>
      <c r="W56" s="4">
        <v>73</v>
      </c>
    </row>
    <row r="57" spans="1:23" ht="11.25" customHeight="1" x14ac:dyDescent="0.3">
      <c r="A57" s="4" t="s">
        <v>21</v>
      </c>
      <c r="B57" s="4" t="s">
        <v>37</v>
      </c>
      <c r="C57" s="4" t="s">
        <v>38</v>
      </c>
      <c r="D57" s="4" t="s">
        <v>40</v>
      </c>
      <c r="E57" s="4" t="s">
        <v>25</v>
      </c>
      <c r="F57" s="4" t="s">
        <v>25</v>
      </c>
      <c r="G57" s="4" t="s">
        <v>25</v>
      </c>
      <c r="H57" s="4" t="s">
        <v>39</v>
      </c>
      <c r="I57" s="5">
        <v>44501</v>
      </c>
      <c r="J57" s="6">
        <v>0</v>
      </c>
      <c r="K57" s="6">
        <v>0</v>
      </c>
      <c r="L57" s="6">
        <v>0.434</v>
      </c>
      <c r="M57" s="6">
        <v>0.434</v>
      </c>
      <c r="N57" s="6">
        <v>0.434</v>
      </c>
      <c r="O57" s="6">
        <v>0.434</v>
      </c>
      <c r="P57" s="6">
        <v>0</v>
      </c>
      <c r="Q57" s="4" t="s">
        <v>26</v>
      </c>
      <c r="R57" s="4">
        <v>0</v>
      </c>
      <c r="S57" s="4" t="s">
        <v>147</v>
      </c>
      <c r="T57" s="4" t="s">
        <v>316</v>
      </c>
      <c r="U57" s="4">
        <v>0</v>
      </c>
      <c r="V57" s="4">
        <v>1</v>
      </c>
      <c r="W57" s="4">
        <v>73</v>
      </c>
    </row>
    <row r="58" spans="1:23" ht="11.25" customHeight="1" x14ac:dyDescent="0.3">
      <c r="A58" s="4" t="s">
        <v>21</v>
      </c>
      <c r="B58" s="4" t="s">
        <v>37</v>
      </c>
      <c r="C58" s="4" t="s">
        <v>38</v>
      </c>
      <c r="D58" s="4" t="s">
        <v>40</v>
      </c>
      <c r="E58" s="4" t="s">
        <v>25</v>
      </c>
      <c r="F58" s="4" t="s">
        <v>25</v>
      </c>
      <c r="G58" s="4" t="s">
        <v>25</v>
      </c>
      <c r="H58" s="4" t="s">
        <v>39</v>
      </c>
      <c r="I58" s="5">
        <v>44531</v>
      </c>
      <c r="J58" s="6">
        <v>0</v>
      </c>
      <c r="K58" s="6">
        <v>0</v>
      </c>
      <c r="L58" s="6">
        <v>0.77300000000000002</v>
      </c>
      <c r="M58" s="6">
        <v>0.77300000000000002</v>
      </c>
      <c r="N58" s="6">
        <v>0.77300000000000002</v>
      </c>
      <c r="O58" s="6">
        <v>0.77300000000000002</v>
      </c>
      <c r="P58" s="6">
        <v>0</v>
      </c>
      <c r="Q58" s="4" t="s">
        <v>26</v>
      </c>
      <c r="R58" s="4">
        <v>0</v>
      </c>
      <c r="S58" s="4" t="s">
        <v>148</v>
      </c>
      <c r="T58" s="4" t="s">
        <v>317</v>
      </c>
      <c r="U58" s="4">
        <v>0</v>
      </c>
      <c r="V58" s="4">
        <v>1</v>
      </c>
      <c r="W58" s="4">
        <v>73</v>
      </c>
    </row>
    <row r="59" spans="1:23" ht="11.25" customHeight="1" x14ac:dyDescent="0.3">
      <c r="A59" s="4" t="s">
        <v>21</v>
      </c>
      <c r="B59" s="4" t="s">
        <v>37</v>
      </c>
      <c r="C59" s="4" t="s">
        <v>38</v>
      </c>
      <c r="D59" s="4" t="s">
        <v>40</v>
      </c>
      <c r="E59" s="4" t="s">
        <v>25</v>
      </c>
      <c r="F59" s="4" t="s">
        <v>25</v>
      </c>
      <c r="G59" s="4" t="s">
        <v>25</v>
      </c>
      <c r="H59" s="4" t="s">
        <v>39</v>
      </c>
      <c r="I59" s="5">
        <v>44562</v>
      </c>
      <c r="J59" s="6">
        <v>0</v>
      </c>
      <c r="K59" s="6">
        <v>0</v>
      </c>
      <c r="L59" s="6">
        <v>1.2210000000000001</v>
      </c>
      <c r="M59" s="6">
        <v>1.2210000000000001</v>
      </c>
      <c r="N59" s="6">
        <v>1.2210000000000001</v>
      </c>
      <c r="O59" s="6">
        <v>1.2210000000000001</v>
      </c>
      <c r="P59" s="6">
        <v>0</v>
      </c>
      <c r="Q59" s="4" t="s">
        <v>26</v>
      </c>
      <c r="R59" s="4">
        <v>0</v>
      </c>
      <c r="S59" s="4" t="s">
        <v>149</v>
      </c>
      <c r="T59" s="4" t="s">
        <v>318</v>
      </c>
      <c r="U59" s="4">
        <v>0</v>
      </c>
      <c r="V59" s="4">
        <v>1</v>
      </c>
      <c r="W59" s="4">
        <v>73</v>
      </c>
    </row>
    <row r="60" spans="1:23" ht="11.25" customHeight="1" x14ac:dyDescent="0.3">
      <c r="A60" s="4" t="s">
        <v>21</v>
      </c>
      <c r="B60" s="4" t="s">
        <v>37</v>
      </c>
      <c r="C60" s="4" t="s">
        <v>38</v>
      </c>
      <c r="D60" s="4" t="s">
        <v>40</v>
      </c>
      <c r="E60" s="4" t="s">
        <v>25</v>
      </c>
      <c r="F60" s="4" t="s">
        <v>25</v>
      </c>
      <c r="G60" s="4" t="s">
        <v>25</v>
      </c>
      <c r="H60" s="4" t="s">
        <v>39</v>
      </c>
      <c r="I60" s="5">
        <v>44593</v>
      </c>
      <c r="J60" s="6">
        <v>0</v>
      </c>
      <c r="K60" s="6">
        <v>0</v>
      </c>
      <c r="L60" s="6">
        <v>0.82699999999999996</v>
      </c>
      <c r="M60" s="6">
        <v>0.82699999999999996</v>
      </c>
      <c r="N60" s="6">
        <v>0.82699999999999996</v>
      </c>
      <c r="O60" s="6">
        <v>0.82699999999999996</v>
      </c>
      <c r="P60" s="6">
        <v>0</v>
      </c>
      <c r="Q60" s="4" t="s">
        <v>26</v>
      </c>
      <c r="R60" s="4">
        <v>0</v>
      </c>
      <c r="S60" s="4" t="s">
        <v>150</v>
      </c>
      <c r="T60" s="4" t="s">
        <v>319</v>
      </c>
      <c r="U60" s="4">
        <v>0</v>
      </c>
      <c r="V60" s="4">
        <v>1</v>
      </c>
      <c r="W60" s="4">
        <v>73</v>
      </c>
    </row>
    <row r="61" spans="1:23" ht="11.25" customHeight="1" x14ac:dyDescent="0.3">
      <c r="A61" s="4" t="s">
        <v>21</v>
      </c>
      <c r="B61" s="4" t="s">
        <v>37</v>
      </c>
      <c r="C61" s="4" t="s">
        <v>38</v>
      </c>
      <c r="D61" s="4" t="s">
        <v>40</v>
      </c>
      <c r="E61" s="4" t="s">
        <v>25</v>
      </c>
      <c r="F61" s="4" t="s">
        <v>25</v>
      </c>
      <c r="G61" s="4" t="s">
        <v>25</v>
      </c>
      <c r="H61" s="4" t="s">
        <v>39</v>
      </c>
      <c r="I61" s="5">
        <v>44621</v>
      </c>
      <c r="J61" s="6">
        <v>0</v>
      </c>
      <c r="K61" s="6">
        <v>0</v>
      </c>
      <c r="L61" s="6">
        <v>0.53800000000000003</v>
      </c>
      <c r="M61" s="6">
        <v>0.53800000000000003</v>
      </c>
      <c r="N61" s="6">
        <v>0.53800000000000003</v>
      </c>
      <c r="O61" s="6">
        <v>0.53800000000000003</v>
      </c>
      <c r="P61" s="6">
        <v>0</v>
      </c>
      <c r="Q61" s="4" t="s">
        <v>26</v>
      </c>
      <c r="R61" s="4">
        <v>0</v>
      </c>
      <c r="S61" s="4" t="s">
        <v>151</v>
      </c>
      <c r="T61" s="4" t="s">
        <v>320</v>
      </c>
      <c r="U61" s="4">
        <v>0</v>
      </c>
      <c r="V61" s="4">
        <v>1</v>
      </c>
      <c r="W61" s="4">
        <v>73</v>
      </c>
    </row>
    <row r="62" spans="1:23" ht="11.25" customHeight="1" x14ac:dyDescent="0.3">
      <c r="A62" s="4" t="s">
        <v>21</v>
      </c>
      <c r="B62" s="4" t="s">
        <v>37</v>
      </c>
      <c r="C62" s="4" t="s">
        <v>38</v>
      </c>
      <c r="D62" s="4" t="s">
        <v>36</v>
      </c>
      <c r="E62" s="4" t="s">
        <v>25</v>
      </c>
      <c r="F62" s="4" t="s">
        <v>25</v>
      </c>
      <c r="G62" s="4" t="s">
        <v>25</v>
      </c>
      <c r="H62" s="4" t="s">
        <v>34</v>
      </c>
      <c r="I62" s="5">
        <v>44287</v>
      </c>
      <c r="J62" s="6">
        <v>0</v>
      </c>
      <c r="K62" s="6">
        <v>0</v>
      </c>
      <c r="L62" s="6">
        <v>91.784999999999997</v>
      </c>
      <c r="M62" s="6">
        <v>91.784999999999997</v>
      </c>
      <c r="N62" s="6">
        <v>91.784999999999997</v>
      </c>
      <c r="O62" s="6">
        <v>91.784999999999997</v>
      </c>
      <c r="P62" s="6">
        <v>0</v>
      </c>
      <c r="Q62" s="4" t="s">
        <v>26</v>
      </c>
      <c r="R62" s="4">
        <v>0</v>
      </c>
      <c r="S62" s="4" t="s">
        <v>116</v>
      </c>
      <c r="T62" s="4" t="s">
        <v>297</v>
      </c>
      <c r="U62" s="4">
        <v>0</v>
      </c>
      <c r="V62" s="4">
        <v>2</v>
      </c>
      <c r="W62" s="4">
        <v>74</v>
      </c>
    </row>
    <row r="63" spans="1:23" ht="11.25" customHeight="1" x14ac:dyDescent="0.3">
      <c r="A63" s="4" t="s">
        <v>21</v>
      </c>
      <c r="B63" s="4" t="s">
        <v>37</v>
      </c>
      <c r="C63" s="4" t="s">
        <v>38</v>
      </c>
      <c r="D63" s="4" t="s">
        <v>36</v>
      </c>
      <c r="E63" s="4" t="s">
        <v>25</v>
      </c>
      <c r="F63" s="4" t="s">
        <v>25</v>
      </c>
      <c r="G63" s="4" t="s">
        <v>25</v>
      </c>
      <c r="H63" s="4" t="s">
        <v>34</v>
      </c>
      <c r="I63" s="5">
        <v>44317</v>
      </c>
      <c r="J63" s="6">
        <v>0</v>
      </c>
      <c r="K63" s="6">
        <v>0</v>
      </c>
      <c r="L63" s="6">
        <v>121.20399999999999</v>
      </c>
      <c r="M63" s="6">
        <v>121.20399999999999</v>
      </c>
      <c r="N63" s="6">
        <v>121.20399999999999</v>
      </c>
      <c r="O63" s="6">
        <v>121.20399999999999</v>
      </c>
      <c r="P63" s="6">
        <v>0</v>
      </c>
      <c r="Q63" s="4" t="s">
        <v>26</v>
      </c>
      <c r="R63" s="4">
        <v>0</v>
      </c>
      <c r="S63" s="4" t="s">
        <v>117</v>
      </c>
      <c r="T63" s="4" t="s">
        <v>298</v>
      </c>
      <c r="U63" s="4">
        <v>0</v>
      </c>
      <c r="V63" s="4">
        <v>2</v>
      </c>
      <c r="W63" s="4">
        <v>74</v>
      </c>
    </row>
    <row r="64" spans="1:23" ht="11.25" customHeight="1" x14ac:dyDescent="0.3">
      <c r="A64" s="4" t="s">
        <v>21</v>
      </c>
      <c r="B64" s="4" t="s">
        <v>37</v>
      </c>
      <c r="C64" s="4" t="s">
        <v>38</v>
      </c>
      <c r="D64" s="4" t="s">
        <v>36</v>
      </c>
      <c r="E64" s="4" t="s">
        <v>25</v>
      </c>
      <c r="F64" s="4" t="s">
        <v>25</v>
      </c>
      <c r="G64" s="4" t="s">
        <v>25</v>
      </c>
      <c r="H64" s="4" t="s">
        <v>34</v>
      </c>
      <c r="I64" s="5">
        <v>44348</v>
      </c>
      <c r="J64" s="6">
        <v>0</v>
      </c>
      <c r="K64" s="6">
        <v>0</v>
      </c>
      <c r="L64" s="6">
        <v>87.236999999999995</v>
      </c>
      <c r="M64" s="6">
        <v>87.236999999999995</v>
      </c>
      <c r="N64" s="6">
        <v>87.236999999999995</v>
      </c>
      <c r="O64" s="6">
        <v>87.236999999999995</v>
      </c>
      <c r="P64" s="6">
        <v>0</v>
      </c>
      <c r="Q64" s="4" t="s">
        <v>26</v>
      </c>
      <c r="R64" s="4">
        <v>0</v>
      </c>
      <c r="S64" s="4" t="s">
        <v>118</v>
      </c>
      <c r="T64" s="4" t="s">
        <v>299</v>
      </c>
      <c r="U64" s="4">
        <v>0</v>
      </c>
      <c r="V64" s="4">
        <v>2</v>
      </c>
      <c r="W64" s="4">
        <v>74</v>
      </c>
    </row>
    <row r="65" spans="1:23" ht="11.25" customHeight="1" x14ac:dyDescent="0.3">
      <c r="A65" s="4" t="s">
        <v>21</v>
      </c>
      <c r="B65" s="4" t="s">
        <v>37</v>
      </c>
      <c r="C65" s="4" t="s">
        <v>38</v>
      </c>
      <c r="D65" s="4" t="s">
        <v>36</v>
      </c>
      <c r="E65" s="4" t="s">
        <v>25</v>
      </c>
      <c r="F65" s="4" t="s">
        <v>25</v>
      </c>
      <c r="G65" s="4" t="s">
        <v>25</v>
      </c>
      <c r="H65" s="4" t="s">
        <v>34</v>
      </c>
      <c r="I65" s="5">
        <v>44378</v>
      </c>
      <c r="J65" s="6">
        <v>0</v>
      </c>
      <c r="K65" s="6">
        <v>0</v>
      </c>
      <c r="L65" s="6">
        <v>103.90900000000001</v>
      </c>
      <c r="M65" s="6">
        <v>103.90900000000001</v>
      </c>
      <c r="N65" s="6">
        <v>103.90900000000001</v>
      </c>
      <c r="O65" s="6">
        <v>103.90900000000001</v>
      </c>
      <c r="P65" s="6">
        <v>0</v>
      </c>
      <c r="Q65" s="4" t="s">
        <v>26</v>
      </c>
      <c r="R65" s="4">
        <v>0</v>
      </c>
      <c r="S65" s="4" t="s">
        <v>119</v>
      </c>
      <c r="T65" s="4" t="s">
        <v>300</v>
      </c>
      <c r="U65" s="4">
        <v>0</v>
      </c>
      <c r="V65" s="4">
        <v>2</v>
      </c>
      <c r="W65" s="4">
        <v>74</v>
      </c>
    </row>
    <row r="66" spans="1:23" ht="11.25" customHeight="1" x14ac:dyDescent="0.3">
      <c r="A66" s="4" t="s">
        <v>21</v>
      </c>
      <c r="B66" s="4" t="s">
        <v>37</v>
      </c>
      <c r="C66" s="4" t="s">
        <v>38</v>
      </c>
      <c r="D66" s="4" t="s">
        <v>36</v>
      </c>
      <c r="E66" s="4" t="s">
        <v>25</v>
      </c>
      <c r="F66" s="4" t="s">
        <v>25</v>
      </c>
      <c r="G66" s="4" t="s">
        <v>25</v>
      </c>
      <c r="H66" s="4" t="s">
        <v>34</v>
      </c>
      <c r="I66" s="5">
        <v>44409</v>
      </c>
      <c r="J66" s="6">
        <v>0</v>
      </c>
      <c r="K66" s="6">
        <v>0</v>
      </c>
      <c r="L66" s="6">
        <v>40.93</v>
      </c>
      <c r="M66" s="6">
        <v>40.93</v>
      </c>
      <c r="N66" s="6">
        <v>40.93</v>
      </c>
      <c r="O66" s="6">
        <v>40.93</v>
      </c>
      <c r="P66" s="6">
        <v>0</v>
      </c>
      <c r="Q66" s="4" t="s">
        <v>26</v>
      </c>
      <c r="R66" s="4">
        <v>0</v>
      </c>
      <c r="S66" s="4" t="s">
        <v>120</v>
      </c>
      <c r="T66" s="4" t="s">
        <v>301</v>
      </c>
      <c r="U66" s="4">
        <v>0</v>
      </c>
      <c r="V66" s="4">
        <v>2</v>
      </c>
      <c r="W66" s="4">
        <v>74</v>
      </c>
    </row>
    <row r="67" spans="1:23" ht="11.25" customHeight="1" x14ac:dyDescent="0.3">
      <c r="A67" s="4" t="s">
        <v>21</v>
      </c>
      <c r="B67" s="4" t="s">
        <v>37</v>
      </c>
      <c r="C67" s="4" t="s">
        <v>38</v>
      </c>
      <c r="D67" s="4" t="s">
        <v>36</v>
      </c>
      <c r="E67" s="4" t="s">
        <v>25</v>
      </c>
      <c r="F67" s="4" t="s">
        <v>25</v>
      </c>
      <c r="G67" s="4" t="s">
        <v>25</v>
      </c>
      <c r="H67" s="4" t="s">
        <v>34</v>
      </c>
      <c r="I67" s="5">
        <v>44440</v>
      </c>
      <c r="J67" s="6">
        <v>0</v>
      </c>
      <c r="K67" s="6">
        <v>0</v>
      </c>
      <c r="L67" s="6">
        <v>47.845999999999997</v>
      </c>
      <c r="M67" s="6">
        <v>47.845999999999997</v>
      </c>
      <c r="N67" s="6">
        <v>47.845999999999997</v>
      </c>
      <c r="O67" s="6">
        <v>47.845999999999997</v>
      </c>
      <c r="P67" s="6">
        <v>0</v>
      </c>
      <c r="Q67" s="4" t="s">
        <v>26</v>
      </c>
      <c r="R67" s="4">
        <v>0</v>
      </c>
      <c r="S67" s="4" t="s">
        <v>121</v>
      </c>
      <c r="T67" s="4" t="s">
        <v>302</v>
      </c>
      <c r="U67" s="4">
        <v>0</v>
      </c>
      <c r="V67" s="4">
        <v>2</v>
      </c>
      <c r="W67" s="4">
        <v>74</v>
      </c>
    </row>
    <row r="68" spans="1:23" ht="11.25" customHeight="1" x14ac:dyDescent="0.3">
      <c r="A68" s="4" t="s">
        <v>21</v>
      </c>
      <c r="B68" s="4" t="s">
        <v>37</v>
      </c>
      <c r="C68" s="4" t="s">
        <v>38</v>
      </c>
      <c r="D68" s="4" t="s">
        <v>36</v>
      </c>
      <c r="E68" s="4" t="s">
        <v>25</v>
      </c>
      <c r="F68" s="4" t="s">
        <v>25</v>
      </c>
      <c r="G68" s="4" t="s">
        <v>25</v>
      </c>
      <c r="H68" s="4" t="s">
        <v>34</v>
      </c>
      <c r="I68" s="5">
        <v>44470</v>
      </c>
      <c r="J68" s="6">
        <v>0</v>
      </c>
      <c r="K68" s="6">
        <v>0</v>
      </c>
      <c r="L68" s="6">
        <v>99.957999999999998</v>
      </c>
      <c r="M68" s="6">
        <v>99.957999999999998</v>
      </c>
      <c r="N68" s="6">
        <v>99.957999999999998</v>
      </c>
      <c r="O68" s="6">
        <v>99.957999999999998</v>
      </c>
      <c r="P68" s="6">
        <v>0</v>
      </c>
      <c r="Q68" s="4" t="s">
        <v>26</v>
      </c>
      <c r="R68" s="4">
        <v>0</v>
      </c>
      <c r="S68" s="4" t="s">
        <v>122</v>
      </c>
      <c r="T68" s="4" t="s">
        <v>303</v>
      </c>
      <c r="U68" s="4">
        <v>0</v>
      </c>
      <c r="V68" s="4">
        <v>2</v>
      </c>
      <c r="W68" s="4">
        <v>74</v>
      </c>
    </row>
    <row r="69" spans="1:23" ht="11.25" customHeight="1" x14ac:dyDescent="0.3">
      <c r="A69" s="4" t="s">
        <v>21</v>
      </c>
      <c r="B69" s="4" t="s">
        <v>37</v>
      </c>
      <c r="C69" s="4" t="s">
        <v>38</v>
      </c>
      <c r="D69" s="4" t="s">
        <v>36</v>
      </c>
      <c r="E69" s="4" t="s">
        <v>25</v>
      </c>
      <c r="F69" s="4" t="s">
        <v>25</v>
      </c>
      <c r="G69" s="4" t="s">
        <v>25</v>
      </c>
      <c r="H69" s="4" t="s">
        <v>34</v>
      </c>
      <c r="I69" s="5">
        <v>44501</v>
      </c>
      <c r="J69" s="6">
        <v>0</v>
      </c>
      <c r="K69" s="6">
        <v>0</v>
      </c>
      <c r="L69" s="6">
        <v>119.455</v>
      </c>
      <c r="M69" s="6">
        <v>119.455</v>
      </c>
      <c r="N69" s="6">
        <v>119.455</v>
      </c>
      <c r="O69" s="6">
        <v>119.455</v>
      </c>
      <c r="P69" s="6">
        <v>0</v>
      </c>
      <c r="Q69" s="4" t="s">
        <v>26</v>
      </c>
      <c r="R69" s="4">
        <v>0</v>
      </c>
      <c r="S69" s="4" t="s">
        <v>123</v>
      </c>
      <c r="T69" s="4" t="s">
        <v>304</v>
      </c>
      <c r="U69" s="4">
        <v>0</v>
      </c>
      <c r="V69" s="4">
        <v>2</v>
      </c>
      <c r="W69" s="4">
        <v>74</v>
      </c>
    </row>
    <row r="70" spans="1:23" ht="11.25" customHeight="1" x14ac:dyDescent="0.3">
      <c r="A70" s="4" t="s">
        <v>21</v>
      </c>
      <c r="B70" s="4" t="s">
        <v>37</v>
      </c>
      <c r="C70" s="4" t="s">
        <v>38</v>
      </c>
      <c r="D70" s="4" t="s">
        <v>36</v>
      </c>
      <c r="E70" s="4" t="s">
        <v>25</v>
      </c>
      <c r="F70" s="4" t="s">
        <v>25</v>
      </c>
      <c r="G70" s="4" t="s">
        <v>25</v>
      </c>
      <c r="H70" s="4" t="s">
        <v>34</v>
      </c>
      <c r="I70" s="5">
        <v>44531</v>
      </c>
      <c r="J70" s="6">
        <v>0</v>
      </c>
      <c r="K70" s="6">
        <v>0</v>
      </c>
      <c r="L70" s="6">
        <v>122.976</v>
      </c>
      <c r="M70" s="6">
        <v>122.976</v>
      </c>
      <c r="N70" s="6">
        <v>122.976</v>
      </c>
      <c r="O70" s="6">
        <v>122.976</v>
      </c>
      <c r="P70" s="6">
        <v>0</v>
      </c>
      <c r="Q70" s="4" t="s">
        <v>26</v>
      </c>
      <c r="R70" s="4">
        <v>0</v>
      </c>
      <c r="S70" s="4" t="s">
        <v>124</v>
      </c>
      <c r="T70" s="4" t="s">
        <v>305</v>
      </c>
      <c r="U70" s="4">
        <v>0</v>
      </c>
      <c r="V70" s="4">
        <v>2</v>
      </c>
      <c r="W70" s="4">
        <v>74</v>
      </c>
    </row>
    <row r="71" spans="1:23" ht="11.25" customHeight="1" x14ac:dyDescent="0.3">
      <c r="A71" s="4" t="s">
        <v>21</v>
      </c>
      <c r="B71" s="4" t="s">
        <v>37</v>
      </c>
      <c r="C71" s="4" t="s">
        <v>38</v>
      </c>
      <c r="D71" s="4" t="s">
        <v>36</v>
      </c>
      <c r="E71" s="4" t="s">
        <v>25</v>
      </c>
      <c r="F71" s="4" t="s">
        <v>25</v>
      </c>
      <c r="G71" s="4" t="s">
        <v>25</v>
      </c>
      <c r="H71" s="4" t="s">
        <v>34</v>
      </c>
      <c r="I71" s="5">
        <v>44562</v>
      </c>
      <c r="J71" s="6">
        <v>0</v>
      </c>
      <c r="K71" s="6">
        <v>0</v>
      </c>
      <c r="L71" s="6">
        <v>135.27600000000001</v>
      </c>
      <c r="M71" s="6">
        <v>135.27600000000001</v>
      </c>
      <c r="N71" s="6">
        <v>135.27600000000001</v>
      </c>
      <c r="O71" s="6">
        <v>135.27600000000001</v>
      </c>
      <c r="P71" s="6">
        <v>0</v>
      </c>
      <c r="Q71" s="4" t="s">
        <v>26</v>
      </c>
      <c r="R71" s="4">
        <v>0</v>
      </c>
      <c r="S71" s="4" t="s">
        <v>125</v>
      </c>
      <c r="T71" s="4" t="s">
        <v>306</v>
      </c>
      <c r="U71" s="4">
        <v>0</v>
      </c>
      <c r="V71" s="4">
        <v>2</v>
      </c>
      <c r="W71" s="4">
        <v>74</v>
      </c>
    </row>
    <row r="72" spans="1:23" ht="11.25" customHeight="1" x14ac:dyDescent="0.3">
      <c r="A72" s="4" t="s">
        <v>21</v>
      </c>
      <c r="B72" s="4" t="s">
        <v>37</v>
      </c>
      <c r="C72" s="4" t="s">
        <v>38</v>
      </c>
      <c r="D72" s="4" t="s">
        <v>36</v>
      </c>
      <c r="E72" s="4" t="s">
        <v>25</v>
      </c>
      <c r="F72" s="4" t="s">
        <v>25</v>
      </c>
      <c r="G72" s="4" t="s">
        <v>25</v>
      </c>
      <c r="H72" s="4" t="s">
        <v>34</v>
      </c>
      <c r="I72" s="5">
        <v>44593</v>
      </c>
      <c r="J72" s="6">
        <v>0</v>
      </c>
      <c r="K72" s="6">
        <v>0</v>
      </c>
      <c r="L72" s="6">
        <v>128.61000000000001</v>
      </c>
      <c r="M72" s="6">
        <v>128.61000000000001</v>
      </c>
      <c r="N72" s="6">
        <v>128.61000000000001</v>
      </c>
      <c r="O72" s="6">
        <v>128.61000000000001</v>
      </c>
      <c r="P72" s="6">
        <v>0</v>
      </c>
      <c r="Q72" s="4" t="s">
        <v>26</v>
      </c>
      <c r="R72" s="4">
        <v>0</v>
      </c>
      <c r="S72" s="4" t="s">
        <v>126</v>
      </c>
      <c r="T72" s="4" t="s">
        <v>307</v>
      </c>
      <c r="U72" s="4">
        <v>0</v>
      </c>
      <c r="V72" s="4">
        <v>2</v>
      </c>
      <c r="W72" s="4">
        <v>74</v>
      </c>
    </row>
    <row r="73" spans="1:23" ht="11.25" customHeight="1" x14ac:dyDescent="0.3">
      <c r="A73" s="4" t="s">
        <v>21</v>
      </c>
      <c r="B73" s="4" t="s">
        <v>37</v>
      </c>
      <c r="C73" s="4" t="s">
        <v>38</v>
      </c>
      <c r="D73" s="4" t="s">
        <v>36</v>
      </c>
      <c r="E73" s="4" t="s">
        <v>25</v>
      </c>
      <c r="F73" s="4" t="s">
        <v>25</v>
      </c>
      <c r="G73" s="4" t="s">
        <v>25</v>
      </c>
      <c r="H73" s="4" t="s">
        <v>34</v>
      </c>
      <c r="I73" s="5">
        <v>44621</v>
      </c>
      <c r="J73" s="6">
        <v>0</v>
      </c>
      <c r="K73" s="6">
        <v>0</v>
      </c>
      <c r="L73" s="6">
        <v>176.80199999999999</v>
      </c>
      <c r="M73" s="6">
        <v>176.80199999999999</v>
      </c>
      <c r="N73" s="6">
        <v>176.80199999999999</v>
      </c>
      <c r="O73" s="6">
        <v>176.80199999999999</v>
      </c>
      <c r="P73" s="6">
        <v>0</v>
      </c>
      <c r="Q73" s="4" t="s">
        <v>26</v>
      </c>
      <c r="R73" s="4">
        <v>0</v>
      </c>
      <c r="S73" s="4" t="s">
        <v>127</v>
      </c>
      <c r="T73" s="4" t="s">
        <v>308</v>
      </c>
      <c r="U73" s="4">
        <v>0</v>
      </c>
      <c r="V73" s="4">
        <v>2</v>
      </c>
      <c r="W73" s="4">
        <v>74</v>
      </c>
    </row>
    <row r="74" spans="1:23" ht="11.25" customHeight="1" x14ac:dyDescent="0.3">
      <c r="A74" s="4" t="s">
        <v>21</v>
      </c>
      <c r="B74" s="4" t="s">
        <v>37</v>
      </c>
      <c r="C74" s="4" t="s">
        <v>38</v>
      </c>
      <c r="D74" s="4" t="s">
        <v>36</v>
      </c>
      <c r="E74" s="4" t="s">
        <v>25</v>
      </c>
      <c r="F74" s="4" t="s">
        <v>25</v>
      </c>
      <c r="G74" s="4" t="s">
        <v>25</v>
      </c>
      <c r="H74" s="4" t="s">
        <v>25</v>
      </c>
      <c r="I74" s="5">
        <v>44287</v>
      </c>
      <c r="J74" s="6">
        <v>935</v>
      </c>
      <c r="K74" s="6">
        <v>935</v>
      </c>
      <c r="L74" s="6">
        <v>0</v>
      </c>
      <c r="M74" s="6">
        <v>0</v>
      </c>
      <c r="N74" s="6">
        <v>0</v>
      </c>
      <c r="O74" s="6">
        <v>0</v>
      </c>
      <c r="P74" s="6">
        <v>2</v>
      </c>
      <c r="Q74" s="4" t="s">
        <v>26</v>
      </c>
      <c r="R74" s="4">
        <v>0</v>
      </c>
      <c r="S74" s="4" t="s">
        <v>128</v>
      </c>
      <c r="U74" s="4">
        <v>50</v>
      </c>
      <c r="V74" s="4">
        <v>0</v>
      </c>
      <c r="W74" s="4">
        <v>0</v>
      </c>
    </row>
    <row r="75" spans="1:23" ht="11.25" customHeight="1" x14ac:dyDescent="0.3">
      <c r="A75" s="4" t="s">
        <v>21</v>
      </c>
      <c r="B75" s="4" t="s">
        <v>37</v>
      </c>
      <c r="C75" s="4" t="s">
        <v>38</v>
      </c>
      <c r="D75" s="4" t="s">
        <v>36</v>
      </c>
      <c r="E75" s="4" t="s">
        <v>25</v>
      </c>
      <c r="F75" s="4" t="s">
        <v>25</v>
      </c>
      <c r="G75" s="4" t="s">
        <v>25</v>
      </c>
      <c r="H75" s="4" t="s">
        <v>25</v>
      </c>
      <c r="I75" s="5">
        <v>44317</v>
      </c>
      <c r="J75" s="6">
        <v>964</v>
      </c>
      <c r="K75" s="6">
        <v>964</v>
      </c>
      <c r="L75" s="6">
        <v>0</v>
      </c>
      <c r="M75" s="6">
        <v>0</v>
      </c>
      <c r="N75" s="6">
        <v>0</v>
      </c>
      <c r="O75" s="6">
        <v>0</v>
      </c>
      <c r="P75" s="6">
        <v>2</v>
      </c>
      <c r="Q75" s="4" t="s">
        <v>26</v>
      </c>
      <c r="R75" s="4">
        <v>0</v>
      </c>
      <c r="S75" s="4" t="s">
        <v>129</v>
      </c>
      <c r="U75" s="4">
        <v>50</v>
      </c>
      <c r="V75" s="4">
        <v>0</v>
      </c>
      <c r="W75" s="4">
        <v>0</v>
      </c>
    </row>
    <row r="76" spans="1:23" ht="11.25" customHeight="1" x14ac:dyDescent="0.3">
      <c r="A76" s="4" t="s">
        <v>21</v>
      </c>
      <c r="B76" s="4" t="s">
        <v>37</v>
      </c>
      <c r="C76" s="4" t="s">
        <v>38</v>
      </c>
      <c r="D76" s="4" t="s">
        <v>36</v>
      </c>
      <c r="E76" s="4" t="s">
        <v>25</v>
      </c>
      <c r="F76" s="4" t="s">
        <v>25</v>
      </c>
      <c r="G76" s="4" t="s">
        <v>25</v>
      </c>
      <c r="H76" s="4" t="s">
        <v>25</v>
      </c>
      <c r="I76" s="5">
        <v>44348</v>
      </c>
      <c r="J76" s="6">
        <v>946</v>
      </c>
      <c r="K76" s="6">
        <v>946</v>
      </c>
      <c r="L76" s="6">
        <v>0</v>
      </c>
      <c r="M76" s="6">
        <v>0</v>
      </c>
      <c r="N76" s="6">
        <v>0</v>
      </c>
      <c r="O76" s="6">
        <v>0</v>
      </c>
      <c r="P76" s="6">
        <v>2</v>
      </c>
      <c r="Q76" s="4" t="s">
        <v>26</v>
      </c>
      <c r="R76" s="4">
        <v>0</v>
      </c>
      <c r="S76" s="4" t="s">
        <v>130</v>
      </c>
      <c r="U76" s="4">
        <v>50</v>
      </c>
      <c r="V76" s="4">
        <v>0</v>
      </c>
      <c r="W76" s="4">
        <v>0</v>
      </c>
    </row>
    <row r="77" spans="1:23" ht="11.25" customHeight="1" x14ac:dyDescent="0.3">
      <c r="A77" s="4" t="s">
        <v>21</v>
      </c>
      <c r="B77" s="4" t="s">
        <v>37</v>
      </c>
      <c r="C77" s="4" t="s">
        <v>38</v>
      </c>
      <c r="D77" s="4" t="s">
        <v>36</v>
      </c>
      <c r="E77" s="4" t="s">
        <v>25</v>
      </c>
      <c r="F77" s="4" t="s">
        <v>25</v>
      </c>
      <c r="G77" s="4" t="s">
        <v>25</v>
      </c>
      <c r="H77" s="4" t="s">
        <v>25</v>
      </c>
      <c r="I77" s="5">
        <v>44378</v>
      </c>
      <c r="J77" s="6">
        <v>954</v>
      </c>
      <c r="K77" s="6">
        <v>954</v>
      </c>
      <c r="L77" s="6">
        <v>0</v>
      </c>
      <c r="M77" s="6">
        <v>0</v>
      </c>
      <c r="N77" s="6">
        <v>0</v>
      </c>
      <c r="O77" s="6">
        <v>0</v>
      </c>
      <c r="P77" s="6">
        <v>2</v>
      </c>
      <c r="Q77" s="4" t="s">
        <v>26</v>
      </c>
      <c r="R77" s="4">
        <v>0</v>
      </c>
      <c r="S77" s="4" t="s">
        <v>131</v>
      </c>
      <c r="U77" s="4">
        <v>50</v>
      </c>
      <c r="V77" s="4">
        <v>0</v>
      </c>
      <c r="W77" s="4">
        <v>0</v>
      </c>
    </row>
    <row r="78" spans="1:23" ht="11.25" customHeight="1" x14ac:dyDescent="0.3">
      <c r="A78" s="4" t="s">
        <v>21</v>
      </c>
      <c r="B78" s="4" t="s">
        <v>37</v>
      </c>
      <c r="C78" s="4" t="s">
        <v>38</v>
      </c>
      <c r="D78" s="4" t="s">
        <v>36</v>
      </c>
      <c r="E78" s="4" t="s">
        <v>25</v>
      </c>
      <c r="F78" s="4" t="s">
        <v>25</v>
      </c>
      <c r="G78" s="4" t="s">
        <v>25</v>
      </c>
      <c r="H78" s="4" t="s">
        <v>25</v>
      </c>
      <c r="I78" s="5">
        <v>44409</v>
      </c>
      <c r="J78" s="6">
        <v>935</v>
      </c>
      <c r="K78" s="6">
        <v>935</v>
      </c>
      <c r="L78" s="6">
        <v>0</v>
      </c>
      <c r="M78" s="6">
        <v>0</v>
      </c>
      <c r="N78" s="6">
        <v>0</v>
      </c>
      <c r="O78" s="6">
        <v>0</v>
      </c>
      <c r="P78" s="6">
        <v>2</v>
      </c>
      <c r="Q78" s="4" t="s">
        <v>26</v>
      </c>
      <c r="R78" s="4">
        <v>0</v>
      </c>
      <c r="S78" s="4" t="s">
        <v>132</v>
      </c>
      <c r="U78" s="4">
        <v>50</v>
      </c>
      <c r="V78" s="4">
        <v>0</v>
      </c>
      <c r="W78" s="4">
        <v>0</v>
      </c>
    </row>
    <row r="79" spans="1:23" ht="11.25" customHeight="1" x14ac:dyDescent="0.3">
      <c r="A79" s="4" t="s">
        <v>21</v>
      </c>
      <c r="B79" s="4" t="s">
        <v>37</v>
      </c>
      <c r="C79" s="4" t="s">
        <v>38</v>
      </c>
      <c r="D79" s="4" t="s">
        <v>36</v>
      </c>
      <c r="E79" s="4" t="s">
        <v>25</v>
      </c>
      <c r="F79" s="4" t="s">
        <v>25</v>
      </c>
      <c r="G79" s="4" t="s">
        <v>25</v>
      </c>
      <c r="H79" s="4" t="s">
        <v>25</v>
      </c>
      <c r="I79" s="5">
        <v>44440</v>
      </c>
      <c r="J79" s="6">
        <v>935</v>
      </c>
      <c r="K79" s="6">
        <v>935</v>
      </c>
      <c r="L79" s="6">
        <v>0</v>
      </c>
      <c r="M79" s="6">
        <v>0</v>
      </c>
      <c r="N79" s="6">
        <v>0</v>
      </c>
      <c r="O79" s="6">
        <v>0</v>
      </c>
      <c r="P79" s="6">
        <v>2</v>
      </c>
      <c r="Q79" s="4" t="s">
        <v>26</v>
      </c>
      <c r="R79" s="4">
        <v>0</v>
      </c>
      <c r="S79" s="4" t="s">
        <v>133</v>
      </c>
      <c r="U79" s="4">
        <v>50</v>
      </c>
      <c r="V79" s="4">
        <v>0</v>
      </c>
      <c r="W79" s="4">
        <v>0</v>
      </c>
    </row>
    <row r="80" spans="1:23" ht="11.25" customHeight="1" x14ac:dyDescent="0.3">
      <c r="A80" s="4" t="s">
        <v>21</v>
      </c>
      <c r="B80" s="4" t="s">
        <v>37</v>
      </c>
      <c r="C80" s="4" t="s">
        <v>38</v>
      </c>
      <c r="D80" s="4" t="s">
        <v>36</v>
      </c>
      <c r="E80" s="4" t="s">
        <v>25</v>
      </c>
      <c r="F80" s="4" t="s">
        <v>25</v>
      </c>
      <c r="G80" s="4" t="s">
        <v>25</v>
      </c>
      <c r="H80" s="4" t="s">
        <v>25</v>
      </c>
      <c r="I80" s="5">
        <v>44470</v>
      </c>
      <c r="J80" s="6">
        <v>935</v>
      </c>
      <c r="K80" s="6">
        <v>935</v>
      </c>
      <c r="L80" s="6">
        <v>0</v>
      </c>
      <c r="M80" s="6">
        <v>0</v>
      </c>
      <c r="N80" s="6">
        <v>0</v>
      </c>
      <c r="O80" s="6">
        <v>0</v>
      </c>
      <c r="P80" s="6">
        <v>2</v>
      </c>
      <c r="Q80" s="4" t="s">
        <v>26</v>
      </c>
      <c r="R80" s="4">
        <v>0</v>
      </c>
      <c r="S80" s="4" t="s">
        <v>134</v>
      </c>
      <c r="U80" s="4">
        <v>50</v>
      </c>
      <c r="V80" s="4">
        <v>0</v>
      </c>
      <c r="W80" s="4">
        <v>0</v>
      </c>
    </row>
    <row r="81" spans="1:23" ht="11.25" customHeight="1" x14ac:dyDescent="0.3">
      <c r="A81" s="4" t="s">
        <v>21</v>
      </c>
      <c r="B81" s="4" t="s">
        <v>37</v>
      </c>
      <c r="C81" s="4" t="s">
        <v>38</v>
      </c>
      <c r="D81" s="4" t="s">
        <v>36</v>
      </c>
      <c r="E81" s="4" t="s">
        <v>25</v>
      </c>
      <c r="F81" s="4" t="s">
        <v>25</v>
      </c>
      <c r="G81" s="4" t="s">
        <v>25</v>
      </c>
      <c r="H81" s="4" t="s">
        <v>25</v>
      </c>
      <c r="I81" s="5">
        <v>44501</v>
      </c>
      <c r="J81" s="6">
        <v>935</v>
      </c>
      <c r="K81" s="6">
        <v>935</v>
      </c>
      <c r="L81" s="6">
        <v>0</v>
      </c>
      <c r="M81" s="6">
        <v>0</v>
      </c>
      <c r="N81" s="6">
        <v>0</v>
      </c>
      <c r="O81" s="6">
        <v>0</v>
      </c>
      <c r="P81" s="6">
        <v>2</v>
      </c>
      <c r="Q81" s="4" t="s">
        <v>26</v>
      </c>
      <c r="R81" s="4">
        <v>0</v>
      </c>
      <c r="S81" s="4" t="s">
        <v>135</v>
      </c>
      <c r="U81" s="4">
        <v>50</v>
      </c>
      <c r="V81" s="4">
        <v>0</v>
      </c>
      <c r="W81" s="4">
        <v>0</v>
      </c>
    </row>
    <row r="82" spans="1:23" ht="11.25" customHeight="1" x14ac:dyDescent="0.3">
      <c r="A82" s="4" t="s">
        <v>21</v>
      </c>
      <c r="B82" s="4" t="s">
        <v>37</v>
      </c>
      <c r="C82" s="4" t="s">
        <v>38</v>
      </c>
      <c r="D82" s="4" t="s">
        <v>36</v>
      </c>
      <c r="E82" s="4" t="s">
        <v>25</v>
      </c>
      <c r="F82" s="4" t="s">
        <v>25</v>
      </c>
      <c r="G82" s="4" t="s">
        <v>25</v>
      </c>
      <c r="H82" s="4" t="s">
        <v>25</v>
      </c>
      <c r="I82" s="5">
        <v>44531</v>
      </c>
      <c r="J82" s="6">
        <v>935</v>
      </c>
      <c r="K82" s="6">
        <v>935</v>
      </c>
      <c r="L82" s="6">
        <v>0</v>
      </c>
      <c r="M82" s="6">
        <v>0</v>
      </c>
      <c r="N82" s="6">
        <v>0</v>
      </c>
      <c r="O82" s="6">
        <v>0</v>
      </c>
      <c r="P82" s="6">
        <v>2</v>
      </c>
      <c r="Q82" s="4" t="s">
        <v>26</v>
      </c>
      <c r="R82" s="4">
        <v>0</v>
      </c>
      <c r="S82" s="4" t="s">
        <v>136</v>
      </c>
      <c r="U82" s="4">
        <v>50</v>
      </c>
      <c r="V82" s="4">
        <v>0</v>
      </c>
      <c r="W82" s="4">
        <v>0</v>
      </c>
    </row>
    <row r="83" spans="1:23" ht="11.25" customHeight="1" x14ac:dyDescent="0.3">
      <c r="A83" s="4" t="s">
        <v>21</v>
      </c>
      <c r="B83" s="4" t="s">
        <v>37</v>
      </c>
      <c r="C83" s="4" t="s">
        <v>38</v>
      </c>
      <c r="D83" s="4" t="s">
        <v>36</v>
      </c>
      <c r="E83" s="4" t="s">
        <v>25</v>
      </c>
      <c r="F83" s="4" t="s">
        <v>25</v>
      </c>
      <c r="G83" s="4" t="s">
        <v>25</v>
      </c>
      <c r="H83" s="4" t="s">
        <v>25</v>
      </c>
      <c r="I83" s="5">
        <v>44562</v>
      </c>
      <c r="J83" s="6">
        <v>935</v>
      </c>
      <c r="K83" s="6">
        <v>935</v>
      </c>
      <c r="L83" s="6">
        <v>0</v>
      </c>
      <c r="M83" s="6">
        <v>0</v>
      </c>
      <c r="N83" s="6">
        <v>0</v>
      </c>
      <c r="O83" s="6">
        <v>0</v>
      </c>
      <c r="P83" s="6">
        <v>2</v>
      </c>
      <c r="Q83" s="4" t="s">
        <v>26</v>
      </c>
      <c r="R83" s="4">
        <v>0</v>
      </c>
      <c r="S83" s="4" t="s">
        <v>137</v>
      </c>
      <c r="U83" s="4">
        <v>50</v>
      </c>
      <c r="V83" s="4">
        <v>0</v>
      </c>
      <c r="W83" s="4">
        <v>0</v>
      </c>
    </row>
    <row r="84" spans="1:23" ht="11.25" customHeight="1" x14ac:dyDescent="0.3">
      <c r="A84" s="4" t="s">
        <v>21</v>
      </c>
      <c r="B84" s="4" t="s">
        <v>37</v>
      </c>
      <c r="C84" s="4" t="s">
        <v>38</v>
      </c>
      <c r="D84" s="4" t="s">
        <v>36</v>
      </c>
      <c r="E84" s="4" t="s">
        <v>25</v>
      </c>
      <c r="F84" s="4" t="s">
        <v>25</v>
      </c>
      <c r="G84" s="4" t="s">
        <v>25</v>
      </c>
      <c r="H84" s="4" t="s">
        <v>25</v>
      </c>
      <c r="I84" s="5">
        <v>44593</v>
      </c>
      <c r="J84" s="6">
        <v>985</v>
      </c>
      <c r="K84" s="6">
        <v>985</v>
      </c>
      <c r="L84" s="6">
        <v>0</v>
      </c>
      <c r="M84" s="6">
        <v>0</v>
      </c>
      <c r="N84" s="6">
        <v>0</v>
      </c>
      <c r="O84" s="6">
        <v>0</v>
      </c>
      <c r="P84" s="6">
        <v>2</v>
      </c>
      <c r="Q84" s="4" t="s">
        <v>26</v>
      </c>
      <c r="R84" s="4">
        <v>0</v>
      </c>
      <c r="S84" s="4" t="s">
        <v>138</v>
      </c>
      <c r="U84" s="4">
        <v>50</v>
      </c>
      <c r="V84" s="4">
        <v>0</v>
      </c>
      <c r="W84" s="4">
        <v>0</v>
      </c>
    </row>
    <row r="85" spans="1:23" ht="11.25" customHeight="1" x14ac:dyDescent="0.3">
      <c r="A85" s="4" t="s">
        <v>21</v>
      </c>
      <c r="B85" s="4" t="s">
        <v>37</v>
      </c>
      <c r="C85" s="4" t="s">
        <v>38</v>
      </c>
      <c r="D85" s="4" t="s">
        <v>36</v>
      </c>
      <c r="E85" s="4" t="s">
        <v>25</v>
      </c>
      <c r="F85" s="4" t="s">
        <v>25</v>
      </c>
      <c r="G85" s="4" t="s">
        <v>25</v>
      </c>
      <c r="H85" s="4" t="s">
        <v>25</v>
      </c>
      <c r="I85" s="5">
        <v>44621</v>
      </c>
      <c r="J85" s="6">
        <v>1070</v>
      </c>
      <c r="K85" s="6">
        <v>1070</v>
      </c>
      <c r="L85" s="6">
        <v>0</v>
      </c>
      <c r="M85" s="6">
        <v>0</v>
      </c>
      <c r="N85" s="6">
        <v>0</v>
      </c>
      <c r="O85" s="6">
        <v>0</v>
      </c>
      <c r="P85" s="6">
        <v>2</v>
      </c>
      <c r="Q85" s="4" t="s">
        <v>26</v>
      </c>
      <c r="R85" s="4">
        <v>0</v>
      </c>
      <c r="S85" s="4" t="s">
        <v>139</v>
      </c>
      <c r="U85" s="4">
        <v>50</v>
      </c>
      <c r="V85" s="4">
        <v>0</v>
      </c>
      <c r="W85" s="4">
        <v>0</v>
      </c>
    </row>
    <row r="86" spans="1:23" ht="11.25" customHeight="1" x14ac:dyDescent="0.3">
      <c r="A86" s="4" t="s">
        <v>21</v>
      </c>
      <c r="B86" s="4" t="s">
        <v>37</v>
      </c>
      <c r="C86" s="4" t="s">
        <v>38</v>
      </c>
      <c r="D86" s="4" t="s">
        <v>36</v>
      </c>
      <c r="E86" s="4" t="s">
        <v>25</v>
      </c>
      <c r="F86" s="4" t="s">
        <v>25</v>
      </c>
      <c r="G86" s="4" t="s">
        <v>25</v>
      </c>
      <c r="H86" s="4" t="s">
        <v>39</v>
      </c>
      <c r="I86" s="5">
        <v>44287</v>
      </c>
      <c r="J86" s="6">
        <v>0</v>
      </c>
      <c r="K86" s="6">
        <v>0</v>
      </c>
      <c r="L86" s="6">
        <v>1.2130000000000001</v>
      </c>
      <c r="M86" s="6">
        <v>1.2130000000000001</v>
      </c>
      <c r="N86" s="6">
        <v>1.2130000000000001</v>
      </c>
      <c r="O86" s="6">
        <v>1.2130000000000001</v>
      </c>
      <c r="P86" s="6">
        <v>0</v>
      </c>
      <c r="Q86" s="4" t="s">
        <v>26</v>
      </c>
      <c r="R86" s="4">
        <v>0</v>
      </c>
      <c r="S86" s="4" t="s">
        <v>140</v>
      </c>
      <c r="T86" s="4" t="s">
        <v>309</v>
      </c>
      <c r="U86" s="4">
        <v>0</v>
      </c>
      <c r="V86" s="4">
        <v>1</v>
      </c>
      <c r="W86" s="4">
        <v>73</v>
      </c>
    </row>
    <row r="87" spans="1:23" ht="11.25" customHeight="1" x14ac:dyDescent="0.3">
      <c r="A87" s="4" t="s">
        <v>21</v>
      </c>
      <c r="B87" s="4" t="s">
        <v>37</v>
      </c>
      <c r="C87" s="4" t="s">
        <v>38</v>
      </c>
      <c r="D87" s="4" t="s">
        <v>36</v>
      </c>
      <c r="E87" s="4" t="s">
        <v>25</v>
      </c>
      <c r="F87" s="4" t="s">
        <v>25</v>
      </c>
      <c r="G87" s="4" t="s">
        <v>25</v>
      </c>
      <c r="H87" s="4" t="s">
        <v>39</v>
      </c>
      <c r="I87" s="5">
        <v>44317</v>
      </c>
      <c r="J87" s="6">
        <v>0</v>
      </c>
      <c r="K87" s="6">
        <v>0</v>
      </c>
      <c r="L87" s="6">
        <v>1.2150000000000001</v>
      </c>
      <c r="M87" s="6">
        <v>1.2150000000000001</v>
      </c>
      <c r="N87" s="6">
        <v>1.2150000000000001</v>
      </c>
      <c r="O87" s="6">
        <v>1.2150000000000001</v>
      </c>
      <c r="P87" s="6">
        <v>0</v>
      </c>
      <c r="Q87" s="4" t="s">
        <v>26</v>
      </c>
      <c r="R87" s="4">
        <v>0</v>
      </c>
      <c r="S87" s="4" t="s">
        <v>141</v>
      </c>
      <c r="T87" s="4" t="s">
        <v>310</v>
      </c>
      <c r="U87" s="4">
        <v>0</v>
      </c>
      <c r="V87" s="4">
        <v>1</v>
      </c>
      <c r="W87" s="4">
        <v>73</v>
      </c>
    </row>
    <row r="88" spans="1:23" ht="11.25" customHeight="1" x14ac:dyDescent="0.3">
      <c r="A88" s="4" t="s">
        <v>21</v>
      </c>
      <c r="B88" s="4" t="s">
        <v>37</v>
      </c>
      <c r="C88" s="4" t="s">
        <v>38</v>
      </c>
      <c r="D88" s="4" t="s">
        <v>36</v>
      </c>
      <c r="E88" s="4" t="s">
        <v>25</v>
      </c>
      <c r="F88" s="4" t="s">
        <v>25</v>
      </c>
      <c r="G88" s="4" t="s">
        <v>25</v>
      </c>
      <c r="H88" s="4" t="s">
        <v>39</v>
      </c>
      <c r="I88" s="5">
        <v>44348</v>
      </c>
      <c r="J88" s="6">
        <v>0</v>
      </c>
      <c r="K88" s="6">
        <v>0</v>
      </c>
      <c r="L88" s="6">
        <v>1.212</v>
      </c>
      <c r="M88" s="6">
        <v>1.212</v>
      </c>
      <c r="N88" s="6">
        <v>1.212</v>
      </c>
      <c r="O88" s="6">
        <v>1.212</v>
      </c>
      <c r="P88" s="6">
        <v>0</v>
      </c>
      <c r="Q88" s="4" t="s">
        <v>26</v>
      </c>
      <c r="R88" s="4">
        <v>0</v>
      </c>
      <c r="S88" s="4" t="s">
        <v>142</v>
      </c>
      <c r="T88" s="4" t="s">
        <v>311</v>
      </c>
      <c r="U88" s="4">
        <v>0</v>
      </c>
      <c r="V88" s="4">
        <v>1</v>
      </c>
      <c r="W88" s="4">
        <v>73</v>
      </c>
    </row>
    <row r="89" spans="1:23" ht="11.25" customHeight="1" x14ac:dyDescent="0.3">
      <c r="A89" s="4" t="s">
        <v>21</v>
      </c>
      <c r="B89" s="4" t="s">
        <v>37</v>
      </c>
      <c r="C89" s="4" t="s">
        <v>38</v>
      </c>
      <c r="D89" s="4" t="s">
        <v>36</v>
      </c>
      <c r="E89" s="4" t="s">
        <v>25</v>
      </c>
      <c r="F89" s="4" t="s">
        <v>25</v>
      </c>
      <c r="G89" s="4" t="s">
        <v>25</v>
      </c>
      <c r="H89" s="4" t="s">
        <v>39</v>
      </c>
      <c r="I89" s="5">
        <v>44378</v>
      </c>
      <c r="J89" s="6">
        <v>0</v>
      </c>
      <c r="K89" s="6">
        <v>0</v>
      </c>
      <c r="L89" s="6">
        <v>1.1910000000000001</v>
      </c>
      <c r="M89" s="6">
        <v>1.1910000000000001</v>
      </c>
      <c r="N89" s="6">
        <v>1.1910000000000001</v>
      </c>
      <c r="O89" s="6">
        <v>1.1910000000000001</v>
      </c>
      <c r="P89" s="6">
        <v>0</v>
      </c>
      <c r="Q89" s="4" t="s">
        <v>26</v>
      </c>
      <c r="R89" s="4">
        <v>0</v>
      </c>
      <c r="S89" s="4" t="s">
        <v>143</v>
      </c>
      <c r="T89" s="4" t="s">
        <v>312</v>
      </c>
      <c r="U89" s="4">
        <v>0</v>
      </c>
      <c r="V89" s="4">
        <v>1</v>
      </c>
      <c r="W89" s="4">
        <v>73</v>
      </c>
    </row>
    <row r="90" spans="1:23" ht="11.25" customHeight="1" x14ac:dyDescent="0.3">
      <c r="A90" s="4" t="s">
        <v>21</v>
      </c>
      <c r="B90" s="4" t="s">
        <v>37</v>
      </c>
      <c r="C90" s="4" t="s">
        <v>38</v>
      </c>
      <c r="D90" s="4" t="s">
        <v>36</v>
      </c>
      <c r="E90" s="4" t="s">
        <v>25</v>
      </c>
      <c r="F90" s="4" t="s">
        <v>25</v>
      </c>
      <c r="G90" s="4" t="s">
        <v>25</v>
      </c>
      <c r="H90" s="4" t="s">
        <v>39</v>
      </c>
      <c r="I90" s="5">
        <v>44409</v>
      </c>
      <c r="J90" s="6">
        <v>0</v>
      </c>
      <c r="K90" s="6">
        <v>0</v>
      </c>
      <c r="L90" s="6">
        <v>1.133</v>
      </c>
      <c r="M90" s="6">
        <v>1.133</v>
      </c>
      <c r="N90" s="6">
        <v>1.133</v>
      </c>
      <c r="O90" s="6">
        <v>1.133</v>
      </c>
      <c r="P90" s="6">
        <v>0</v>
      </c>
      <c r="Q90" s="4" t="s">
        <v>26</v>
      </c>
      <c r="R90" s="4">
        <v>0</v>
      </c>
      <c r="S90" s="4" t="s">
        <v>144</v>
      </c>
      <c r="T90" s="4" t="s">
        <v>313</v>
      </c>
      <c r="U90" s="4">
        <v>0</v>
      </c>
      <c r="V90" s="4">
        <v>1</v>
      </c>
      <c r="W90" s="4">
        <v>73</v>
      </c>
    </row>
    <row r="91" spans="1:23" ht="11.25" customHeight="1" x14ac:dyDescent="0.3">
      <c r="A91" s="4" t="s">
        <v>21</v>
      </c>
      <c r="B91" s="4" t="s">
        <v>37</v>
      </c>
      <c r="C91" s="4" t="s">
        <v>38</v>
      </c>
      <c r="D91" s="4" t="s">
        <v>36</v>
      </c>
      <c r="E91" s="4" t="s">
        <v>25</v>
      </c>
      <c r="F91" s="4" t="s">
        <v>25</v>
      </c>
      <c r="G91" s="4" t="s">
        <v>25</v>
      </c>
      <c r="H91" s="4" t="s">
        <v>39</v>
      </c>
      <c r="I91" s="5">
        <v>44440</v>
      </c>
      <c r="J91" s="6">
        <v>0</v>
      </c>
      <c r="K91" s="6">
        <v>0</v>
      </c>
      <c r="L91" s="6">
        <v>1.0609999999999999</v>
      </c>
      <c r="M91" s="6">
        <v>1.0609999999999999</v>
      </c>
      <c r="N91" s="6">
        <v>1.0609999999999999</v>
      </c>
      <c r="O91" s="6">
        <v>1.0609999999999999</v>
      </c>
      <c r="P91" s="6">
        <v>0</v>
      </c>
      <c r="Q91" s="4" t="s">
        <v>26</v>
      </c>
      <c r="R91" s="4">
        <v>0</v>
      </c>
      <c r="S91" s="4" t="s">
        <v>145</v>
      </c>
      <c r="T91" s="4" t="s">
        <v>314</v>
      </c>
      <c r="U91" s="4">
        <v>0</v>
      </c>
      <c r="V91" s="4">
        <v>1</v>
      </c>
      <c r="W91" s="4">
        <v>73</v>
      </c>
    </row>
    <row r="92" spans="1:23" ht="11.25" customHeight="1" x14ac:dyDescent="0.3">
      <c r="A92" s="4" t="s">
        <v>21</v>
      </c>
      <c r="B92" s="4" t="s">
        <v>37</v>
      </c>
      <c r="C92" s="4" t="s">
        <v>38</v>
      </c>
      <c r="D92" s="4" t="s">
        <v>36</v>
      </c>
      <c r="E92" s="4" t="s">
        <v>25</v>
      </c>
      <c r="F92" s="4" t="s">
        <v>25</v>
      </c>
      <c r="G92" s="4" t="s">
        <v>25</v>
      </c>
      <c r="H92" s="4" t="s">
        <v>39</v>
      </c>
      <c r="I92" s="5">
        <v>44470</v>
      </c>
      <c r="J92" s="6">
        <v>0</v>
      </c>
      <c r="K92" s="6">
        <v>0</v>
      </c>
      <c r="L92" s="6">
        <v>0.94399999999999995</v>
      </c>
      <c r="M92" s="6">
        <v>0.94399999999999995</v>
      </c>
      <c r="N92" s="6">
        <v>0.94399999999999995</v>
      </c>
      <c r="O92" s="6">
        <v>0.94399999999999995</v>
      </c>
      <c r="P92" s="6">
        <v>0</v>
      </c>
      <c r="Q92" s="4" t="s">
        <v>26</v>
      </c>
      <c r="R92" s="4">
        <v>0</v>
      </c>
      <c r="S92" s="4" t="s">
        <v>146</v>
      </c>
      <c r="T92" s="4" t="s">
        <v>315</v>
      </c>
      <c r="U92" s="4">
        <v>0</v>
      </c>
      <c r="V92" s="4">
        <v>1</v>
      </c>
      <c r="W92" s="4">
        <v>73</v>
      </c>
    </row>
    <row r="93" spans="1:23" ht="11.25" customHeight="1" x14ac:dyDescent="0.3">
      <c r="A93" s="4" t="s">
        <v>21</v>
      </c>
      <c r="B93" s="4" t="s">
        <v>37</v>
      </c>
      <c r="C93" s="4" t="s">
        <v>38</v>
      </c>
      <c r="D93" s="4" t="s">
        <v>36</v>
      </c>
      <c r="E93" s="4" t="s">
        <v>25</v>
      </c>
      <c r="F93" s="4" t="s">
        <v>25</v>
      </c>
      <c r="G93" s="4" t="s">
        <v>25</v>
      </c>
      <c r="H93" s="4" t="s">
        <v>39</v>
      </c>
      <c r="I93" s="5">
        <v>44501</v>
      </c>
      <c r="J93" s="6">
        <v>0</v>
      </c>
      <c r="K93" s="6">
        <v>0</v>
      </c>
      <c r="L93" s="6">
        <v>1.024</v>
      </c>
      <c r="M93" s="6">
        <v>1.024</v>
      </c>
      <c r="N93" s="6">
        <v>1.024</v>
      </c>
      <c r="O93" s="6">
        <v>1.024</v>
      </c>
      <c r="P93" s="6">
        <v>0</v>
      </c>
      <c r="Q93" s="4" t="s">
        <v>26</v>
      </c>
      <c r="R93" s="4">
        <v>0</v>
      </c>
      <c r="S93" s="4" t="s">
        <v>147</v>
      </c>
      <c r="T93" s="4" t="s">
        <v>316</v>
      </c>
      <c r="U93" s="4">
        <v>0</v>
      </c>
      <c r="V93" s="4">
        <v>1</v>
      </c>
      <c r="W93" s="4">
        <v>73</v>
      </c>
    </row>
    <row r="94" spans="1:23" ht="11.25" customHeight="1" x14ac:dyDescent="0.3">
      <c r="A94" s="4" t="s">
        <v>21</v>
      </c>
      <c r="B94" s="4" t="s">
        <v>37</v>
      </c>
      <c r="C94" s="4" t="s">
        <v>38</v>
      </c>
      <c r="D94" s="4" t="s">
        <v>36</v>
      </c>
      <c r="E94" s="4" t="s">
        <v>25</v>
      </c>
      <c r="F94" s="4" t="s">
        <v>25</v>
      </c>
      <c r="G94" s="4" t="s">
        <v>25</v>
      </c>
      <c r="H94" s="4" t="s">
        <v>39</v>
      </c>
      <c r="I94" s="5">
        <v>44531</v>
      </c>
      <c r="J94" s="6">
        <v>0</v>
      </c>
      <c r="K94" s="6">
        <v>0</v>
      </c>
      <c r="L94" s="6">
        <v>1.27</v>
      </c>
      <c r="M94" s="6">
        <v>1.27</v>
      </c>
      <c r="N94" s="6">
        <v>1.27</v>
      </c>
      <c r="O94" s="6">
        <v>1.27</v>
      </c>
      <c r="P94" s="6">
        <v>0</v>
      </c>
      <c r="Q94" s="4" t="s">
        <v>26</v>
      </c>
      <c r="R94" s="4">
        <v>0</v>
      </c>
      <c r="S94" s="4" t="s">
        <v>148</v>
      </c>
      <c r="T94" s="4" t="s">
        <v>317</v>
      </c>
      <c r="U94" s="4">
        <v>0</v>
      </c>
      <c r="V94" s="4">
        <v>1</v>
      </c>
      <c r="W94" s="4">
        <v>73</v>
      </c>
    </row>
    <row r="95" spans="1:23" ht="11.25" customHeight="1" x14ac:dyDescent="0.3">
      <c r="A95" s="4" t="s">
        <v>21</v>
      </c>
      <c r="B95" s="4" t="s">
        <v>37</v>
      </c>
      <c r="C95" s="4" t="s">
        <v>38</v>
      </c>
      <c r="D95" s="4" t="s">
        <v>36</v>
      </c>
      <c r="E95" s="4" t="s">
        <v>25</v>
      </c>
      <c r="F95" s="4" t="s">
        <v>25</v>
      </c>
      <c r="G95" s="4" t="s">
        <v>25</v>
      </c>
      <c r="H95" s="4" t="s">
        <v>39</v>
      </c>
      <c r="I95" s="5">
        <v>44562</v>
      </c>
      <c r="J95" s="6">
        <v>0</v>
      </c>
      <c r="K95" s="6">
        <v>0</v>
      </c>
      <c r="L95" s="6">
        <v>1.177</v>
      </c>
      <c r="M95" s="6">
        <v>1.177</v>
      </c>
      <c r="N95" s="6">
        <v>1.177</v>
      </c>
      <c r="O95" s="6">
        <v>1.177</v>
      </c>
      <c r="P95" s="6">
        <v>0</v>
      </c>
      <c r="Q95" s="4" t="s">
        <v>26</v>
      </c>
      <c r="R95" s="4">
        <v>0</v>
      </c>
      <c r="S95" s="4" t="s">
        <v>149</v>
      </c>
      <c r="T95" s="4" t="s">
        <v>318</v>
      </c>
      <c r="U95" s="4">
        <v>0</v>
      </c>
      <c r="V95" s="4">
        <v>1</v>
      </c>
      <c r="W95" s="4">
        <v>73</v>
      </c>
    </row>
    <row r="96" spans="1:23" ht="11.25" customHeight="1" x14ac:dyDescent="0.3">
      <c r="A96" s="4" t="s">
        <v>21</v>
      </c>
      <c r="B96" s="4" t="s">
        <v>37</v>
      </c>
      <c r="C96" s="4" t="s">
        <v>38</v>
      </c>
      <c r="D96" s="4" t="s">
        <v>36</v>
      </c>
      <c r="E96" s="4" t="s">
        <v>25</v>
      </c>
      <c r="F96" s="4" t="s">
        <v>25</v>
      </c>
      <c r="G96" s="4" t="s">
        <v>25</v>
      </c>
      <c r="H96" s="4" t="s">
        <v>39</v>
      </c>
      <c r="I96" s="5">
        <v>44593</v>
      </c>
      <c r="J96" s="6">
        <v>0</v>
      </c>
      <c r="K96" s="6">
        <v>0</v>
      </c>
      <c r="L96" s="6">
        <v>1.1479999999999999</v>
      </c>
      <c r="M96" s="6">
        <v>1.1479999999999999</v>
      </c>
      <c r="N96" s="6">
        <v>1.1479999999999999</v>
      </c>
      <c r="O96" s="6">
        <v>1.1479999999999999</v>
      </c>
      <c r="P96" s="6">
        <v>0</v>
      </c>
      <c r="Q96" s="4" t="s">
        <v>26</v>
      </c>
      <c r="R96" s="4">
        <v>0</v>
      </c>
      <c r="S96" s="4" t="s">
        <v>150</v>
      </c>
      <c r="T96" s="4" t="s">
        <v>319</v>
      </c>
      <c r="U96" s="4">
        <v>0</v>
      </c>
      <c r="V96" s="4">
        <v>1</v>
      </c>
      <c r="W96" s="4">
        <v>73</v>
      </c>
    </row>
    <row r="97" spans="1:23" ht="11.25" customHeight="1" x14ac:dyDescent="0.3">
      <c r="A97" s="4" t="s">
        <v>21</v>
      </c>
      <c r="B97" s="4" t="s">
        <v>37</v>
      </c>
      <c r="C97" s="4" t="s">
        <v>38</v>
      </c>
      <c r="D97" s="4" t="s">
        <v>36</v>
      </c>
      <c r="E97" s="4" t="s">
        <v>25</v>
      </c>
      <c r="F97" s="4" t="s">
        <v>25</v>
      </c>
      <c r="G97" s="4" t="s">
        <v>25</v>
      </c>
      <c r="H97" s="4" t="s">
        <v>39</v>
      </c>
      <c r="I97" s="5">
        <v>44621</v>
      </c>
      <c r="J97" s="6">
        <v>0</v>
      </c>
      <c r="K97" s="6">
        <v>0</v>
      </c>
      <c r="L97" s="6">
        <v>1.6879999999999999</v>
      </c>
      <c r="M97" s="6">
        <v>1.6879999999999999</v>
      </c>
      <c r="N97" s="6">
        <v>1.6879999999999999</v>
      </c>
      <c r="O97" s="6">
        <v>1.6879999999999999</v>
      </c>
      <c r="P97" s="6">
        <v>0</v>
      </c>
      <c r="Q97" s="4" t="s">
        <v>26</v>
      </c>
      <c r="R97" s="4">
        <v>0</v>
      </c>
      <c r="S97" s="4" t="s">
        <v>151</v>
      </c>
      <c r="T97" s="4" t="s">
        <v>320</v>
      </c>
      <c r="U97" s="4">
        <v>0</v>
      </c>
      <c r="V97" s="4">
        <v>1</v>
      </c>
      <c r="W97" s="4">
        <v>73</v>
      </c>
    </row>
    <row r="98" spans="1:23" ht="11.25" customHeight="1" x14ac:dyDescent="0.3">
      <c r="A98" s="4" t="s">
        <v>21</v>
      </c>
      <c r="B98" s="4" t="s">
        <v>37</v>
      </c>
      <c r="C98" s="4" t="s">
        <v>38</v>
      </c>
      <c r="D98" s="4" t="s">
        <v>44</v>
      </c>
      <c r="E98" s="4" t="s">
        <v>52</v>
      </c>
      <c r="F98" s="4" t="s">
        <v>54</v>
      </c>
      <c r="G98" s="4" t="s">
        <v>25</v>
      </c>
      <c r="H98" s="4" t="s">
        <v>34</v>
      </c>
      <c r="I98" s="5">
        <v>44287</v>
      </c>
      <c r="J98" s="6">
        <v>0</v>
      </c>
      <c r="K98" s="6">
        <v>0</v>
      </c>
      <c r="L98" s="6">
        <v>5.9349999999999996</v>
      </c>
      <c r="M98" s="6">
        <v>1.7805</v>
      </c>
      <c r="N98" s="6">
        <v>5.9349999999999996</v>
      </c>
      <c r="O98" s="6">
        <v>1.7805</v>
      </c>
      <c r="P98" s="6">
        <v>0</v>
      </c>
      <c r="Q98" s="4" t="s">
        <v>26</v>
      </c>
      <c r="R98" s="4">
        <v>0</v>
      </c>
      <c r="S98" s="4" t="s">
        <v>116</v>
      </c>
      <c r="T98" s="4" t="s">
        <v>297</v>
      </c>
      <c r="U98" s="4">
        <v>0</v>
      </c>
      <c r="V98" s="4">
        <v>2</v>
      </c>
      <c r="W98" s="4">
        <v>74</v>
      </c>
    </row>
    <row r="99" spans="1:23" ht="11.25" customHeight="1" x14ac:dyDescent="0.3">
      <c r="A99" s="4" t="s">
        <v>21</v>
      </c>
      <c r="B99" s="4" t="s">
        <v>37</v>
      </c>
      <c r="C99" s="4" t="s">
        <v>38</v>
      </c>
      <c r="D99" s="4" t="s">
        <v>44</v>
      </c>
      <c r="E99" s="4" t="s">
        <v>52</v>
      </c>
      <c r="F99" s="4" t="s">
        <v>54</v>
      </c>
      <c r="G99" s="4" t="s">
        <v>25</v>
      </c>
      <c r="H99" s="4" t="s">
        <v>34</v>
      </c>
      <c r="I99" s="5">
        <v>44317</v>
      </c>
      <c r="J99" s="6">
        <v>0</v>
      </c>
      <c r="K99" s="6">
        <v>0</v>
      </c>
      <c r="L99" s="6">
        <v>2.78</v>
      </c>
      <c r="M99" s="6">
        <v>0.83399999999999996</v>
      </c>
      <c r="N99" s="6">
        <v>2.78</v>
      </c>
      <c r="O99" s="6">
        <v>0.83399999999999996</v>
      </c>
      <c r="P99" s="6">
        <v>0</v>
      </c>
      <c r="Q99" s="4" t="s">
        <v>26</v>
      </c>
      <c r="R99" s="4">
        <v>0</v>
      </c>
      <c r="S99" s="4" t="s">
        <v>117</v>
      </c>
      <c r="T99" s="4" t="s">
        <v>298</v>
      </c>
      <c r="U99" s="4">
        <v>0</v>
      </c>
      <c r="V99" s="4">
        <v>2</v>
      </c>
      <c r="W99" s="4">
        <v>74</v>
      </c>
    </row>
    <row r="100" spans="1:23" ht="11.25" customHeight="1" x14ac:dyDescent="0.3">
      <c r="A100" s="4" t="s">
        <v>21</v>
      </c>
      <c r="B100" s="4" t="s">
        <v>37</v>
      </c>
      <c r="C100" s="4" t="s">
        <v>38</v>
      </c>
      <c r="D100" s="4" t="s">
        <v>44</v>
      </c>
      <c r="E100" s="4" t="s">
        <v>52</v>
      </c>
      <c r="F100" s="4" t="s">
        <v>54</v>
      </c>
      <c r="G100" s="4" t="s">
        <v>25</v>
      </c>
      <c r="H100" s="4" t="s">
        <v>34</v>
      </c>
      <c r="I100" s="5">
        <v>44348</v>
      </c>
      <c r="J100" s="6">
        <v>0</v>
      </c>
      <c r="K100" s="6">
        <v>0</v>
      </c>
      <c r="L100" s="6">
        <v>5.0410000000000004</v>
      </c>
      <c r="M100" s="6">
        <v>1.5123</v>
      </c>
      <c r="N100" s="6">
        <v>5.0410000000000004</v>
      </c>
      <c r="O100" s="6">
        <v>1.5123</v>
      </c>
      <c r="P100" s="6">
        <v>0</v>
      </c>
      <c r="Q100" s="4" t="s">
        <v>26</v>
      </c>
      <c r="R100" s="4">
        <v>0</v>
      </c>
      <c r="S100" s="4" t="s">
        <v>118</v>
      </c>
      <c r="T100" s="4" t="s">
        <v>299</v>
      </c>
      <c r="U100" s="4">
        <v>0</v>
      </c>
      <c r="V100" s="4">
        <v>2</v>
      </c>
      <c r="W100" s="4">
        <v>74</v>
      </c>
    </row>
    <row r="101" spans="1:23" ht="11.25" customHeight="1" x14ac:dyDescent="0.3">
      <c r="A101" s="4" t="s">
        <v>21</v>
      </c>
      <c r="B101" s="4" t="s">
        <v>37</v>
      </c>
      <c r="C101" s="4" t="s">
        <v>38</v>
      </c>
      <c r="D101" s="4" t="s">
        <v>44</v>
      </c>
      <c r="E101" s="4" t="s">
        <v>52</v>
      </c>
      <c r="F101" s="4" t="s">
        <v>54</v>
      </c>
      <c r="G101" s="4" t="s">
        <v>25</v>
      </c>
      <c r="H101" s="4" t="s">
        <v>34</v>
      </c>
      <c r="I101" s="5">
        <v>44378</v>
      </c>
      <c r="J101" s="6">
        <v>0</v>
      </c>
      <c r="K101" s="6">
        <v>0</v>
      </c>
      <c r="L101" s="6">
        <v>13.784000000000001</v>
      </c>
      <c r="M101" s="6">
        <v>4.1352000000000002</v>
      </c>
      <c r="N101" s="6">
        <v>13.784000000000001</v>
      </c>
      <c r="O101" s="6">
        <v>4.1352000000000002</v>
      </c>
      <c r="P101" s="6">
        <v>0</v>
      </c>
      <c r="Q101" s="4" t="s">
        <v>26</v>
      </c>
      <c r="R101" s="4">
        <v>0</v>
      </c>
      <c r="S101" s="4" t="s">
        <v>119</v>
      </c>
      <c r="T101" s="4" t="s">
        <v>300</v>
      </c>
      <c r="U101" s="4">
        <v>0</v>
      </c>
      <c r="V101" s="4">
        <v>2</v>
      </c>
      <c r="W101" s="4">
        <v>74</v>
      </c>
    </row>
    <row r="102" spans="1:23" ht="11.25" customHeight="1" x14ac:dyDescent="0.3">
      <c r="A102" s="4" t="s">
        <v>21</v>
      </c>
      <c r="B102" s="4" t="s">
        <v>37</v>
      </c>
      <c r="C102" s="4" t="s">
        <v>38</v>
      </c>
      <c r="D102" s="4" t="s">
        <v>44</v>
      </c>
      <c r="E102" s="4" t="s">
        <v>52</v>
      </c>
      <c r="F102" s="4" t="s">
        <v>54</v>
      </c>
      <c r="G102" s="4" t="s">
        <v>25</v>
      </c>
      <c r="H102" s="4" t="s">
        <v>34</v>
      </c>
      <c r="I102" s="5">
        <v>44409</v>
      </c>
      <c r="J102" s="6">
        <v>0</v>
      </c>
      <c r="K102" s="6">
        <v>0</v>
      </c>
      <c r="L102" s="6">
        <v>14.56</v>
      </c>
      <c r="M102" s="6">
        <v>4.3680000000000003</v>
      </c>
      <c r="N102" s="6">
        <v>14.56</v>
      </c>
      <c r="O102" s="6">
        <v>4.3680000000000003</v>
      </c>
      <c r="P102" s="6">
        <v>0</v>
      </c>
      <c r="Q102" s="4" t="s">
        <v>26</v>
      </c>
      <c r="R102" s="4">
        <v>0</v>
      </c>
      <c r="S102" s="4" t="s">
        <v>120</v>
      </c>
      <c r="T102" s="4" t="s">
        <v>301</v>
      </c>
      <c r="U102" s="4">
        <v>0</v>
      </c>
      <c r="V102" s="4">
        <v>2</v>
      </c>
      <c r="W102" s="4">
        <v>74</v>
      </c>
    </row>
    <row r="103" spans="1:23" ht="11.25" customHeight="1" x14ac:dyDescent="0.3">
      <c r="A103" s="4" t="s">
        <v>21</v>
      </c>
      <c r="B103" s="4" t="s">
        <v>37</v>
      </c>
      <c r="C103" s="4" t="s">
        <v>38</v>
      </c>
      <c r="D103" s="4" t="s">
        <v>44</v>
      </c>
      <c r="E103" s="4" t="s">
        <v>52</v>
      </c>
      <c r="F103" s="4" t="s">
        <v>54</v>
      </c>
      <c r="G103" s="4" t="s">
        <v>25</v>
      </c>
      <c r="H103" s="4" t="s">
        <v>34</v>
      </c>
      <c r="I103" s="5">
        <v>44440</v>
      </c>
      <c r="J103" s="6">
        <v>0</v>
      </c>
      <c r="K103" s="6">
        <v>0</v>
      </c>
      <c r="L103" s="6">
        <v>13.875</v>
      </c>
      <c r="M103" s="6">
        <v>4.1624999999999996</v>
      </c>
      <c r="N103" s="6">
        <v>13.875</v>
      </c>
      <c r="O103" s="6">
        <v>4.1624999999999996</v>
      </c>
      <c r="P103" s="6">
        <v>0</v>
      </c>
      <c r="Q103" s="4" t="s">
        <v>26</v>
      </c>
      <c r="R103" s="4">
        <v>0</v>
      </c>
      <c r="S103" s="4" t="s">
        <v>121</v>
      </c>
      <c r="T103" s="4" t="s">
        <v>302</v>
      </c>
      <c r="U103" s="4">
        <v>0</v>
      </c>
      <c r="V103" s="4">
        <v>2</v>
      </c>
      <c r="W103" s="4">
        <v>74</v>
      </c>
    </row>
    <row r="104" spans="1:23" ht="11.25" customHeight="1" x14ac:dyDescent="0.3">
      <c r="A104" s="4" t="s">
        <v>21</v>
      </c>
      <c r="B104" s="4" t="s">
        <v>37</v>
      </c>
      <c r="C104" s="4" t="s">
        <v>38</v>
      </c>
      <c r="D104" s="4" t="s">
        <v>44</v>
      </c>
      <c r="E104" s="4" t="s">
        <v>52</v>
      </c>
      <c r="F104" s="4" t="s">
        <v>54</v>
      </c>
      <c r="G104" s="4" t="s">
        <v>25</v>
      </c>
      <c r="H104" s="4" t="s">
        <v>34</v>
      </c>
      <c r="I104" s="5">
        <v>44470</v>
      </c>
      <c r="J104" s="6">
        <v>0</v>
      </c>
      <c r="K104" s="6">
        <v>0</v>
      </c>
      <c r="L104" s="6">
        <v>6.3449999999999998</v>
      </c>
      <c r="M104" s="6">
        <v>1.9035</v>
      </c>
      <c r="N104" s="6">
        <v>6.3449999999999998</v>
      </c>
      <c r="O104" s="6">
        <v>1.9035</v>
      </c>
      <c r="P104" s="6">
        <v>0</v>
      </c>
      <c r="Q104" s="4" t="s">
        <v>26</v>
      </c>
      <c r="R104" s="4">
        <v>0</v>
      </c>
      <c r="S104" s="4" t="s">
        <v>122</v>
      </c>
      <c r="T104" s="4" t="s">
        <v>303</v>
      </c>
      <c r="U104" s="4">
        <v>0</v>
      </c>
      <c r="V104" s="4">
        <v>2</v>
      </c>
      <c r="W104" s="4">
        <v>74</v>
      </c>
    </row>
    <row r="105" spans="1:23" ht="11.25" customHeight="1" x14ac:dyDescent="0.3">
      <c r="A105" s="4" t="s">
        <v>21</v>
      </c>
      <c r="B105" s="4" t="s">
        <v>37</v>
      </c>
      <c r="C105" s="4" t="s">
        <v>38</v>
      </c>
      <c r="D105" s="4" t="s">
        <v>44</v>
      </c>
      <c r="E105" s="4" t="s">
        <v>52</v>
      </c>
      <c r="F105" s="4" t="s">
        <v>54</v>
      </c>
      <c r="G105" s="4" t="s">
        <v>25</v>
      </c>
      <c r="H105" s="4" t="s">
        <v>34</v>
      </c>
      <c r="I105" s="5">
        <v>44501</v>
      </c>
      <c r="J105" s="6">
        <v>0</v>
      </c>
      <c r="K105" s="6">
        <v>0</v>
      </c>
      <c r="L105" s="6">
        <v>10.101000000000001</v>
      </c>
      <c r="M105" s="6">
        <v>3.0303</v>
      </c>
      <c r="N105" s="6">
        <v>10.101000000000001</v>
      </c>
      <c r="O105" s="6">
        <v>3.0303</v>
      </c>
      <c r="P105" s="6">
        <v>0</v>
      </c>
      <c r="Q105" s="4" t="s">
        <v>26</v>
      </c>
      <c r="R105" s="4">
        <v>0</v>
      </c>
      <c r="S105" s="4" t="s">
        <v>123</v>
      </c>
      <c r="T105" s="4" t="s">
        <v>304</v>
      </c>
      <c r="U105" s="4">
        <v>0</v>
      </c>
      <c r="V105" s="4">
        <v>2</v>
      </c>
      <c r="W105" s="4">
        <v>74</v>
      </c>
    </row>
    <row r="106" spans="1:23" ht="11.25" customHeight="1" x14ac:dyDescent="0.3">
      <c r="A106" s="4" t="s">
        <v>21</v>
      </c>
      <c r="B106" s="4" t="s">
        <v>37</v>
      </c>
      <c r="C106" s="4" t="s">
        <v>38</v>
      </c>
      <c r="D106" s="4" t="s">
        <v>44</v>
      </c>
      <c r="E106" s="4" t="s">
        <v>52</v>
      </c>
      <c r="F106" s="4" t="s">
        <v>54</v>
      </c>
      <c r="G106" s="4" t="s">
        <v>25</v>
      </c>
      <c r="H106" s="4" t="s">
        <v>34</v>
      </c>
      <c r="I106" s="5">
        <v>44531</v>
      </c>
      <c r="J106" s="6">
        <v>0</v>
      </c>
      <c r="K106" s="6">
        <v>0</v>
      </c>
      <c r="L106" s="6">
        <v>5.0709999999999997</v>
      </c>
      <c r="M106" s="6">
        <v>1.5213000000000001</v>
      </c>
      <c r="N106" s="6">
        <v>5.0709999999999997</v>
      </c>
      <c r="O106" s="6">
        <v>1.5213000000000001</v>
      </c>
      <c r="P106" s="6">
        <v>0</v>
      </c>
      <c r="Q106" s="4" t="s">
        <v>26</v>
      </c>
      <c r="R106" s="4">
        <v>0</v>
      </c>
      <c r="S106" s="4" t="s">
        <v>124</v>
      </c>
      <c r="T106" s="4" t="s">
        <v>305</v>
      </c>
      <c r="U106" s="4">
        <v>0</v>
      </c>
      <c r="V106" s="4">
        <v>2</v>
      </c>
      <c r="W106" s="4">
        <v>74</v>
      </c>
    </row>
    <row r="107" spans="1:23" ht="11.25" customHeight="1" x14ac:dyDescent="0.3">
      <c r="A107" s="4" t="s">
        <v>21</v>
      </c>
      <c r="B107" s="4" t="s">
        <v>37</v>
      </c>
      <c r="C107" s="4" t="s">
        <v>38</v>
      </c>
      <c r="D107" s="4" t="s">
        <v>44</v>
      </c>
      <c r="E107" s="4" t="s">
        <v>52</v>
      </c>
      <c r="F107" s="4" t="s">
        <v>54</v>
      </c>
      <c r="G107" s="4" t="s">
        <v>25</v>
      </c>
      <c r="H107" s="4" t="s">
        <v>34</v>
      </c>
      <c r="I107" s="5">
        <v>44562</v>
      </c>
      <c r="J107" s="6">
        <v>0</v>
      </c>
      <c r="K107" s="6">
        <v>0</v>
      </c>
      <c r="L107" s="6">
        <v>11.662000000000001</v>
      </c>
      <c r="M107" s="6">
        <v>3.4986000000000002</v>
      </c>
      <c r="N107" s="6">
        <v>11.662000000000001</v>
      </c>
      <c r="O107" s="6">
        <v>3.4986000000000002</v>
      </c>
      <c r="P107" s="6">
        <v>0</v>
      </c>
      <c r="Q107" s="4" t="s">
        <v>26</v>
      </c>
      <c r="R107" s="4">
        <v>0</v>
      </c>
      <c r="S107" s="4" t="s">
        <v>125</v>
      </c>
      <c r="T107" s="4" t="s">
        <v>306</v>
      </c>
      <c r="U107" s="4">
        <v>0</v>
      </c>
      <c r="V107" s="4">
        <v>2</v>
      </c>
      <c r="W107" s="4">
        <v>74</v>
      </c>
    </row>
    <row r="108" spans="1:23" ht="11.25" customHeight="1" x14ac:dyDescent="0.3">
      <c r="A108" s="4" t="s">
        <v>21</v>
      </c>
      <c r="B108" s="4" t="s">
        <v>37</v>
      </c>
      <c r="C108" s="4" t="s">
        <v>38</v>
      </c>
      <c r="D108" s="4" t="s">
        <v>44</v>
      </c>
      <c r="E108" s="4" t="s">
        <v>52</v>
      </c>
      <c r="F108" s="4" t="s">
        <v>54</v>
      </c>
      <c r="G108" s="4" t="s">
        <v>25</v>
      </c>
      <c r="H108" s="4" t="s">
        <v>34</v>
      </c>
      <c r="I108" s="5">
        <v>44593</v>
      </c>
      <c r="J108" s="6">
        <v>0</v>
      </c>
      <c r="K108" s="6">
        <v>0</v>
      </c>
      <c r="L108" s="6">
        <v>3.1</v>
      </c>
      <c r="M108" s="6">
        <v>0.93</v>
      </c>
      <c r="N108" s="6">
        <v>3.1</v>
      </c>
      <c r="O108" s="6">
        <v>0.93</v>
      </c>
      <c r="P108" s="6">
        <v>0</v>
      </c>
      <c r="Q108" s="4" t="s">
        <v>26</v>
      </c>
      <c r="R108" s="4">
        <v>0</v>
      </c>
      <c r="S108" s="4" t="s">
        <v>126</v>
      </c>
      <c r="T108" s="4" t="s">
        <v>307</v>
      </c>
      <c r="U108" s="4">
        <v>0</v>
      </c>
      <c r="V108" s="4">
        <v>2</v>
      </c>
      <c r="W108" s="4">
        <v>74</v>
      </c>
    </row>
    <row r="109" spans="1:23" ht="11.25" customHeight="1" x14ac:dyDescent="0.3">
      <c r="A109" s="4" t="s">
        <v>21</v>
      </c>
      <c r="B109" s="4" t="s">
        <v>37</v>
      </c>
      <c r="C109" s="4" t="s">
        <v>38</v>
      </c>
      <c r="D109" s="4" t="s">
        <v>44</v>
      </c>
      <c r="E109" s="4" t="s">
        <v>52</v>
      </c>
      <c r="F109" s="4" t="s">
        <v>54</v>
      </c>
      <c r="G109" s="4" t="s">
        <v>25</v>
      </c>
      <c r="H109" s="4" t="s">
        <v>34</v>
      </c>
      <c r="I109" s="5">
        <v>44621</v>
      </c>
      <c r="J109" s="6">
        <v>0</v>
      </c>
      <c r="K109" s="6">
        <v>0</v>
      </c>
      <c r="L109" s="6">
        <v>33.869999999999997</v>
      </c>
      <c r="M109" s="6">
        <v>10.161</v>
      </c>
      <c r="N109" s="6">
        <v>33.869999999999997</v>
      </c>
      <c r="O109" s="6">
        <v>10.161</v>
      </c>
      <c r="P109" s="6">
        <v>0</v>
      </c>
      <c r="Q109" s="4" t="s">
        <v>26</v>
      </c>
      <c r="R109" s="4">
        <v>0</v>
      </c>
      <c r="S109" s="4" t="s">
        <v>127</v>
      </c>
      <c r="T109" s="4" t="s">
        <v>308</v>
      </c>
      <c r="U109" s="4">
        <v>0</v>
      </c>
      <c r="V109" s="4">
        <v>2</v>
      </c>
      <c r="W109" s="4">
        <v>74</v>
      </c>
    </row>
    <row r="110" spans="1:23" ht="11.25" customHeight="1" x14ac:dyDescent="0.3">
      <c r="A110" s="4" t="s">
        <v>21</v>
      </c>
      <c r="B110" s="4" t="s">
        <v>37</v>
      </c>
      <c r="C110" s="4" t="s">
        <v>38</v>
      </c>
      <c r="D110" s="4" t="s">
        <v>44</v>
      </c>
      <c r="E110" s="4" t="s">
        <v>52</v>
      </c>
      <c r="F110" s="4" t="s">
        <v>25</v>
      </c>
      <c r="G110" s="4" t="s">
        <v>25</v>
      </c>
      <c r="H110" s="4" t="s">
        <v>34</v>
      </c>
      <c r="I110" s="5">
        <v>44287</v>
      </c>
      <c r="J110" s="6">
        <v>0</v>
      </c>
      <c r="K110" s="6">
        <v>0</v>
      </c>
      <c r="L110" s="6">
        <v>9.7230000000000008</v>
      </c>
      <c r="M110" s="6">
        <v>9.3340800000000002</v>
      </c>
      <c r="N110" s="6">
        <v>9.7230000000000008</v>
      </c>
      <c r="O110" s="6">
        <v>9.3340800000000002</v>
      </c>
      <c r="P110" s="6">
        <v>0</v>
      </c>
      <c r="Q110" s="4" t="s">
        <v>26</v>
      </c>
      <c r="R110" s="4">
        <v>0</v>
      </c>
      <c r="S110" s="4" t="s">
        <v>116</v>
      </c>
      <c r="T110" s="4" t="s">
        <v>297</v>
      </c>
      <c r="U110" s="4">
        <v>0</v>
      </c>
      <c r="V110" s="4">
        <v>2</v>
      </c>
      <c r="W110" s="4">
        <v>74</v>
      </c>
    </row>
    <row r="111" spans="1:23" ht="11.25" customHeight="1" x14ac:dyDescent="0.3">
      <c r="A111" s="4" t="s">
        <v>21</v>
      </c>
      <c r="B111" s="4" t="s">
        <v>37</v>
      </c>
      <c r="C111" s="4" t="s">
        <v>38</v>
      </c>
      <c r="D111" s="4" t="s">
        <v>44</v>
      </c>
      <c r="E111" s="4" t="s">
        <v>52</v>
      </c>
      <c r="F111" s="4" t="s">
        <v>25</v>
      </c>
      <c r="G111" s="4" t="s">
        <v>25</v>
      </c>
      <c r="H111" s="4" t="s">
        <v>34</v>
      </c>
      <c r="I111" s="5">
        <v>44317</v>
      </c>
      <c r="J111" s="6">
        <v>0</v>
      </c>
      <c r="K111" s="6">
        <v>0</v>
      </c>
      <c r="L111" s="6">
        <v>5.8380000000000001</v>
      </c>
      <c r="M111" s="6">
        <v>5.6044799999999997</v>
      </c>
      <c r="N111" s="6">
        <v>5.8380000000000001</v>
      </c>
      <c r="O111" s="6">
        <v>5.6044799999999997</v>
      </c>
      <c r="P111" s="6">
        <v>0</v>
      </c>
      <c r="Q111" s="4" t="s">
        <v>26</v>
      </c>
      <c r="R111" s="4">
        <v>0</v>
      </c>
      <c r="S111" s="4" t="s">
        <v>117</v>
      </c>
      <c r="T111" s="4" t="s">
        <v>298</v>
      </c>
      <c r="U111" s="4">
        <v>0</v>
      </c>
      <c r="V111" s="4">
        <v>2</v>
      </c>
      <c r="W111" s="4">
        <v>74</v>
      </c>
    </row>
    <row r="112" spans="1:23" ht="11.25" customHeight="1" x14ac:dyDescent="0.3">
      <c r="A112" s="4" t="s">
        <v>21</v>
      </c>
      <c r="B112" s="4" t="s">
        <v>37</v>
      </c>
      <c r="C112" s="4" t="s">
        <v>38</v>
      </c>
      <c r="D112" s="4" t="s">
        <v>44</v>
      </c>
      <c r="E112" s="4" t="s">
        <v>52</v>
      </c>
      <c r="F112" s="4" t="s">
        <v>25</v>
      </c>
      <c r="G112" s="4" t="s">
        <v>25</v>
      </c>
      <c r="H112" s="4" t="s">
        <v>34</v>
      </c>
      <c r="I112" s="5">
        <v>44348</v>
      </c>
      <c r="J112" s="6">
        <v>0</v>
      </c>
      <c r="K112" s="6">
        <v>0</v>
      </c>
      <c r="L112" s="6">
        <v>11.494999999999999</v>
      </c>
      <c r="M112" s="6">
        <v>11.0352</v>
      </c>
      <c r="N112" s="6">
        <v>11.494999999999999</v>
      </c>
      <c r="O112" s="6">
        <v>11.0352</v>
      </c>
      <c r="P112" s="6">
        <v>0</v>
      </c>
      <c r="Q112" s="4" t="s">
        <v>26</v>
      </c>
      <c r="R112" s="4">
        <v>0</v>
      </c>
      <c r="S112" s="4" t="s">
        <v>118</v>
      </c>
      <c r="T112" s="4" t="s">
        <v>299</v>
      </c>
      <c r="U112" s="4">
        <v>0</v>
      </c>
      <c r="V112" s="4">
        <v>2</v>
      </c>
      <c r="W112" s="4">
        <v>74</v>
      </c>
    </row>
    <row r="113" spans="1:23" ht="11.25" customHeight="1" x14ac:dyDescent="0.3">
      <c r="A113" s="4" t="s">
        <v>21</v>
      </c>
      <c r="B113" s="4" t="s">
        <v>37</v>
      </c>
      <c r="C113" s="4" t="s">
        <v>38</v>
      </c>
      <c r="D113" s="4" t="s">
        <v>44</v>
      </c>
      <c r="E113" s="4" t="s">
        <v>52</v>
      </c>
      <c r="F113" s="4" t="s">
        <v>25</v>
      </c>
      <c r="G113" s="4" t="s">
        <v>25</v>
      </c>
      <c r="H113" s="4" t="s">
        <v>34</v>
      </c>
      <c r="I113" s="5">
        <v>44378</v>
      </c>
      <c r="J113" s="6">
        <v>0</v>
      </c>
      <c r="K113" s="6">
        <v>0</v>
      </c>
      <c r="L113" s="6">
        <v>26.024999999999999</v>
      </c>
      <c r="M113" s="6">
        <v>24.984000000000002</v>
      </c>
      <c r="N113" s="6">
        <v>26.024999999999999</v>
      </c>
      <c r="O113" s="6">
        <v>24.984000000000002</v>
      </c>
      <c r="P113" s="6">
        <v>0</v>
      </c>
      <c r="Q113" s="4" t="s">
        <v>26</v>
      </c>
      <c r="R113" s="4">
        <v>0</v>
      </c>
      <c r="S113" s="4" t="s">
        <v>119</v>
      </c>
      <c r="T113" s="4" t="s">
        <v>300</v>
      </c>
      <c r="U113" s="4">
        <v>0</v>
      </c>
      <c r="V113" s="4">
        <v>2</v>
      </c>
      <c r="W113" s="4">
        <v>74</v>
      </c>
    </row>
    <row r="114" spans="1:23" ht="11.25" customHeight="1" x14ac:dyDescent="0.3">
      <c r="A114" s="4" t="s">
        <v>21</v>
      </c>
      <c r="B114" s="4" t="s">
        <v>37</v>
      </c>
      <c r="C114" s="4" t="s">
        <v>38</v>
      </c>
      <c r="D114" s="4" t="s">
        <v>44</v>
      </c>
      <c r="E114" s="4" t="s">
        <v>52</v>
      </c>
      <c r="F114" s="4" t="s">
        <v>25</v>
      </c>
      <c r="G114" s="4" t="s">
        <v>25</v>
      </c>
      <c r="H114" s="4" t="s">
        <v>34</v>
      </c>
      <c r="I114" s="5">
        <v>44409</v>
      </c>
      <c r="J114" s="6">
        <v>0</v>
      </c>
      <c r="K114" s="6">
        <v>0</v>
      </c>
      <c r="L114" s="6">
        <v>25.484999999999999</v>
      </c>
      <c r="M114" s="6">
        <v>24.465599999999998</v>
      </c>
      <c r="N114" s="6">
        <v>25.484999999999999</v>
      </c>
      <c r="O114" s="6">
        <v>24.465599999999998</v>
      </c>
      <c r="P114" s="6">
        <v>0</v>
      </c>
      <c r="Q114" s="4" t="s">
        <v>26</v>
      </c>
      <c r="R114" s="4">
        <v>0</v>
      </c>
      <c r="S114" s="4" t="s">
        <v>120</v>
      </c>
      <c r="T114" s="4" t="s">
        <v>301</v>
      </c>
      <c r="U114" s="4">
        <v>0</v>
      </c>
      <c r="V114" s="4">
        <v>2</v>
      </c>
      <c r="W114" s="4">
        <v>74</v>
      </c>
    </row>
    <row r="115" spans="1:23" ht="11.25" customHeight="1" x14ac:dyDescent="0.3">
      <c r="A115" s="4" t="s">
        <v>21</v>
      </c>
      <c r="B115" s="4" t="s">
        <v>37</v>
      </c>
      <c r="C115" s="4" t="s">
        <v>38</v>
      </c>
      <c r="D115" s="4" t="s">
        <v>44</v>
      </c>
      <c r="E115" s="4" t="s">
        <v>52</v>
      </c>
      <c r="F115" s="4" t="s">
        <v>25</v>
      </c>
      <c r="G115" s="4" t="s">
        <v>25</v>
      </c>
      <c r="H115" s="4" t="s">
        <v>34</v>
      </c>
      <c r="I115" s="5">
        <v>44440</v>
      </c>
      <c r="J115" s="6">
        <v>0</v>
      </c>
      <c r="K115" s="6">
        <v>0</v>
      </c>
      <c r="L115" s="6">
        <v>23.448</v>
      </c>
      <c r="M115" s="6">
        <v>22.510079999999999</v>
      </c>
      <c r="N115" s="6">
        <v>23.448</v>
      </c>
      <c r="O115" s="6">
        <v>22.510079999999999</v>
      </c>
      <c r="P115" s="6">
        <v>0</v>
      </c>
      <c r="Q115" s="4" t="s">
        <v>26</v>
      </c>
      <c r="R115" s="4">
        <v>0</v>
      </c>
      <c r="S115" s="4" t="s">
        <v>121</v>
      </c>
      <c r="T115" s="4" t="s">
        <v>302</v>
      </c>
      <c r="U115" s="4">
        <v>0</v>
      </c>
      <c r="V115" s="4">
        <v>2</v>
      </c>
      <c r="W115" s="4">
        <v>74</v>
      </c>
    </row>
    <row r="116" spans="1:23" ht="11.25" customHeight="1" x14ac:dyDescent="0.3">
      <c r="A116" s="4" t="s">
        <v>21</v>
      </c>
      <c r="B116" s="4" t="s">
        <v>37</v>
      </c>
      <c r="C116" s="4" t="s">
        <v>38</v>
      </c>
      <c r="D116" s="4" t="s">
        <v>44</v>
      </c>
      <c r="E116" s="4" t="s">
        <v>52</v>
      </c>
      <c r="F116" s="4" t="s">
        <v>25</v>
      </c>
      <c r="G116" s="4" t="s">
        <v>25</v>
      </c>
      <c r="H116" s="4" t="s">
        <v>34</v>
      </c>
      <c r="I116" s="5">
        <v>44470</v>
      </c>
      <c r="J116" s="6">
        <v>0</v>
      </c>
      <c r="K116" s="6">
        <v>0</v>
      </c>
      <c r="L116" s="6">
        <v>12.372999999999999</v>
      </c>
      <c r="M116" s="6">
        <v>11.878080000000001</v>
      </c>
      <c r="N116" s="6">
        <v>12.372999999999999</v>
      </c>
      <c r="O116" s="6">
        <v>11.878080000000001</v>
      </c>
      <c r="P116" s="6">
        <v>0</v>
      </c>
      <c r="Q116" s="4" t="s">
        <v>26</v>
      </c>
      <c r="R116" s="4">
        <v>0</v>
      </c>
      <c r="S116" s="4" t="s">
        <v>122</v>
      </c>
      <c r="T116" s="4" t="s">
        <v>303</v>
      </c>
      <c r="U116" s="4">
        <v>0</v>
      </c>
      <c r="V116" s="4">
        <v>2</v>
      </c>
      <c r="W116" s="4">
        <v>74</v>
      </c>
    </row>
    <row r="117" spans="1:23" ht="11.25" customHeight="1" x14ac:dyDescent="0.3">
      <c r="A117" s="4" t="s">
        <v>21</v>
      </c>
      <c r="B117" s="4" t="s">
        <v>37</v>
      </c>
      <c r="C117" s="4" t="s">
        <v>38</v>
      </c>
      <c r="D117" s="4" t="s">
        <v>44</v>
      </c>
      <c r="E117" s="4" t="s">
        <v>52</v>
      </c>
      <c r="F117" s="4" t="s">
        <v>25</v>
      </c>
      <c r="G117" s="4" t="s">
        <v>25</v>
      </c>
      <c r="H117" s="4" t="s">
        <v>34</v>
      </c>
      <c r="I117" s="5">
        <v>44501</v>
      </c>
      <c r="J117" s="6">
        <v>0</v>
      </c>
      <c r="K117" s="6">
        <v>0</v>
      </c>
      <c r="L117" s="6">
        <v>10.742000000000001</v>
      </c>
      <c r="M117" s="6">
        <v>10.31232</v>
      </c>
      <c r="N117" s="6">
        <v>10.742000000000001</v>
      </c>
      <c r="O117" s="6">
        <v>10.31232</v>
      </c>
      <c r="P117" s="6">
        <v>0</v>
      </c>
      <c r="Q117" s="4" t="s">
        <v>26</v>
      </c>
      <c r="R117" s="4">
        <v>0</v>
      </c>
      <c r="S117" s="4" t="s">
        <v>123</v>
      </c>
      <c r="T117" s="4" t="s">
        <v>304</v>
      </c>
      <c r="U117" s="4">
        <v>0</v>
      </c>
      <c r="V117" s="4">
        <v>2</v>
      </c>
      <c r="W117" s="4">
        <v>74</v>
      </c>
    </row>
    <row r="118" spans="1:23" ht="11.25" customHeight="1" x14ac:dyDescent="0.3">
      <c r="A118" s="4" t="s">
        <v>21</v>
      </c>
      <c r="B118" s="4" t="s">
        <v>37</v>
      </c>
      <c r="C118" s="4" t="s">
        <v>38</v>
      </c>
      <c r="D118" s="4" t="s">
        <v>44</v>
      </c>
      <c r="E118" s="4" t="s">
        <v>52</v>
      </c>
      <c r="F118" s="4" t="s">
        <v>25</v>
      </c>
      <c r="G118" s="4" t="s">
        <v>25</v>
      </c>
      <c r="H118" s="4" t="s">
        <v>34</v>
      </c>
      <c r="I118" s="5">
        <v>44531</v>
      </c>
      <c r="J118" s="6">
        <v>0</v>
      </c>
      <c r="K118" s="6">
        <v>0</v>
      </c>
      <c r="L118" s="6">
        <v>7.7220000000000004</v>
      </c>
      <c r="M118" s="6">
        <v>7.4131200000000002</v>
      </c>
      <c r="N118" s="6">
        <v>7.7220000000000004</v>
      </c>
      <c r="O118" s="6">
        <v>7.4131200000000002</v>
      </c>
      <c r="P118" s="6">
        <v>0</v>
      </c>
      <c r="Q118" s="4" t="s">
        <v>26</v>
      </c>
      <c r="R118" s="4">
        <v>0</v>
      </c>
      <c r="S118" s="4" t="s">
        <v>124</v>
      </c>
      <c r="T118" s="4" t="s">
        <v>305</v>
      </c>
      <c r="U118" s="4">
        <v>0</v>
      </c>
      <c r="V118" s="4">
        <v>2</v>
      </c>
      <c r="W118" s="4">
        <v>74</v>
      </c>
    </row>
    <row r="119" spans="1:23" ht="11.25" customHeight="1" x14ac:dyDescent="0.3">
      <c r="A119" s="4" t="s">
        <v>21</v>
      </c>
      <c r="B119" s="4" t="s">
        <v>37</v>
      </c>
      <c r="C119" s="4" t="s">
        <v>38</v>
      </c>
      <c r="D119" s="4" t="s">
        <v>44</v>
      </c>
      <c r="E119" s="4" t="s">
        <v>52</v>
      </c>
      <c r="F119" s="4" t="s">
        <v>25</v>
      </c>
      <c r="G119" s="4" t="s">
        <v>25</v>
      </c>
      <c r="H119" s="4" t="s">
        <v>34</v>
      </c>
      <c r="I119" s="5">
        <v>44562</v>
      </c>
      <c r="J119" s="6">
        <v>0</v>
      </c>
      <c r="K119" s="6">
        <v>0</v>
      </c>
      <c r="L119" s="6">
        <v>13.231999999999999</v>
      </c>
      <c r="M119" s="6">
        <v>12.702719999999999</v>
      </c>
      <c r="N119" s="6">
        <v>13.231999999999999</v>
      </c>
      <c r="O119" s="6">
        <v>12.702719999999999</v>
      </c>
      <c r="P119" s="6">
        <v>0</v>
      </c>
      <c r="Q119" s="4" t="s">
        <v>26</v>
      </c>
      <c r="R119" s="4">
        <v>0</v>
      </c>
      <c r="S119" s="4" t="s">
        <v>125</v>
      </c>
      <c r="T119" s="4" t="s">
        <v>306</v>
      </c>
      <c r="U119" s="4">
        <v>0</v>
      </c>
      <c r="V119" s="4">
        <v>2</v>
      </c>
      <c r="W119" s="4">
        <v>74</v>
      </c>
    </row>
    <row r="120" spans="1:23" ht="11.25" customHeight="1" x14ac:dyDescent="0.3">
      <c r="A120" s="4" t="s">
        <v>21</v>
      </c>
      <c r="B120" s="4" t="s">
        <v>37</v>
      </c>
      <c r="C120" s="4" t="s">
        <v>38</v>
      </c>
      <c r="D120" s="4" t="s">
        <v>44</v>
      </c>
      <c r="E120" s="4" t="s">
        <v>52</v>
      </c>
      <c r="F120" s="4" t="s">
        <v>25</v>
      </c>
      <c r="G120" s="4" t="s">
        <v>25</v>
      </c>
      <c r="H120" s="4" t="s">
        <v>34</v>
      </c>
      <c r="I120" s="5">
        <v>44593</v>
      </c>
      <c r="J120" s="6">
        <v>0</v>
      </c>
      <c r="K120" s="6">
        <v>0</v>
      </c>
      <c r="L120" s="6">
        <v>8.24</v>
      </c>
      <c r="M120" s="6">
        <v>7.9104000000000001</v>
      </c>
      <c r="N120" s="6">
        <v>8.24</v>
      </c>
      <c r="O120" s="6">
        <v>7.9104000000000001</v>
      </c>
      <c r="P120" s="6">
        <v>0</v>
      </c>
      <c r="Q120" s="4" t="s">
        <v>26</v>
      </c>
      <c r="R120" s="4">
        <v>0</v>
      </c>
      <c r="S120" s="4" t="s">
        <v>126</v>
      </c>
      <c r="T120" s="4" t="s">
        <v>307</v>
      </c>
      <c r="U120" s="4">
        <v>0</v>
      </c>
      <c r="V120" s="4">
        <v>2</v>
      </c>
      <c r="W120" s="4">
        <v>74</v>
      </c>
    </row>
    <row r="121" spans="1:23" ht="11.25" customHeight="1" x14ac:dyDescent="0.3">
      <c r="A121" s="4" t="s">
        <v>21</v>
      </c>
      <c r="B121" s="4" t="s">
        <v>37</v>
      </c>
      <c r="C121" s="4" t="s">
        <v>38</v>
      </c>
      <c r="D121" s="4" t="s">
        <v>44</v>
      </c>
      <c r="E121" s="4" t="s">
        <v>52</v>
      </c>
      <c r="F121" s="4" t="s">
        <v>25</v>
      </c>
      <c r="G121" s="4" t="s">
        <v>25</v>
      </c>
      <c r="H121" s="4" t="s">
        <v>34</v>
      </c>
      <c r="I121" s="5">
        <v>44621</v>
      </c>
      <c r="J121" s="6">
        <v>0</v>
      </c>
      <c r="K121" s="6">
        <v>0</v>
      </c>
      <c r="L121" s="6">
        <v>38.784999999999997</v>
      </c>
      <c r="M121" s="6">
        <v>37.233600000000003</v>
      </c>
      <c r="N121" s="6">
        <v>38.784999999999997</v>
      </c>
      <c r="O121" s="6">
        <v>37.233600000000003</v>
      </c>
      <c r="P121" s="6">
        <v>0</v>
      </c>
      <c r="Q121" s="4" t="s">
        <v>26</v>
      </c>
      <c r="R121" s="4">
        <v>0</v>
      </c>
      <c r="S121" s="4" t="s">
        <v>127</v>
      </c>
      <c r="T121" s="4" t="s">
        <v>308</v>
      </c>
      <c r="U121" s="4">
        <v>0</v>
      </c>
      <c r="V121" s="4">
        <v>2</v>
      </c>
      <c r="W121" s="4">
        <v>74</v>
      </c>
    </row>
    <row r="122" spans="1:23" ht="11.25" customHeight="1" x14ac:dyDescent="0.3">
      <c r="A122" s="4" t="s">
        <v>21</v>
      </c>
      <c r="B122" s="4" t="s">
        <v>37</v>
      </c>
      <c r="C122" s="4" t="s">
        <v>38</v>
      </c>
      <c r="D122" s="4" t="s">
        <v>44</v>
      </c>
      <c r="E122" s="4" t="s">
        <v>52</v>
      </c>
      <c r="F122" s="4" t="s">
        <v>25</v>
      </c>
      <c r="G122" s="4" t="s">
        <v>25</v>
      </c>
      <c r="H122" s="4" t="s">
        <v>25</v>
      </c>
      <c r="I122" s="5">
        <v>44287</v>
      </c>
      <c r="J122" s="6">
        <v>217</v>
      </c>
      <c r="K122" s="6">
        <v>208.32</v>
      </c>
      <c r="L122" s="6">
        <v>0</v>
      </c>
      <c r="M122" s="6">
        <v>0</v>
      </c>
      <c r="N122" s="6">
        <v>0</v>
      </c>
      <c r="O122" s="6">
        <v>0</v>
      </c>
      <c r="P122" s="6">
        <v>2</v>
      </c>
      <c r="Q122" s="4" t="s">
        <v>26</v>
      </c>
      <c r="R122" s="4">
        <v>0</v>
      </c>
      <c r="S122" s="4" t="s">
        <v>128</v>
      </c>
      <c r="U122" s="4">
        <v>50</v>
      </c>
      <c r="V122" s="4">
        <v>0</v>
      </c>
      <c r="W122" s="4">
        <v>0</v>
      </c>
    </row>
    <row r="123" spans="1:23" ht="11.25" customHeight="1" x14ac:dyDescent="0.3">
      <c r="A123" s="4" t="s">
        <v>21</v>
      </c>
      <c r="B123" s="4" t="s">
        <v>37</v>
      </c>
      <c r="C123" s="4" t="s">
        <v>38</v>
      </c>
      <c r="D123" s="4" t="s">
        <v>44</v>
      </c>
      <c r="E123" s="4" t="s">
        <v>52</v>
      </c>
      <c r="F123" s="4" t="s">
        <v>25</v>
      </c>
      <c r="G123" s="4" t="s">
        <v>25</v>
      </c>
      <c r="H123" s="4" t="s">
        <v>25</v>
      </c>
      <c r="I123" s="5">
        <v>44317</v>
      </c>
      <c r="J123" s="6">
        <v>226</v>
      </c>
      <c r="K123" s="6">
        <v>216.96</v>
      </c>
      <c r="L123" s="6">
        <v>0</v>
      </c>
      <c r="M123" s="6">
        <v>0</v>
      </c>
      <c r="N123" s="6">
        <v>0</v>
      </c>
      <c r="O123" s="6">
        <v>0</v>
      </c>
      <c r="P123" s="6">
        <v>2</v>
      </c>
      <c r="Q123" s="4" t="s">
        <v>26</v>
      </c>
      <c r="R123" s="4">
        <v>0</v>
      </c>
      <c r="S123" s="4" t="s">
        <v>129</v>
      </c>
      <c r="U123" s="4">
        <v>50</v>
      </c>
      <c r="V123" s="4">
        <v>0</v>
      </c>
      <c r="W123" s="4">
        <v>0</v>
      </c>
    </row>
    <row r="124" spans="1:23" ht="11.25" customHeight="1" x14ac:dyDescent="0.3">
      <c r="A124" s="4" t="s">
        <v>21</v>
      </c>
      <c r="B124" s="4" t="s">
        <v>37</v>
      </c>
      <c r="C124" s="4" t="s">
        <v>38</v>
      </c>
      <c r="D124" s="4" t="s">
        <v>44</v>
      </c>
      <c r="E124" s="4" t="s">
        <v>52</v>
      </c>
      <c r="F124" s="4" t="s">
        <v>25</v>
      </c>
      <c r="G124" s="4" t="s">
        <v>25</v>
      </c>
      <c r="H124" s="4" t="s">
        <v>25</v>
      </c>
      <c r="I124" s="5">
        <v>44348</v>
      </c>
      <c r="J124" s="6">
        <v>224</v>
      </c>
      <c r="K124" s="6">
        <v>215.04</v>
      </c>
      <c r="L124" s="6">
        <v>0</v>
      </c>
      <c r="M124" s="6">
        <v>0</v>
      </c>
      <c r="N124" s="6">
        <v>0</v>
      </c>
      <c r="O124" s="6">
        <v>0</v>
      </c>
      <c r="P124" s="6">
        <v>2</v>
      </c>
      <c r="Q124" s="4" t="s">
        <v>26</v>
      </c>
      <c r="R124" s="4">
        <v>0</v>
      </c>
      <c r="S124" s="4" t="s">
        <v>130</v>
      </c>
      <c r="U124" s="4">
        <v>50</v>
      </c>
      <c r="V124" s="4">
        <v>0</v>
      </c>
      <c r="W124" s="4">
        <v>0</v>
      </c>
    </row>
    <row r="125" spans="1:23" ht="11.25" customHeight="1" x14ac:dyDescent="0.3">
      <c r="A125" s="4" t="s">
        <v>21</v>
      </c>
      <c r="B125" s="4" t="s">
        <v>37</v>
      </c>
      <c r="C125" s="4" t="s">
        <v>38</v>
      </c>
      <c r="D125" s="4" t="s">
        <v>44</v>
      </c>
      <c r="E125" s="4" t="s">
        <v>52</v>
      </c>
      <c r="F125" s="4" t="s">
        <v>25</v>
      </c>
      <c r="G125" s="4" t="s">
        <v>25</v>
      </c>
      <c r="H125" s="4" t="s">
        <v>25</v>
      </c>
      <c r="I125" s="5">
        <v>44378</v>
      </c>
      <c r="J125" s="6">
        <v>230</v>
      </c>
      <c r="K125" s="6">
        <v>220.8</v>
      </c>
      <c r="L125" s="6">
        <v>0</v>
      </c>
      <c r="M125" s="6">
        <v>0</v>
      </c>
      <c r="N125" s="6">
        <v>0</v>
      </c>
      <c r="O125" s="6">
        <v>0</v>
      </c>
      <c r="P125" s="6">
        <v>2</v>
      </c>
      <c r="Q125" s="4" t="s">
        <v>26</v>
      </c>
      <c r="R125" s="4">
        <v>0</v>
      </c>
      <c r="S125" s="4" t="s">
        <v>131</v>
      </c>
      <c r="U125" s="4">
        <v>50</v>
      </c>
      <c r="V125" s="4">
        <v>0</v>
      </c>
      <c r="W125" s="4">
        <v>0</v>
      </c>
    </row>
    <row r="126" spans="1:23" ht="11.25" customHeight="1" x14ac:dyDescent="0.3">
      <c r="A126" s="4" t="s">
        <v>21</v>
      </c>
      <c r="B126" s="4" t="s">
        <v>37</v>
      </c>
      <c r="C126" s="4" t="s">
        <v>38</v>
      </c>
      <c r="D126" s="4" t="s">
        <v>44</v>
      </c>
      <c r="E126" s="4" t="s">
        <v>52</v>
      </c>
      <c r="F126" s="4" t="s">
        <v>25</v>
      </c>
      <c r="G126" s="4" t="s">
        <v>25</v>
      </c>
      <c r="H126" s="4" t="s">
        <v>25</v>
      </c>
      <c r="I126" s="5">
        <v>44409</v>
      </c>
      <c r="J126" s="6">
        <v>272</v>
      </c>
      <c r="K126" s="6">
        <v>261.12</v>
      </c>
      <c r="L126" s="6">
        <v>0</v>
      </c>
      <c r="M126" s="6">
        <v>0</v>
      </c>
      <c r="N126" s="6">
        <v>0</v>
      </c>
      <c r="O126" s="6">
        <v>0</v>
      </c>
      <c r="P126" s="6">
        <v>2</v>
      </c>
      <c r="Q126" s="4" t="s">
        <v>26</v>
      </c>
      <c r="R126" s="4">
        <v>0</v>
      </c>
      <c r="S126" s="4" t="s">
        <v>132</v>
      </c>
      <c r="U126" s="4">
        <v>50</v>
      </c>
      <c r="V126" s="4">
        <v>0</v>
      </c>
      <c r="W126" s="4">
        <v>0</v>
      </c>
    </row>
    <row r="127" spans="1:23" ht="11.25" customHeight="1" x14ac:dyDescent="0.3">
      <c r="A127" s="4" t="s">
        <v>21</v>
      </c>
      <c r="B127" s="4" t="s">
        <v>37</v>
      </c>
      <c r="C127" s="4" t="s">
        <v>38</v>
      </c>
      <c r="D127" s="4" t="s">
        <v>44</v>
      </c>
      <c r="E127" s="4" t="s">
        <v>52</v>
      </c>
      <c r="F127" s="4" t="s">
        <v>25</v>
      </c>
      <c r="G127" s="4" t="s">
        <v>25</v>
      </c>
      <c r="H127" s="4" t="s">
        <v>25</v>
      </c>
      <c r="I127" s="5">
        <v>44440</v>
      </c>
      <c r="J127" s="6">
        <v>272</v>
      </c>
      <c r="K127" s="6">
        <v>261.12</v>
      </c>
      <c r="L127" s="6">
        <v>0</v>
      </c>
      <c r="M127" s="6">
        <v>0</v>
      </c>
      <c r="N127" s="6">
        <v>0</v>
      </c>
      <c r="O127" s="6">
        <v>0</v>
      </c>
      <c r="P127" s="6">
        <v>2</v>
      </c>
      <c r="Q127" s="4" t="s">
        <v>26</v>
      </c>
      <c r="R127" s="4">
        <v>0</v>
      </c>
      <c r="S127" s="4" t="s">
        <v>133</v>
      </c>
      <c r="U127" s="4">
        <v>50</v>
      </c>
      <c r="V127" s="4">
        <v>0</v>
      </c>
      <c r="W127" s="4">
        <v>0</v>
      </c>
    </row>
    <row r="128" spans="1:23" ht="11.25" customHeight="1" x14ac:dyDescent="0.3">
      <c r="A128" s="4" t="s">
        <v>21</v>
      </c>
      <c r="B128" s="4" t="s">
        <v>37</v>
      </c>
      <c r="C128" s="4" t="s">
        <v>38</v>
      </c>
      <c r="D128" s="4" t="s">
        <v>44</v>
      </c>
      <c r="E128" s="4" t="s">
        <v>52</v>
      </c>
      <c r="F128" s="4" t="s">
        <v>25</v>
      </c>
      <c r="G128" s="4" t="s">
        <v>25</v>
      </c>
      <c r="H128" s="4" t="s">
        <v>25</v>
      </c>
      <c r="I128" s="5">
        <v>44470</v>
      </c>
      <c r="J128" s="6">
        <v>269</v>
      </c>
      <c r="K128" s="6">
        <v>258.24</v>
      </c>
      <c r="L128" s="6">
        <v>0</v>
      </c>
      <c r="M128" s="6">
        <v>0</v>
      </c>
      <c r="N128" s="6">
        <v>0</v>
      </c>
      <c r="O128" s="6">
        <v>0</v>
      </c>
      <c r="P128" s="6">
        <v>2</v>
      </c>
      <c r="Q128" s="4" t="s">
        <v>26</v>
      </c>
      <c r="R128" s="4">
        <v>0</v>
      </c>
      <c r="S128" s="4" t="s">
        <v>134</v>
      </c>
      <c r="U128" s="4">
        <v>50</v>
      </c>
      <c r="V128" s="4">
        <v>0</v>
      </c>
      <c r="W128" s="4">
        <v>0</v>
      </c>
    </row>
    <row r="129" spans="1:23" ht="11.25" customHeight="1" x14ac:dyDescent="0.3">
      <c r="A129" s="4" t="s">
        <v>21</v>
      </c>
      <c r="B129" s="4" t="s">
        <v>37</v>
      </c>
      <c r="C129" s="4" t="s">
        <v>38</v>
      </c>
      <c r="D129" s="4" t="s">
        <v>44</v>
      </c>
      <c r="E129" s="4" t="s">
        <v>52</v>
      </c>
      <c r="F129" s="4" t="s">
        <v>25</v>
      </c>
      <c r="G129" s="4" t="s">
        <v>25</v>
      </c>
      <c r="H129" s="4" t="s">
        <v>25</v>
      </c>
      <c r="I129" s="5">
        <v>44501</v>
      </c>
      <c r="J129" s="6">
        <v>273</v>
      </c>
      <c r="K129" s="6">
        <v>262.08</v>
      </c>
      <c r="L129" s="6">
        <v>0</v>
      </c>
      <c r="M129" s="6">
        <v>0</v>
      </c>
      <c r="N129" s="6">
        <v>0</v>
      </c>
      <c r="O129" s="6">
        <v>0</v>
      </c>
      <c r="P129" s="6">
        <v>2</v>
      </c>
      <c r="Q129" s="4" t="s">
        <v>26</v>
      </c>
      <c r="R129" s="4">
        <v>0</v>
      </c>
      <c r="S129" s="4" t="s">
        <v>135</v>
      </c>
      <c r="U129" s="4">
        <v>50</v>
      </c>
      <c r="V129" s="4">
        <v>0</v>
      </c>
      <c r="W129" s="4">
        <v>0</v>
      </c>
    </row>
    <row r="130" spans="1:23" ht="11.25" customHeight="1" x14ac:dyDescent="0.3">
      <c r="A130" s="4" t="s">
        <v>21</v>
      </c>
      <c r="B130" s="4" t="s">
        <v>37</v>
      </c>
      <c r="C130" s="4" t="s">
        <v>38</v>
      </c>
      <c r="D130" s="4" t="s">
        <v>44</v>
      </c>
      <c r="E130" s="4" t="s">
        <v>52</v>
      </c>
      <c r="F130" s="4" t="s">
        <v>25</v>
      </c>
      <c r="G130" s="4" t="s">
        <v>25</v>
      </c>
      <c r="H130" s="4" t="s">
        <v>25</v>
      </c>
      <c r="I130" s="5">
        <v>44531</v>
      </c>
      <c r="J130" s="6">
        <v>269</v>
      </c>
      <c r="K130" s="6">
        <v>258.24</v>
      </c>
      <c r="L130" s="6">
        <v>0</v>
      </c>
      <c r="M130" s="6">
        <v>0</v>
      </c>
      <c r="N130" s="6">
        <v>0</v>
      </c>
      <c r="O130" s="6">
        <v>0</v>
      </c>
      <c r="P130" s="6">
        <v>2</v>
      </c>
      <c r="Q130" s="4" t="s">
        <v>26</v>
      </c>
      <c r="R130" s="4">
        <v>0</v>
      </c>
      <c r="S130" s="4" t="s">
        <v>136</v>
      </c>
      <c r="U130" s="4">
        <v>50</v>
      </c>
      <c r="V130" s="4">
        <v>0</v>
      </c>
      <c r="W130" s="4">
        <v>0</v>
      </c>
    </row>
    <row r="131" spans="1:23" ht="11.25" customHeight="1" x14ac:dyDescent="0.3">
      <c r="A131" s="4" t="s">
        <v>21</v>
      </c>
      <c r="B131" s="4" t="s">
        <v>37</v>
      </c>
      <c r="C131" s="4" t="s">
        <v>38</v>
      </c>
      <c r="D131" s="4" t="s">
        <v>44</v>
      </c>
      <c r="E131" s="4" t="s">
        <v>52</v>
      </c>
      <c r="F131" s="4" t="s">
        <v>25</v>
      </c>
      <c r="G131" s="4" t="s">
        <v>25</v>
      </c>
      <c r="H131" s="4" t="s">
        <v>25</v>
      </c>
      <c r="I131" s="5">
        <v>44562</v>
      </c>
      <c r="J131" s="6">
        <v>269</v>
      </c>
      <c r="K131" s="6">
        <v>258.24</v>
      </c>
      <c r="L131" s="6">
        <v>0</v>
      </c>
      <c r="M131" s="6">
        <v>0</v>
      </c>
      <c r="N131" s="6">
        <v>0</v>
      </c>
      <c r="O131" s="6">
        <v>0</v>
      </c>
      <c r="P131" s="6">
        <v>2</v>
      </c>
      <c r="Q131" s="4" t="s">
        <v>26</v>
      </c>
      <c r="R131" s="4">
        <v>0</v>
      </c>
      <c r="S131" s="4" t="s">
        <v>137</v>
      </c>
      <c r="U131" s="4">
        <v>50</v>
      </c>
      <c r="V131" s="4">
        <v>0</v>
      </c>
      <c r="W131" s="4">
        <v>0</v>
      </c>
    </row>
    <row r="132" spans="1:23" ht="11.25" customHeight="1" x14ac:dyDescent="0.3">
      <c r="A132" s="4" t="s">
        <v>21</v>
      </c>
      <c r="B132" s="4" t="s">
        <v>37</v>
      </c>
      <c r="C132" s="4" t="s">
        <v>38</v>
      </c>
      <c r="D132" s="4" t="s">
        <v>44</v>
      </c>
      <c r="E132" s="4" t="s">
        <v>52</v>
      </c>
      <c r="F132" s="4" t="s">
        <v>25</v>
      </c>
      <c r="G132" s="4" t="s">
        <v>25</v>
      </c>
      <c r="H132" s="4" t="s">
        <v>25</v>
      </c>
      <c r="I132" s="5">
        <v>44593</v>
      </c>
      <c r="J132" s="6">
        <v>269</v>
      </c>
      <c r="K132" s="6">
        <v>258.24</v>
      </c>
      <c r="L132" s="6">
        <v>0</v>
      </c>
      <c r="M132" s="6">
        <v>0</v>
      </c>
      <c r="N132" s="6">
        <v>0</v>
      </c>
      <c r="O132" s="6">
        <v>0</v>
      </c>
      <c r="P132" s="6">
        <v>2</v>
      </c>
      <c r="Q132" s="4" t="s">
        <v>26</v>
      </c>
      <c r="R132" s="4">
        <v>0</v>
      </c>
      <c r="S132" s="4" t="s">
        <v>138</v>
      </c>
      <c r="U132" s="4">
        <v>50</v>
      </c>
      <c r="V132" s="4">
        <v>0</v>
      </c>
      <c r="W132" s="4">
        <v>0</v>
      </c>
    </row>
    <row r="133" spans="1:23" ht="11.25" customHeight="1" x14ac:dyDescent="0.3">
      <c r="A133" s="4" t="s">
        <v>21</v>
      </c>
      <c r="B133" s="4" t="s">
        <v>37</v>
      </c>
      <c r="C133" s="4" t="s">
        <v>38</v>
      </c>
      <c r="D133" s="4" t="s">
        <v>44</v>
      </c>
      <c r="E133" s="4" t="s">
        <v>52</v>
      </c>
      <c r="F133" s="4" t="s">
        <v>25</v>
      </c>
      <c r="G133" s="4" t="s">
        <v>25</v>
      </c>
      <c r="H133" s="4" t="s">
        <v>25</v>
      </c>
      <c r="I133" s="5">
        <v>44621</v>
      </c>
      <c r="J133" s="6">
        <v>274</v>
      </c>
      <c r="K133" s="6">
        <v>263.04000000000002</v>
      </c>
      <c r="L133" s="6">
        <v>0</v>
      </c>
      <c r="M133" s="6">
        <v>0</v>
      </c>
      <c r="N133" s="6">
        <v>0</v>
      </c>
      <c r="O133" s="6">
        <v>0</v>
      </c>
      <c r="P133" s="6">
        <v>2</v>
      </c>
      <c r="Q133" s="4" t="s">
        <v>26</v>
      </c>
      <c r="R133" s="4">
        <v>0</v>
      </c>
      <c r="S133" s="4" t="s">
        <v>139</v>
      </c>
      <c r="U133" s="4">
        <v>50</v>
      </c>
      <c r="V133" s="4">
        <v>0</v>
      </c>
      <c r="W133" s="4">
        <v>0</v>
      </c>
    </row>
    <row r="134" spans="1:23" ht="11.25" customHeight="1" x14ac:dyDescent="0.3">
      <c r="A134" s="4" t="s">
        <v>21</v>
      </c>
      <c r="B134" s="4" t="s">
        <v>37</v>
      </c>
      <c r="C134" s="4" t="s">
        <v>38</v>
      </c>
      <c r="D134" s="4" t="s">
        <v>44</v>
      </c>
      <c r="E134" s="4" t="s">
        <v>52</v>
      </c>
      <c r="F134" s="4" t="s">
        <v>25</v>
      </c>
      <c r="G134" s="4" t="s">
        <v>25</v>
      </c>
      <c r="H134" s="4" t="s">
        <v>39</v>
      </c>
      <c r="I134" s="5">
        <v>44287</v>
      </c>
      <c r="J134" s="6">
        <v>0</v>
      </c>
      <c r="K134" s="6">
        <v>0</v>
      </c>
      <c r="L134" s="6">
        <v>0.34200000000000003</v>
      </c>
      <c r="M134" s="6">
        <v>0.32832</v>
      </c>
      <c r="N134" s="6">
        <v>0.34200000000000003</v>
      </c>
      <c r="O134" s="6">
        <v>0.32832</v>
      </c>
      <c r="P134" s="6">
        <v>0</v>
      </c>
      <c r="Q134" s="4" t="s">
        <v>26</v>
      </c>
      <c r="R134" s="4">
        <v>0</v>
      </c>
      <c r="S134" s="4" t="s">
        <v>140</v>
      </c>
      <c r="T134" s="4" t="s">
        <v>309</v>
      </c>
      <c r="U134" s="4">
        <v>0</v>
      </c>
      <c r="V134" s="4">
        <v>1</v>
      </c>
      <c r="W134" s="4">
        <v>73</v>
      </c>
    </row>
    <row r="135" spans="1:23" ht="11.25" customHeight="1" x14ac:dyDescent="0.3">
      <c r="A135" s="4" t="s">
        <v>21</v>
      </c>
      <c r="B135" s="4" t="s">
        <v>37</v>
      </c>
      <c r="C135" s="4" t="s">
        <v>38</v>
      </c>
      <c r="D135" s="4" t="s">
        <v>44</v>
      </c>
      <c r="E135" s="4" t="s">
        <v>52</v>
      </c>
      <c r="F135" s="4" t="s">
        <v>25</v>
      </c>
      <c r="G135" s="4" t="s">
        <v>25</v>
      </c>
      <c r="H135" s="4" t="s">
        <v>39</v>
      </c>
      <c r="I135" s="5">
        <v>44317</v>
      </c>
      <c r="J135" s="6">
        <v>0</v>
      </c>
      <c r="K135" s="6">
        <v>0</v>
      </c>
      <c r="L135" s="6">
        <v>0.33</v>
      </c>
      <c r="M135" s="6">
        <v>0.31680000000000003</v>
      </c>
      <c r="N135" s="6">
        <v>0.33</v>
      </c>
      <c r="O135" s="6">
        <v>0.31680000000000003</v>
      </c>
      <c r="P135" s="6">
        <v>0</v>
      </c>
      <c r="Q135" s="4" t="s">
        <v>26</v>
      </c>
      <c r="R135" s="4">
        <v>0</v>
      </c>
      <c r="S135" s="4" t="s">
        <v>141</v>
      </c>
      <c r="T135" s="4" t="s">
        <v>310</v>
      </c>
      <c r="U135" s="4">
        <v>0</v>
      </c>
      <c r="V135" s="4">
        <v>1</v>
      </c>
      <c r="W135" s="4">
        <v>73</v>
      </c>
    </row>
    <row r="136" spans="1:23" ht="11.25" customHeight="1" x14ac:dyDescent="0.3">
      <c r="A136" s="4" t="s">
        <v>21</v>
      </c>
      <c r="B136" s="4" t="s">
        <v>37</v>
      </c>
      <c r="C136" s="4" t="s">
        <v>38</v>
      </c>
      <c r="D136" s="4" t="s">
        <v>44</v>
      </c>
      <c r="E136" s="4" t="s">
        <v>52</v>
      </c>
      <c r="F136" s="4" t="s">
        <v>25</v>
      </c>
      <c r="G136" s="4" t="s">
        <v>25</v>
      </c>
      <c r="H136" s="4" t="s">
        <v>39</v>
      </c>
      <c r="I136" s="5">
        <v>44348</v>
      </c>
      <c r="J136" s="6">
        <v>0</v>
      </c>
      <c r="K136" s="6">
        <v>0</v>
      </c>
      <c r="L136" s="6">
        <v>0.375</v>
      </c>
      <c r="M136" s="6">
        <v>0.36</v>
      </c>
      <c r="N136" s="6">
        <v>0.375</v>
      </c>
      <c r="O136" s="6">
        <v>0.36</v>
      </c>
      <c r="P136" s="6">
        <v>0</v>
      </c>
      <c r="Q136" s="4" t="s">
        <v>26</v>
      </c>
      <c r="R136" s="4">
        <v>0</v>
      </c>
      <c r="S136" s="4" t="s">
        <v>142</v>
      </c>
      <c r="T136" s="4" t="s">
        <v>311</v>
      </c>
      <c r="U136" s="4">
        <v>0</v>
      </c>
      <c r="V136" s="4">
        <v>1</v>
      </c>
      <c r="W136" s="4">
        <v>73</v>
      </c>
    </row>
    <row r="137" spans="1:23" ht="11.25" customHeight="1" x14ac:dyDescent="0.3">
      <c r="A137" s="4" t="s">
        <v>21</v>
      </c>
      <c r="B137" s="4" t="s">
        <v>37</v>
      </c>
      <c r="C137" s="4" t="s">
        <v>38</v>
      </c>
      <c r="D137" s="4" t="s">
        <v>44</v>
      </c>
      <c r="E137" s="4" t="s">
        <v>52</v>
      </c>
      <c r="F137" s="4" t="s">
        <v>25</v>
      </c>
      <c r="G137" s="4" t="s">
        <v>25</v>
      </c>
      <c r="H137" s="4" t="s">
        <v>39</v>
      </c>
      <c r="I137" s="5">
        <v>44378</v>
      </c>
      <c r="J137" s="6">
        <v>0</v>
      </c>
      <c r="K137" s="6">
        <v>0</v>
      </c>
      <c r="L137" s="6">
        <v>0.42399999999999999</v>
      </c>
      <c r="M137" s="6">
        <v>0.40704000000000001</v>
      </c>
      <c r="N137" s="6">
        <v>0.42399999999999999</v>
      </c>
      <c r="O137" s="6">
        <v>0.40704000000000001</v>
      </c>
      <c r="P137" s="6">
        <v>0</v>
      </c>
      <c r="Q137" s="4" t="s">
        <v>26</v>
      </c>
      <c r="R137" s="4">
        <v>0</v>
      </c>
      <c r="S137" s="4" t="s">
        <v>143</v>
      </c>
      <c r="T137" s="4" t="s">
        <v>312</v>
      </c>
      <c r="U137" s="4">
        <v>0</v>
      </c>
      <c r="V137" s="4">
        <v>1</v>
      </c>
      <c r="W137" s="4">
        <v>73</v>
      </c>
    </row>
    <row r="138" spans="1:23" ht="11.25" customHeight="1" x14ac:dyDescent="0.3">
      <c r="A138" s="4" t="s">
        <v>21</v>
      </c>
      <c r="B138" s="4" t="s">
        <v>37</v>
      </c>
      <c r="C138" s="4" t="s">
        <v>38</v>
      </c>
      <c r="D138" s="4" t="s">
        <v>44</v>
      </c>
      <c r="E138" s="4" t="s">
        <v>52</v>
      </c>
      <c r="F138" s="4" t="s">
        <v>25</v>
      </c>
      <c r="G138" s="4" t="s">
        <v>25</v>
      </c>
      <c r="H138" s="4" t="s">
        <v>39</v>
      </c>
      <c r="I138" s="5">
        <v>44409</v>
      </c>
      <c r="J138" s="6">
        <v>0</v>
      </c>
      <c r="K138" s="6">
        <v>0</v>
      </c>
      <c r="L138" s="6">
        <v>0.45700000000000002</v>
      </c>
      <c r="M138" s="6">
        <v>0.43872</v>
      </c>
      <c r="N138" s="6">
        <v>0.45700000000000002</v>
      </c>
      <c r="O138" s="6">
        <v>0.43872</v>
      </c>
      <c r="P138" s="6">
        <v>0</v>
      </c>
      <c r="Q138" s="4" t="s">
        <v>26</v>
      </c>
      <c r="R138" s="4">
        <v>0</v>
      </c>
      <c r="S138" s="4" t="s">
        <v>144</v>
      </c>
      <c r="T138" s="4" t="s">
        <v>313</v>
      </c>
      <c r="U138" s="4">
        <v>0</v>
      </c>
      <c r="V138" s="4">
        <v>1</v>
      </c>
      <c r="W138" s="4">
        <v>73</v>
      </c>
    </row>
    <row r="139" spans="1:23" ht="11.25" customHeight="1" x14ac:dyDescent="0.3">
      <c r="A139" s="4" t="s">
        <v>21</v>
      </c>
      <c r="B139" s="4" t="s">
        <v>37</v>
      </c>
      <c r="C139" s="4" t="s">
        <v>38</v>
      </c>
      <c r="D139" s="4" t="s">
        <v>44</v>
      </c>
      <c r="E139" s="4" t="s">
        <v>52</v>
      </c>
      <c r="F139" s="4" t="s">
        <v>25</v>
      </c>
      <c r="G139" s="4" t="s">
        <v>25</v>
      </c>
      <c r="H139" s="4" t="s">
        <v>39</v>
      </c>
      <c r="I139" s="5">
        <v>44440</v>
      </c>
      <c r="J139" s="6">
        <v>0</v>
      </c>
      <c r="K139" s="6">
        <v>0</v>
      </c>
      <c r="L139" s="6">
        <v>0.39700000000000002</v>
      </c>
      <c r="M139" s="6">
        <v>0.38112000000000001</v>
      </c>
      <c r="N139" s="6">
        <v>0.39700000000000002</v>
      </c>
      <c r="O139" s="6">
        <v>0.38112000000000001</v>
      </c>
      <c r="P139" s="6">
        <v>0</v>
      </c>
      <c r="Q139" s="4" t="s">
        <v>26</v>
      </c>
      <c r="R139" s="4">
        <v>0</v>
      </c>
      <c r="S139" s="4" t="s">
        <v>145</v>
      </c>
      <c r="T139" s="4" t="s">
        <v>314</v>
      </c>
      <c r="U139" s="4">
        <v>0</v>
      </c>
      <c r="V139" s="4">
        <v>1</v>
      </c>
      <c r="W139" s="4">
        <v>73</v>
      </c>
    </row>
    <row r="140" spans="1:23" ht="11.25" customHeight="1" x14ac:dyDescent="0.3">
      <c r="A140" s="4" t="s">
        <v>21</v>
      </c>
      <c r="B140" s="4" t="s">
        <v>37</v>
      </c>
      <c r="C140" s="4" t="s">
        <v>38</v>
      </c>
      <c r="D140" s="4" t="s">
        <v>44</v>
      </c>
      <c r="E140" s="4" t="s">
        <v>52</v>
      </c>
      <c r="F140" s="4" t="s">
        <v>25</v>
      </c>
      <c r="G140" s="4" t="s">
        <v>25</v>
      </c>
      <c r="H140" s="4" t="s">
        <v>39</v>
      </c>
      <c r="I140" s="5">
        <v>44470</v>
      </c>
      <c r="J140" s="6">
        <v>0</v>
      </c>
      <c r="K140" s="6">
        <v>0</v>
      </c>
      <c r="L140" s="6">
        <v>0.35099999999999998</v>
      </c>
      <c r="M140" s="6">
        <v>0.33695999999999998</v>
      </c>
      <c r="N140" s="6">
        <v>0.35099999999999998</v>
      </c>
      <c r="O140" s="6">
        <v>0.33695999999999998</v>
      </c>
      <c r="P140" s="6">
        <v>0</v>
      </c>
      <c r="Q140" s="4" t="s">
        <v>26</v>
      </c>
      <c r="R140" s="4">
        <v>0</v>
      </c>
      <c r="S140" s="4" t="s">
        <v>146</v>
      </c>
      <c r="T140" s="4" t="s">
        <v>315</v>
      </c>
      <c r="U140" s="4">
        <v>0</v>
      </c>
      <c r="V140" s="4">
        <v>1</v>
      </c>
      <c r="W140" s="4">
        <v>73</v>
      </c>
    </row>
    <row r="141" spans="1:23" ht="11.25" customHeight="1" x14ac:dyDescent="0.3">
      <c r="A141" s="4" t="s">
        <v>21</v>
      </c>
      <c r="B141" s="4" t="s">
        <v>37</v>
      </c>
      <c r="C141" s="4" t="s">
        <v>38</v>
      </c>
      <c r="D141" s="4" t="s">
        <v>44</v>
      </c>
      <c r="E141" s="4" t="s">
        <v>52</v>
      </c>
      <c r="F141" s="4" t="s">
        <v>25</v>
      </c>
      <c r="G141" s="4" t="s">
        <v>25</v>
      </c>
      <c r="H141" s="4" t="s">
        <v>39</v>
      </c>
      <c r="I141" s="5">
        <v>44501</v>
      </c>
      <c r="J141" s="6">
        <v>0</v>
      </c>
      <c r="K141" s="6">
        <v>0</v>
      </c>
      <c r="L141" s="6">
        <v>0.39700000000000002</v>
      </c>
      <c r="M141" s="6">
        <v>0.38112000000000001</v>
      </c>
      <c r="N141" s="6">
        <v>0.39700000000000002</v>
      </c>
      <c r="O141" s="6">
        <v>0.38112000000000001</v>
      </c>
      <c r="P141" s="6">
        <v>0</v>
      </c>
      <c r="Q141" s="4" t="s">
        <v>26</v>
      </c>
      <c r="R141" s="4">
        <v>0</v>
      </c>
      <c r="S141" s="4" t="s">
        <v>147</v>
      </c>
      <c r="T141" s="4" t="s">
        <v>316</v>
      </c>
      <c r="U141" s="4">
        <v>0</v>
      </c>
      <c r="V141" s="4">
        <v>1</v>
      </c>
      <c r="W141" s="4">
        <v>73</v>
      </c>
    </row>
    <row r="142" spans="1:23" ht="11.25" customHeight="1" x14ac:dyDescent="0.3">
      <c r="A142" s="4" t="s">
        <v>21</v>
      </c>
      <c r="B142" s="4" t="s">
        <v>37</v>
      </c>
      <c r="C142" s="4" t="s">
        <v>38</v>
      </c>
      <c r="D142" s="4" t="s">
        <v>44</v>
      </c>
      <c r="E142" s="4" t="s">
        <v>52</v>
      </c>
      <c r="F142" s="4" t="s">
        <v>25</v>
      </c>
      <c r="G142" s="4" t="s">
        <v>25</v>
      </c>
      <c r="H142" s="4" t="s">
        <v>39</v>
      </c>
      <c r="I142" s="5">
        <v>44531</v>
      </c>
      <c r="J142" s="6">
        <v>0</v>
      </c>
      <c r="K142" s="6">
        <v>0</v>
      </c>
      <c r="L142" s="6">
        <v>0.39500000000000002</v>
      </c>
      <c r="M142" s="6">
        <v>0.37919999999999998</v>
      </c>
      <c r="N142" s="6">
        <v>0.39500000000000002</v>
      </c>
      <c r="O142" s="6">
        <v>0.37919999999999998</v>
      </c>
      <c r="P142" s="6">
        <v>0</v>
      </c>
      <c r="Q142" s="4" t="s">
        <v>26</v>
      </c>
      <c r="R142" s="4">
        <v>0</v>
      </c>
      <c r="S142" s="4" t="s">
        <v>148</v>
      </c>
      <c r="T142" s="4" t="s">
        <v>317</v>
      </c>
      <c r="U142" s="4">
        <v>0</v>
      </c>
      <c r="V142" s="4">
        <v>1</v>
      </c>
      <c r="W142" s="4">
        <v>73</v>
      </c>
    </row>
    <row r="143" spans="1:23" ht="11.25" customHeight="1" x14ac:dyDescent="0.3">
      <c r="A143" s="4" t="s">
        <v>21</v>
      </c>
      <c r="B143" s="4" t="s">
        <v>37</v>
      </c>
      <c r="C143" s="4" t="s">
        <v>38</v>
      </c>
      <c r="D143" s="4" t="s">
        <v>44</v>
      </c>
      <c r="E143" s="4" t="s">
        <v>52</v>
      </c>
      <c r="F143" s="4" t="s">
        <v>25</v>
      </c>
      <c r="G143" s="4" t="s">
        <v>25</v>
      </c>
      <c r="H143" s="4" t="s">
        <v>39</v>
      </c>
      <c r="I143" s="5">
        <v>44562</v>
      </c>
      <c r="J143" s="6">
        <v>0</v>
      </c>
      <c r="K143" s="6">
        <v>0</v>
      </c>
      <c r="L143" s="6">
        <v>0.40300000000000002</v>
      </c>
      <c r="M143" s="6">
        <v>0.38688</v>
      </c>
      <c r="N143" s="6">
        <v>0.40300000000000002</v>
      </c>
      <c r="O143" s="6">
        <v>0.38688</v>
      </c>
      <c r="P143" s="6">
        <v>0</v>
      </c>
      <c r="Q143" s="4" t="s">
        <v>26</v>
      </c>
      <c r="R143" s="4">
        <v>0</v>
      </c>
      <c r="S143" s="4" t="s">
        <v>149</v>
      </c>
      <c r="T143" s="4" t="s">
        <v>318</v>
      </c>
      <c r="U143" s="4">
        <v>0</v>
      </c>
      <c r="V143" s="4">
        <v>1</v>
      </c>
      <c r="W143" s="4">
        <v>73</v>
      </c>
    </row>
    <row r="144" spans="1:23" ht="11.25" customHeight="1" x14ac:dyDescent="0.3">
      <c r="A144" s="4" t="s">
        <v>21</v>
      </c>
      <c r="B144" s="4" t="s">
        <v>37</v>
      </c>
      <c r="C144" s="4" t="s">
        <v>38</v>
      </c>
      <c r="D144" s="4" t="s">
        <v>44</v>
      </c>
      <c r="E144" s="4" t="s">
        <v>52</v>
      </c>
      <c r="F144" s="4" t="s">
        <v>25</v>
      </c>
      <c r="G144" s="4" t="s">
        <v>25</v>
      </c>
      <c r="H144" s="4" t="s">
        <v>39</v>
      </c>
      <c r="I144" s="5">
        <v>44593</v>
      </c>
      <c r="J144" s="6">
        <v>0</v>
      </c>
      <c r="K144" s="6">
        <v>0</v>
      </c>
      <c r="L144" s="6">
        <v>0.65700000000000003</v>
      </c>
      <c r="M144" s="6">
        <v>0.63071999999999995</v>
      </c>
      <c r="N144" s="6">
        <v>0.65700000000000003</v>
      </c>
      <c r="O144" s="6">
        <v>0.63071999999999995</v>
      </c>
      <c r="P144" s="6">
        <v>0</v>
      </c>
      <c r="Q144" s="4" t="s">
        <v>26</v>
      </c>
      <c r="R144" s="4">
        <v>0</v>
      </c>
      <c r="S144" s="4" t="s">
        <v>150</v>
      </c>
      <c r="T144" s="4" t="s">
        <v>319</v>
      </c>
      <c r="U144" s="4">
        <v>0</v>
      </c>
      <c r="V144" s="4">
        <v>1</v>
      </c>
      <c r="W144" s="4">
        <v>73</v>
      </c>
    </row>
    <row r="145" spans="1:23" ht="11.25" customHeight="1" x14ac:dyDescent="0.3">
      <c r="A145" s="4" t="s">
        <v>21</v>
      </c>
      <c r="B145" s="4" t="s">
        <v>37</v>
      </c>
      <c r="C145" s="4" t="s">
        <v>38</v>
      </c>
      <c r="D145" s="4" t="s">
        <v>44</v>
      </c>
      <c r="E145" s="4" t="s">
        <v>52</v>
      </c>
      <c r="F145" s="4" t="s">
        <v>25</v>
      </c>
      <c r="G145" s="4" t="s">
        <v>25</v>
      </c>
      <c r="H145" s="4" t="s">
        <v>39</v>
      </c>
      <c r="I145" s="5">
        <v>44621</v>
      </c>
      <c r="J145" s="6">
        <v>0</v>
      </c>
      <c r="K145" s="6">
        <v>0</v>
      </c>
      <c r="L145" s="6">
        <v>0.46300000000000002</v>
      </c>
      <c r="M145" s="6">
        <v>0.44447999999999999</v>
      </c>
      <c r="N145" s="6">
        <v>0.46300000000000002</v>
      </c>
      <c r="O145" s="6">
        <v>0.44447999999999999</v>
      </c>
      <c r="P145" s="6">
        <v>0</v>
      </c>
      <c r="Q145" s="4" t="s">
        <v>26</v>
      </c>
      <c r="R145" s="4">
        <v>0</v>
      </c>
      <c r="S145" s="4" t="s">
        <v>151</v>
      </c>
      <c r="T145" s="4" t="s">
        <v>320</v>
      </c>
      <c r="U145" s="4">
        <v>0</v>
      </c>
      <c r="V145" s="4">
        <v>1</v>
      </c>
      <c r="W145" s="4">
        <v>73</v>
      </c>
    </row>
    <row r="146" spans="1:23" ht="11.25" customHeight="1" x14ac:dyDescent="0.3">
      <c r="A146" s="4" t="s">
        <v>21</v>
      </c>
      <c r="B146" s="4" t="s">
        <v>37</v>
      </c>
      <c r="C146" s="4" t="s">
        <v>38</v>
      </c>
      <c r="D146" s="4" t="s">
        <v>49</v>
      </c>
      <c r="E146" s="4" t="s">
        <v>50</v>
      </c>
      <c r="F146" s="4" t="s">
        <v>25</v>
      </c>
      <c r="G146" s="4" t="s">
        <v>25</v>
      </c>
      <c r="H146" s="4" t="s">
        <v>34</v>
      </c>
      <c r="I146" s="5">
        <v>44287</v>
      </c>
      <c r="J146" s="6">
        <v>0</v>
      </c>
      <c r="K146" s="6">
        <v>0</v>
      </c>
      <c r="L146" s="6">
        <v>14.141</v>
      </c>
      <c r="M146" s="6">
        <v>13.292539999999999</v>
      </c>
      <c r="N146" s="6">
        <v>14.141</v>
      </c>
      <c r="O146" s="6">
        <v>13.292539999999999</v>
      </c>
      <c r="P146" s="6">
        <v>0</v>
      </c>
      <c r="Q146" s="4" t="s">
        <v>26</v>
      </c>
      <c r="R146" s="4">
        <v>0</v>
      </c>
      <c r="S146" s="4" t="s">
        <v>116</v>
      </c>
      <c r="T146" s="4" t="s">
        <v>297</v>
      </c>
      <c r="U146" s="4">
        <v>0</v>
      </c>
      <c r="V146" s="4">
        <v>2</v>
      </c>
      <c r="W146" s="4">
        <v>74</v>
      </c>
    </row>
    <row r="147" spans="1:23" ht="11.25" customHeight="1" x14ac:dyDescent="0.3">
      <c r="A147" s="4" t="s">
        <v>21</v>
      </c>
      <c r="B147" s="4" t="s">
        <v>37</v>
      </c>
      <c r="C147" s="4" t="s">
        <v>38</v>
      </c>
      <c r="D147" s="4" t="s">
        <v>49</v>
      </c>
      <c r="E147" s="4" t="s">
        <v>50</v>
      </c>
      <c r="F147" s="4" t="s">
        <v>25</v>
      </c>
      <c r="G147" s="4" t="s">
        <v>25</v>
      </c>
      <c r="H147" s="4" t="s">
        <v>34</v>
      </c>
      <c r="I147" s="5">
        <v>44317</v>
      </c>
      <c r="J147" s="6">
        <v>0</v>
      </c>
      <c r="K147" s="6">
        <v>0</v>
      </c>
      <c r="L147" s="6">
        <v>16.791</v>
      </c>
      <c r="M147" s="6">
        <v>15.78354</v>
      </c>
      <c r="N147" s="6">
        <v>16.791</v>
      </c>
      <c r="O147" s="6">
        <v>15.78354</v>
      </c>
      <c r="P147" s="6">
        <v>0</v>
      </c>
      <c r="Q147" s="4" t="s">
        <v>26</v>
      </c>
      <c r="R147" s="4">
        <v>0</v>
      </c>
      <c r="S147" s="4" t="s">
        <v>117</v>
      </c>
      <c r="T147" s="4" t="s">
        <v>298</v>
      </c>
      <c r="U147" s="4">
        <v>0</v>
      </c>
      <c r="V147" s="4">
        <v>2</v>
      </c>
      <c r="W147" s="4">
        <v>74</v>
      </c>
    </row>
    <row r="148" spans="1:23" ht="11.25" customHeight="1" x14ac:dyDescent="0.3">
      <c r="A148" s="4" t="s">
        <v>21</v>
      </c>
      <c r="B148" s="4" t="s">
        <v>37</v>
      </c>
      <c r="C148" s="4" t="s">
        <v>38</v>
      </c>
      <c r="D148" s="4" t="s">
        <v>49</v>
      </c>
      <c r="E148" s="4" t="s">
        <v>50</v>
      </c>
      <c r="F148" s="4" t="s">
        <v>25</v>
      </c>
      <c r="G148" s="4" t="s">
        <v>25</v>
      </c>
      <c r="H148" s="4" t="s">
        <v>34</v>
      </c>
      <c r="I148" s="5">
        <v>44348</v>
      </c>
      <c r="J148" s="6">
        <v>0</v>
      </c>
      <c r="K148" s="6">
        <v>0</v>
      </c>
      <c r="L148" s="6">
        <v>17.077000000000002</v>
      </c>
      <c r="M148" s="6">
        <v>16.052379999999999</v>
      </c>
      <c r="N148" s="6">
        <v>17.077000000000002</v>
      </c>
      <c r="O148" s="6">
        <v>16.052379999999999</v>
      </c>
      <c r="P148" s="6">
        <v>0</v>
      </c>
      <c r="Q148" s="4" t="s">
        <v>26</v>
      </c>
      <c r="R148" s="4">
        <v>0</v>
      </c>
      <c r="S148" s="4" t="s">
        <v>118</v>
      </c>
      <c r="T148" s="4" t="s">
        <v>299</v>
      </c>
      <c r="U148" s="4">
        <v>0</v>
      </c>
      <c r="V148" s="4">
        <v>2</v>
      </c>
      <c r="W148" s="4">
        <v>74</v>
      </c>
    </row>
    <row r="149" spans="1:23" ht="11.25" customHeight="1" x14ac:dyDescent="0.3">
      <c r="A149" s="4" t="s">
        <v>21</v>
      </c>
      <c r="B149" s="4" t="s">
        <v>37</v>
      </c>
      <c r="C149" s="4" t="s">
        <v>38</v>
      </c>
      <c r="D149" s="4" t="s">
        <v>49</v>
      </c>
      <c r="E149" s="4" t="s">
        <v>50</v>
      </c>
      <c r="F149" s="4" t="s">
        <v>25</v>
      </c>
      <c r="G149" s="4" t="s">
        <v>25</v>
      </c>
      <c r="H149" s="4" t="s">
        <v>34</v>
      </c>
      <c r="I149" s="5">
        <v>44378</v>
      </c>
      <c r="J149" s="6">
        <v>0</v>
      </c>
      <c r="K149" s="6">
        <v>0</v>
      </c>
      <c r="L149" s="6">
        <v>18.006</v>
      </c>
      <c r="M149" s="6">
        <v>16.925640000000001</v>
      </c>
      <c r="N149" s="6">
        <v>18.006</v>
      </c>
      <c r="O149" s="6">
        <v>16.925640000000001</v>
      </c>
      <c r="P149" s="6">
        <v>0</v>
      </c>
      <c r="Q149" s="4" t="s">
        <v>26</v>
      </c>
      <c r="R149" s="4">
        <v>0</v>
      </c>
      <c r="S149" s="4" t="s">
        <v>119</v>
      </c>
      <c r="T149" s="4" t="s">
        <v>300</v>
      </c>
      <c r="U149" s="4">
        <v>0</v>
      </c>
      <c r="V149" s="4">
        <v>2</v>
      </c>
      <c r="W149" s="4">
        <v>74</v>
      </c>
    </row>
    <row r="150" spans="1:23" ht="11.25" customHeight="1" x14ac:dyDescent="0.3">
      <c r="A150" s="4" t="s">
        <v>21</v>
      </c>
      <c r="B150" s="4" t="s">
        <v>37</v>
      </c>
      <c r="C150" s="4" t="s">
        <v>38</v>
      </c>
      <c r="D150" s="4" t="s">
        <v>49</v>
      </c>
      <c r="E150" s="4" t="s">
        <v>50</v>
      </c>
      <c r="F150" s="4" t="s">
        <v>25</v>
      </c>
      <c r="G150" s="4" t="s">
        <v>25</v>
      </c>
      <c r="H150" s="4" t="s">
        <v>34</v>
      </c>
      <c r="I150" s="5">
        <v>44409</v>
      </c>
      <c r="J150" s="6">
        <v>0</v>
      </c>
      <c r="K150" s="6">
        <v>0</v>
      </c>
      <c r="L150" s="6">
        <v>17.623999999999999</v>
      </c>
      <c r="M150" s="6">
        <v>16.566559999999999</v>
      </c>
      <c r="N150" s="6">
        <v>17.623999999999999</v>
      </c>
      <c r="O150" s="6">
        <v>16.566559999999999</v>
      </c>
      <c r="P150" s="6">
        <v>0</v>
      </c>
      <c r="Q150" s="4" t="s">
        <v>26</v>
      </c>
      <c r="R150" s="4">
        <v>0</v>
      </c>
      <c r="S150" s="4" t="s">
        <v>120</v>
      </c>
      <c r="T150" s="4" t="s">
        <v>301</v>
      </c>
      <c r="U150" s="4">
        <v>0</v>
      </c>
      <c r="V150" s="4">
        <v>2</v>
      </c>
      <c r="W150" s="4">
        <v>74</v>
      </c>
    </row>
    <row r="151" spans="1:23" ht="11.25" customHeight="1" x14ac:dyDescent="0.3">
      <c r="A151" s="4" t="s">
        <v>21</v>
      </c>
      <c r="B151" s="4" t="s">
        <v>37</v>
      </c>
      <c r="C151" s="4" t="s">
        <v>38</v>
      </c>
      <c r="D151" s="4" t="s">
        <v>49</v>
      </c>
      <c r="E151" s="4" t="s">
        <v>50</v>
      </c>
      <c r="F151" s="4" t="s">
        <v>25</v>
      </c>
      <c r="G151" s="4" t="s">
        <v>25</v>
      </c>
      <c r="H151" s="4" t="s">
        <v>34</v>
      </c>
      <c r="I151" s="5">
        <v>44440</v>
      </c>
      <c r="J151" s="6">
        <v>0</v>
      </c>
      <c r="K151" s="6">
        <v>0</v>
      </c>
      <c r="L151" s="6">
        <v>16.919</v>
      </c>
      <c r="M151" s="6">
        <v>15.90386</v>
      </c>
      <c r="N151" s="6">
        <v>16.919</v>
      </c>
      <c r="O151" s="6">
        <v>15.90386</v>
      </c>
      <c r="P151" s="6">
        <v>0</v>
      </c>
      <c r="Q151" s="4" t="s">
        <v>26</v>
      </c>
      <c r="R151" s="4">
        <v>0</v>
      </c>
      <c r="S151" s="4" t="s">
        <v>121</v>
      </c>
      <c r="T151" s="4" t="s">
        <v>302</v>
      </c>
      <c r="U151" s="4">
        <v>0</v>
      </c>
      <c r="V151" s="4">
        <v>2</v>
      </c>
      <c r="W151" s="4">
        <v>74</v>
      </c>
    </row>
    <row r="152" spans="1:23" ht="11.25" customHeight="1" x14ac:dyDescent="0.3">
      <c r="A152" s="4" t="s">
        <v>21</v>
      </c>
      <c r="B152" s="4" t="s">
        <v>37</v>
      </c>
      <c r="C152" s="4" t="s">
        <v>38</v>
      </c>
      <c r="D152" s="4" t="s">
        <v>49</v>
      </c>
      <c r="E152" s="4" t="s">
        <v>50</v>
      </c>
      <c r="F152" s="4" t="s">
        <v>25</v>
      </c>
      <c r="G152" s="4" t="s">
        <v>25</v>
      </c>
      <c r="H152" s="4" t="s">
        <v>34</v>
      </c>
      <c r="I152" s="5">
        <v>44470</v>
      </c>
      <c r="J152" s="6">
        <v>0</v>
      </c>
      <c r="K152" s="6">
        <v>0</v>
      </c>
      <c r="L152" s="6">
        <v>17.405000000000001</v>
      </c>
      <c r="M152" s="6">
        <v>16.360700000000001</v>
      </c>
      <c r="N152" s="6">
        <v>17.405000000000001</v>
      </c>
      <c r="O152" s="6">
        <v>16.360700000000001</v>
      </c>
      <c r="P152" s="6">
        <v>0</v>
      </c>
      <c r="Q152" s="4" t="s">
        <v>26</v>
      </c>
      <c r="R152" s="4">
        <v>0</v>
      </c>
      <c r="S152" s="4" t="s">
        <v>122</v>
      </c>
      <c r="T152" s="4" t="s">
        <v>303</v>
      </c>
      <c r="U152" s="4">
        <v>0</v>
      </c>
      <c r="V152" s="4">
        <v>2</v>
      </c>
      <c r="W152" s="4">
        <v>74</v>
      </c>
    </row>
    <row r="153" spans="1:23" ht="11.25" customHeight="1" x14ac:dyDescent="0.3">
      <c r="A153" s="4" t="s">
        <v>21</v>
      </c>
      <c r="B153" s="4" t="s">
        <v>37</v>
      </c>
      <c r="C153" s="4" t="s">
        <v>38</v>
      </c>
      <c r="D153" s="4" t="s">
        <v>49</v>
      </c>
      <c r="E153" s="4" t="s">
        <v>50</v>
      </c>
      <c r="F153" s="4" t="s">
        <v>25</v>
      </c>
      <c r="G153" s="4" t="s">
        <v>25</v>
      </c>
      <c r="H153" s="4" t="s">
        <v>34</v>
      </c>
      <c r="I153" s="5">
        <v>44501</v>
      </c>
      <c r="J153" s="6">
        <v>0</v>
      </c>
      <c r="K153" s="6">
        <v>0</v>
      </c>
      <c r="L153" s="6">
        <v>17.268000000000001</v>
      </c>
      <c r="M153" s="6">
        <v>16.231919999999999</v>
      </c>
      <c r="N153" s="6">
        <v>17.268000000000001</v>
      </c>
      <c r="O153" s="6">
        <v>16.231919999999999</v>
      </c>
      <c r="P153" s="6">
        <v>0</v>
      </c>
      <c r="Q153" s="4" t="s">
        <v>26</v>
      </c>
      <c r="R153" s="4">
        <v>0</v>
      </c>
      <c r="S153" s="4" t="s">
        <v>123</v>
      </c>
      <c r="T153" s="4" t="s">
        <v>304</v>
      </c>
      <c r="U153" s="4">
        <v>0</v>
      </c>
      <c r="V153" s="4">
        <v>2</v>
      </c>
      <c r="W153" s="4">
        <v>74</v>
      </c>
    </row>
    <row r="154" spans="1:23" ht="11.25" customHeight="1" x14ac:dyDescent="0.3">
      <c r="A154" s="4" t="s">
        <v>21</v>
      </c>
      <c r="B154" s="4" t="s">
        <v>37</v>
      </c>
      <c r="C154" s="4" t="s">
        <v>38</v>
      </c>
      <c r="D154" s="4" t="s">
        <v>49</v>
      </c>
      <c r="E154" s="4" t="s">
        <v>50</v>
      </c>
      <c r="F154" s="4" t="s">
        <v>25</v>
      </c>
      <c r="G154" s="4" t="s">
        <v>25</v>
      </c>
      <c r="H154" s="4" t="s">
        <v>34</v>
      </c>
      <c r="I154" s="5">
        <v>44531</v>
      </c>
      <c r="J154" s="6">
        <v>0</v>
      </c>
      <c r="K154" s="6">
        <v>0</v>
      </c>
      <c r="L154" s="6">
        <v>16.783999999999999</v>
      </c>
      <c r="M154" s="6">
        <v>15.776960000000001</v>
      </c>
      <c r="N154" s="6">
        <v>16.783999999999999</v>
      </c>
      <c r="O154" s="6">
        <v>15.776960000000001</v>
      </c>
      <c r="P154" s="6">
        <v>0</v>
      </c>
      <c r="Q154" s="4" t="s">
        <v>26</v>
      </c>
      <c r="R154" s="4">
        <v>0</v>
      </c>
      <c r="S154" s="4" t="s">
        <v>124</v>
      </c>
      <c r="T154" s="4" t="s">
        <v>305</v>
      </c>
      <c r="U154" s="4">
        <v>0</v>
      </c>
      <c r="V154" s="4">
        <v>2</v>
      </c>
      <c r="W154" s="4">
        <v>74</v>
      </c>
    </row>
    <row r="155" spans="1:23" ht="11.25" customHeight="1" x14ac:dyDescent="0.3">
      <c r="A155" s="4" t="s">
        <v>21</v>
      </c>
      <c r="B155" s="4" t="s">
        <v>37</v>
      </c>
      <c r="C155" s="4" t="s">
        <v>38</v>
      </c>
      <c r="D155" s="4" t="s">
        <v>49</v>
      </c>
      <c r="E155" s="4" t="s">
        <v>50</v>
      </c>
      <c r="F155" s="4" t="s">
        <v>25</v>
      </c>
      <c r="G155" s="4" t="s">
        <v>25</v>
      </c>
      <c r="H155" s="4" t="s">
        <v>34</v>
      </c>
      <c r="I155" s="5">
        <v>44562</v>
      </c>
      <c r="J155" s="6">
        <v>0</v>
      </c>
      <c r="K155" s="6">
        <v>0</v>
      </c>
      <c r="L155" s="6">
        <v>17.085000000000001</v>
      </c>
      <c r="M155" s="6">
        <v>16.059899999999999</v>
      </c>
      <c r="N155" s="6">
        <v>17.085000000000001</v>
      </c>
      <c r="O155" s="6">
        <v>16.059899999999999</v>
      </c>
      <c r="P155" s="6">
        <v>0</v>
      </c>
      <c r="Q155" s="4" t="s">
        <v>26</v>
      </c>
      <c r="R155" s="4">
        <v>0</v>
      </c>
      <c r="S155" s="4" t="s">
        <v>125</v>
      </c>
      <c r="T155" s="4" t="s">
        <v>306</v>
      </c>
      <c r="U155" s="4">
        <v>0</v>
      </c>
      <c r="V155" s="4">
        <v>2</v>
      </c>
      <c r="W155" s="4">
        <v>74</v>
      </c>
    </row>
    <row r="156" spans="1:23" ht="11.25" customHeight="1" x14ac:dyDescent="0.3">
      <c r="A156" s="4" t="s">
        <v>21</v>
      </c>
      <c r="B156" s="4" t="s">
        <v>37</v>
      </c>
      <c r="C156" s="4" t="s">
        <v>38</v>
      </c>
      <c r="D156" s="4" t="s">
        <v>49</v>
      </c>
      <c r="E156" s="4" t="s">
        <v>50</v>
      </c>
      <c r="F156" s="4" t="s">
        <v>25</v>
      </c>
      <c r="G156" s="4" t="s">
        <v>25</v>
      </c>
      <c r="H156" s="4" t="s">
        <v>34</v>
      </c>
      <c r="I156" s="5">
        <v>44593</v>
      </c>
      <c r="J156" s="6">
        <v>0</v>
      </c>
      <c r="K156" s="6">
        <v>0</v>
      </c>
      <c r="L156" s="6">
        <v>16.117999999999999</v>
      </c>
      <c r="M156" s="6">
        <v>15.150919999999999</v>
      </c>
      <c r="N156" s="6">
        <v>16.117999999999999</v>
      </c>
      <c r="O156" s="6">
        <v>15.150919999999999</v>
      </c>
      <c r="P156" s="6">
        <v>0</v>
      </c>
      <c r="Q156" s="4" t="s">
        <v>26</v>
      </c>
      <c r="R156" s="4">
        <v>0</v>
      </c>
      <c r="S156" s="4" t="s">
        <v>126</v>
      </c>
      <c r="T156" s="4" t="s">
        <v>307</v>
      </c>
      <c r="U156" s="4">
        <v>0</v>
      </c>
      <c r="V156" s="4">
        <v>2</v>
      </c>
      <c r="W156" s="4">
        <v>74</v>
      </c>
    </row>
    <row r="157" spans="1:23" ht="11.25" customHeight="1" x14ac:dyDescent="0.3">
      <c r="A157" s="4" t="s">
        <v>21</v>
      </c>
      <c r="B157" s="4" t="s">
        <v>37</v>
      </c>
      <c r="C157" s="4" t="s">
        <v>38</v>
      </c>
      <c r="D157" s="4" t="s">
        <v>49</v>
      </c>
      <c r="E157" s="4" t="s">
        <v>50</v>
      </c>
      <c r="F157" s="4" t="s">
        <v>25</v>
      </c>
      <c r="G157" s="4" t="s">
        <v>25</v>
      </c>
      <c r="H157" s="4" t="s">
        <v>34</v>
      </c>
      <c r="I157" s="5">
        <v>44621</v>
      </c>
      <c r="J157" s="6">
        <v>0</v>
      </c>
      <c r="K157" s="6">
        <v>0</v>
      </c>
      <c r="L157" s="6">
        <v>17.745999999999999</v>
      </c>
      <c r="M157" s="6">
        <v>16.681239999999999</v>
      </c>
      <c r="N157" s="6">
        <v>17.745999999999999</v>
      </c>
      <c r="O157" s="6">
        <v>16.681239999999999</v>
      </c>
      <c r="P157" s="6">
        <v>0</v>
      </c>
      <c r="Q157" s="4" t="s">
        <v>26</v>
      </c>
      <c r="R157" s="4">
        <v>0</v>
      </c>
      <c r="S157" s="4" t="s">
        <v>127</v>
      </c>
      <c r="T157" s="4" t="s">
        <v>308</v>
      </c>
      <c r="U157" s="4">
        <v>0</v>
      </c>
      <c r="V157" s="4">
        <v>2</v>
      </c>
      <c r="W157" s="4">
        <v>74</v>
      </c>
    </row>
    <row r="158" spans="1:23" ht="11.25" customHeight="1" x14ac:dyDescent="0.3">
      <c r="A158" s="4" t="s">
        <v>21</v>
      </c>
      <c r="B158" s="4" t="s">
        <v>37</v>
      </c>
      <c r="C158" s="4" t="s">
        <v>38</v>
      </c>
      <c r="D158" s="4" t="s">
        <v>49</v>
      </c>
      <c r="E158" s="4" t="s">
        <v>50</v>
      </c>
      <c r="F158" s="4" t="s">
        <v>25</v>
      </c>
      <c r="G158" s="4" t="s">
        <v>25</v>
      </c>
      <c r="H158" s="4" t="s">
        <v>25</v>
      </c>
      <c r="I158" s="5">
        <v>44287</v>
      </c>
      <c r="J158" s="6">
        <v>58</v>
      </c>
      <c r="K158" s="6">
        <v>54.519999999999996</v>
      </c>
      <c r="L158" s="6">
        <v>0</v>
      </c>
      <c r="M158" s="6">
        <v>0</v>
      </c>
      <c r="N158" s="6">
        <v>0</v>
      </c>
      <c r="O158" s="6">
        <v>0</v>
      </c>
      <c r="P158" s="6">
        <v>1</v>
      </c>
      <c r="Q158" s="4" t="s">
        <v>26</v>
      </c>
      <c r="R158" s="4">
        <v>0</v>
      </c>
      <c r="S158" s="4" t="s">
        <v>128</v>
      </c>
      <c r="U158" s="4">
        <v>50</v>
      </c>
      <c r="V158" s="4">
        <v>0</v>
      </c>
      <c r="W158" s="4">
        <v>0</v>
      </c>
    </row>
    <row r="159" spans="1:23" ht="11.25" customHeight="1" x14ac:dyDescent="0.3">
      <c r="A159" s="4" t="s">
        <v>21</v>
      </c>
      <c r="B159" s="4" t="s">
        <v>37</v>
      </c>
      <c r="C159" s="4" t="s">
        <v>38</v>
      </c>
      <c r="D159" s="4" t="s">
        <v>49</v>
      </c>
      <c r="E159" s="4" t="s">
        <v>50</v>
      </c>
      <c r="F159" s="4" t="s">
        <v>25</v>
      </c>
      <c r="G159" s="4" t="s">
        <v>25</v>
      </c>
      <c r="H159" s="4" t="s">
        <v>25</v>
      </c>
      <c r="I159" s="5">
        <v>44317</v>
      </c>
      <c r="J159" s="6">
        <v>58</v>
      </c>
      <c r="K159" s="6">
        <v>54.52</v>
      </c>
      <c r="L159" s="6">
        <v>0</v>
      </c>
      <c r="M159" s="6">
        <v>0</v>
      </c>
      <c r="N159" s="6">
        <v>0</v>
      </c>
      <c r="O159" s="6">
        <v>0</v>
      </c>
      <c r="P159" s="6">
        <v>1</v>
      </c>
      <c r="Q159" s="4" t="s">
        <v>26</v>
      </c>
      <c r="R159" s="4">
        <v>0</v>
      </c>
      <c r="S159" s="4" t="s">
        <v>129</v>
      </c>
      <c r="U159" s="4">
        <v>50</v>
      </c>
      <c r="V159" s="4">
        <v>0</v>
      </c>
      <c r="W159" s="4">
        <v>0</v>
      </c>
    </row>
    <row r="160" spans="1:23" ht="11.25" customHeight="1" x14ac:dyDescent="0.3">
      <c r="A160" s="4" t="s">
        <v>21</v>
      </c>
      <c r="B160" s="4" t="s">
        <v>37</v>
      </c>
      <c r="C160" s="4" t="s">
        <v>38</v>
      </c>
      <c r="D160" s="4" t="s">
        <v>49</v>
      </c>
      <c r="E160" s="4" t="s">
        <v>50</v>
      </c>
      <c r="F160" s="4" t="s">
        <v>25</v>
      </c>
      <c r="G160" s="4" t="s">
        <v>25</v>
      </c>
      <c r="H160" s="4" t="s">
        <v>25</v>
      </c>
      <c r="I160" s="5">
        <v>44348</v>
      </c>
      <c r="J160" s="6">
        <v>58</v>
      </c>
      <c r="K160" s="6">
        <v>54.52</v>
      </c>
      <c r="L160" s="6">
        <v>0</v>
      </c>
      <c r="M160" s="6">
        <v>0</v>
      </c>
      <c r="N160" s="6">
        <v>0</v>
      </c>
      <c r="O160" s="6">
        <v>0</v>
      </c>
      <c r="P160" s="6">
        <v>1</v>
      </c>
      <c r="Q160" s="4" t="s">
        <v>26</v>
      </c>
      <c r="R160" s="4">
        <v>0</v>
      </c>
      <c r="S160" s="4" t="s">
        <v>130</v>
      </c>
      <c r="U160" s="4">
        <v>50</v>
      </c>
      <c r="V160" s="4">
        <v>0</v>
      </c>
      <c r="W160" s="4">
        <v>0</v>
      </c>
    </row>
    <row r="161" spans="1:23" ht="11.25" customHeight="1" x14ac:dyDescent="0.3">
      <c r="A161" s="4" t="s">
        <v>21</v>
      </c>
      <c r="B161" s="4" t="s">
        <v>37</v>
      </c>
      <c r="C161" s="4" t="s">
        <v>38</v>
      </c>
      <c r="D161" s="4" t="s">
        <v>49</v>
      </c>
      <c r="E161" s="4" t="s">
        <v>50</v>
      </c>
      <c r="F161" s="4" t="s">
        <v>25</v>
      </c>
      <c r="G161" s="4" t="s">
        <v>25</v>
      </c>
      <c r="H161" s="4" t="s">
        <v>25</v>
      </c>
      <c r="I161" s="5">
        <v>44378</v>
      </c>
      <c r="J161" s="6">
        <v>58</v>
      </c>
      <c r="K161" s="6">
        <v>54.52</v>
      </c>
      <c r="L161" s="6">
        <v>0</v>
      </c>
      <c r="M161" s="6">
        <v>0</v>
      </c>
      <c r="N161" s="6">
        <v>0</v>
      </c>
      <c r="O161" s="6">
        <v>0</v>
      </c>
      <c r="P161" s="6">
        <v>1</v>
      </c>
      <c r="Q161" s="4" t="s">
        <v>26</v>
      </c>
      <c r="R161" s="4">
        <v>0</v>
      </c>
      <c r="S161" s="4" t="s">
        <v>131</v>
      </c>
      <c r="U161" s="4">
        <v>50</v>
      </c>
      <c r="V161" s="4">
        <v>0</v>
      </c>
      <c r="W161" s="4">
        <v>0</v>
      </c>
    </row>
    <row r="162" spans="1:23" ht="11.25" customHeight="1" x14ac:dyDescent="0.3">
      <c r="A162" s="4" t="s">
        <v>21</v>
      </c>
      <c r="B162" s="4" t="s">
        <v>37</v>
      </c>
      <c r="C162" s="4" t="s">
        <v>38</v>
      </c>
      <c r="D162" s="4" t="s">
        <v>49</v>
      </c>
      <c r="E162" s="4" t="s">
        <v>50</v>
      </c>
      <c r="F162" s="4" t="s">
        <v>25</v>
      </c>
      <c r="G162" s="4" t="s">
        <v>25</v>
      </c>
      <c r="H162" s="4" t="s">
        <v>25</v>
      </c>
      <c r="I162" s="5">
        <v>44409</v>
      </c>
      <c r="J162" s="6">
        <v>58</v>
      </c>
      <c r="K162" s="6">
        <v>54.52</v>
      </c>
      <c r="L162" s="6">
        <v>0</v>
      </c>
      <c r="M162" s="6">
        <v>0</v>
      </c>
      <c r="N162" s="6">
        <v>0</v>
      </c>
      <c r="O162" s="6">
        <v>0</v>
      </c>
      <c r="P162" s="6">
        <v>1</v>
      </c>
      <c r="Q162" s="4" t="s">
        <v>26</v>
      </c>
      <c r="R162" s="4">
        <v>0</v>
      </c>
      <c r="S162" s="4" t="s">
        <v>132</v>
      </c>
      <c r="U162" s="4">
        <v>50</v>
      </c>
      <c r="V162" s="4">
        <v>0</v>
      </c>
      <c r="W162" s="4">
        <v>0</v>
      </c>
    </row>
    <row r="163" spans="1:23" ht="11.25" customHeight="1" x14ac:dyDescent="0.3">
      <c r="A163" s="4" t="s">
        <v>21</v>
      </c>
      <c r="B163" s="4" t="s">
        <v>37</v>
      </c>
      <c r="C163" s="4" t="s">
        <v>38</v>
      </c>
      <c r="D163" s="4" t="s">
        <v>49</v>
      </c>
      <c r="E163" s="4" t="s">
        <v>50</v>
      </c>
      <c r="F163" s="4" t="s">
        <v>25</v>
      </c>
      <c r="G163" s="4" t="s">
        <v>25</v>
      </c>
      <c r="H163" s="4" t="s">
        <v>25</v>
      </c>
      <c r="I163" s="5">
        <v>44440</v>
      </c>
      <c r="J163" s="6">
        <v>58</v>
      </c>
      <c r="K163" s="6">
        <v>54.52</v>
      </c>
      <c r="L163" s="6">
        <v>0</v>
      </c>
      <c r="M163" s="6">
        <v>0</v>
      </c>
      <c r="N163" s="6">
        <v>0</v>
      </c>
      <c r="O163" s="6">
        <v>0</v>
      </c>
      <c r="P163" s="6">
        <v>1</v>
      </c>
      <c r="Q163" s="4" t="s">
        <v>26</v>
      </c>
      <c r="R163" s="4">
        <v>0</v>
      </c>
      <c r="S163" s="4" t="s">
        <v>133</v>
      </c>
      <c r="U163" s="4">
        <v>50</v>
      </c>
      <c r="V163" s="4">
        <v>0</v>
      </c>
      <c r="W163" s="4">
        <v>0</v>
      </c>
    </row>
    <row r="164" spans="1:23" ht="11.25" customHeight="1" x14ac:dyDescent="0.3">
      <c r="A164" s="4" t="s">
        <v>21</v>
      </c>
      <c r="B164" s="4" t="s">
        <v>37</v>
      </c>
      <c r="C164" s="4" t="s">
        <v>38</v>
      </c>
      <c r="D164" s="4" t="s">
        <v>49</v>
      </c>
      <c r="E164" s="4" t="s">
        <v>50</v>
      </c>
      <c r="F164" s="4" t="s">
        <v>25</v>
      </c>
      <c r="G164" s="4" t="s">
        <v>25</v>
      </c>
      <c r="H164" s="4" t="s">
        <v>25</v>
      </c>
      <c r="I164" s="5">
        <v>44470</v>
      </c>
      <c r="J164" s="6">
        <v>58</v>
      </c>
      <c r="K164" s="6">
        <v>54.52</v>
      </c>
      <c r="L164" s="6">
        <v>0</v>
      </c>
      <c r="M164" s="6">
        <v>0</v>
      </c>
      <c r="N164" s="6">
        <v>0</v>
      </c>
      <c r="O164" s="6">
        <v>0</v>
      </c>
      <c r="P164" s="6">
        <v>1</v>
      </c>
      <c r="Q164" s="4" t="s">
        <v>26</v>
      </c>
      <c r="R164" s="4">
        <v>0</v>
      </c>
      <c r="S164" s="4" t="s">
        <v>134</v>
      </c>
      <c r="U164" s="4">
        <v>50</v>
      </c>
      <c r="V164" s="4">
        <v>0</v>
      </c>
      <c r="W164" s="4">
        <v>0</v>
      </c>
    </row>
    <row r="165" spans="1:23" ht="11.25" customHeight="1" x14ac:dyDescent="0.3">
      <c r="A165" s="4" t="s">
        <v>21</v>
      </c>
      <c r="B165" s="4" t="s">
        <v>37</v>
      </c>
      <c r="C165" s="4" t="s">
        <v>38</v>
      </c>
      <c r="D165" s="4" t="s">
        <v>49</v>
      </c>
      <c r="E165" s="4" t="s">
        <v>50</v>
      </c>
      <c r="F165" s="4" t="s">
        <v>25</v>
      </c>
      <c r="G165" s="4" t="s">
        <v>25</v>
      </c>
      <c r="H165" s="4" t="s">
        <v>25</v>
      </c>
      <c r="I165" s="5">
        <v>44501</v>
      </c>
      <c r="J165" s="6">
        <v>58</v>
      </c>
      <c r="K165" s="6">
        <v>54.52</v>
      </c>
      <c r="L165" s="6">
        <v>0</v>
      </c>
      <c r="M165" s="6">
        <v>0</v>
      </c>
      <c r="N165" s="6">
        <v>0</v>
      </c>
      <c r="O165" s="6">
        <v>0</v>
      </c>
      <c r="P165" s="6">
        <v>1</v>
      </c>
      <c r="Q165" s="4" t="s">
        <v>26</v>
      </c>
      <c r="R165" s="4">
        <v>0</v>
      </c>
      <c r="S165" s="4" t="s">
        <v>135</v>
      </c>
      <c r="U165" s="4">
        <v>50</v>
      </c>
      <c r="V165" s="4">
        <v>0</v>
      </c>
      <c r="W165" s="4">
        <v>0</v>
      </c>
    </row>
    <row r="166" spans="1:23" ht="11.25" customHeight="1" x14ac:dyDescent="0.3">
      <c r="A166" s="4" t="s">
        <v>21</v>
      </c>
      <c r="B166" s="4" t="s">
        <v>37</v>
      </c>
      <c r="C166" s="4" t="s">
        <v>38</v>
      </c>
      <c r="D166" s="4" t="s">
        <v>49</v>
      </c>
      <c r="E166" s="4" t="s">
        <v>50</v>
      </c>
      <c r="F166" s="4" t="s">
        <v>25</v>
      </c>
      <c r="G166" s="4" t="s">
        <v>25</v>
      </c>
      <c r="H166" s="4" t="s">
        <v>25</v>
      </c>
      <c r="I166" s="5">
        <v>44531</v>
      </c>
      <c r="J166" s="6">
        <v>58</v>
      </c>
      <c r="K166" s="6">
        <v>54.52</v>
      </c>
      <c r="L166" s="6">
        <v>0</v>
      </c>
      <c r="M166" s="6">
        <v>0</v>
      </c>
      <c r="N166" s="6">
        <v>0</v>
      </c>
      <c r="O166" s="6">
        <v>0</v>
      </c>
      <c r="P166" s="6">
        <v>1</v>
      </c>
      <c r="Q166" s="4" t="s">
        <v>26</v>
      </c>
      <c r="R166" s="4">
        <v>0</v>
      </c>
      <c r="S166" s="4" t="s">
        <v>136</v>
      </c>
      <c r="U166" s="4">
        <v>50</v>
      </c>
      <c r="V166" s="4">
        <v>0</v>
      </c>
      <c r="W166" s="4">
        <v>0</v>
      </c>
    </row>
    <row r="167" spans="1:23" ht="11.25" customHeight="1" x14ac:dyDescent="0.3">
      <c r="A167" s="4" t="s">
        <v>21</v>
      </c>
      <c r="B167" s="4" t="s">
        <v>37</v>
      </c>
      <c r="C167" s="4" t="s">
        <v>38</v>
      </c>
      <c r="D167" s="4" t="s">
        <v>49</v>
      </c>
      <c r="E167" s="4" t="s">
        <v>50</v>
      </c>
      <c r="F167" s="4" t="s">
        <v>25</v>
      </c>
      <c r="G167" s="4" t="s">
        <v>25</v>
      </c>
      <c r="H167" s="4" t="s">
        <v>25</v>
      </c>
      <c r="I167" s="5">
        <v>44562</v>
      </c>
      <c r="J167" s="6">
        <v>58</v>
      </c>
      <c r="K167" s="6">
        <v>54.52</v>
      </c>
      <c r="L167" s="6">
        <v>0</v>
      </c>
      <c r="M167" s="6">
        <v>0</v>
      </c>
      <c r="N167" s="6">
        <v>0</v>
      </c>
      <c r="O167" s="6">
        <v>0</v>
      </c>
      <c r="P167" s="6">
        <v>1</v>
      </c>
      <c r="Q167" s="4" t="s">
        <v>26</v>
      </c>
      <c r="R167" s="4">
        <v>0</v>
      </c>
      <c r="S167" s="4" t="s">
        <v>137</v>
      </c>
      <c r="U167" s="4">
        <v>50</v>
      </c>
      <c r="V167" s="4">
        <v>0</v>
      </c>
      <c r="W167" s="4">
        <v>0</v>
      </c>
    </row>
    <row r="168" spans="1:23" ht="11.25" customHeight="1" x14ac:dyDescent="0.3">
      <c r="A168" s="4" t="s">
        <v>21</v>
      </c>
      <c r="B168" s="4" t="s">
        <v>37</v>
      </c>
      <c r="C168" s="4" t="s">
        <v>38</v>
      </c>
      <c r="D168" s="4" t="s">
        <v>49</v>
      </c>
      <c r="E168" s="4" t="s">
        <v>50</v>
      </c>
      <c r="F168" s="4" t="s">
        <v>25</v>
      </c>
      <c r="G168" s="4" t="s">
        <v>25</v>
      </c>
      <c r="H168" s="4" t="s">
        <v>25</v>
      </c>
      <c r="I168" s="5">
        <v>44593</v>
      </c>
      <c r="J168" s="6">
        <v>58</v>
      </c>
      <c r="K168" s="6">
        <v>54.52</v>
      </c>
      <c r="L168" s="6">
        <v>0</v>
      </c>
      <c r="M168" s="6">
        <v>0</v>
      </c>
      <c r="N168" s="6">
        <v>0</v>
      </c>
      <c r="O168" s="6">
        <v>0</v>
      </c>
      <c r="P168" s="6">
        <v>1</v>
      </c>
      <c r="Q168" s="4" t="s">
        <v>26</v>
      </c>
      <c r="R168" s="4">
        <v>0</v>
      </c>
      <c r="S168" s="4" t="s">
        <v>138</v>
      </c>
      <c r="U168" s="4">
        <v>50</v>
      </c>
      <c r="V168" s="4">
        <v>0</v>
      </c>
      <c r="W168" s="4">
        <v>0</v>
      </c>
    </row>
    <row r="169" spans="1:23" ht="11.25" customHeight="1" x14ac:dyDescent="0.3">
      <c r="A169" s="4" t="s">
        <v>21</v>
      </c>
      <c r="B169" s="4" t="s">
        <v>37</v>
      </c>
      <c r="C169" s="4" t="s">
        <v>38</v>
      </c>
      <c r="D169" s="4" t="s">
        <v>49</v>
      </c>
      <c r="E169" s="4" t="s">
        <v>50</v>
      </c>
      <c r="F169" s="4" t="s">
        <v>25</v>
      </c>
      <c r="G169" s="4" t="s">
        <v>25</v>
      </c>
      <c r="H169" s="4" t="s">
        <v>25</v>
      </c>
      <c r="I169" s="5">
        <v>44621</v>
      </c>
      <c r="J169" s="6">
        <v>58</v>
      </c>
      <c r="K169" s="6">
        <v>54.52</v>
      </c>
      <c r="L169" s="6">
        <v>0</v>
      </c>
      <c r="M169" s="6">
        <v>0</v>
      </c>
      <c r="N169" s="6">
        <v>0</v>
      </c>
      <c r="O169" s="6">
        <v>0</v>
      </c>
      <c r="P169" s="6">
        <v>1</v>
      </c>
      <c r="Q169" s="4" t="s">
        <v>26</v>
      </c>
      <c r="R169" s="4">
        <v>0</v>
      </c>
      <c r="S169" s="4" t="s">
        <v>139</v>
      </c>
      <c r="U169" s="4">
        <v>50</v>
      </c>
      <c r="V169" s="4">
        <v>0</v>
      </c>
      <c r="W169" s="4">
        <v>0</v>
      </c>
    </row>
    <row r="170" spans="1:23" ht="11.25" customHeight="1" x14ac:dyDescent="0.3">
      <c r="A170" s="4" t="s">
        <v>21</v>
      </c>
      <c r="B170" s="4" t="s">
        <v>37</v>
      </c>
      <c r="C170" s="4" t="s">
        <v>38</v>
      </c>
      <c r="D170" s="4" t="s">
        <v>49</v>
      </c>
      <c r="E170" s="4" t="s">
        <v>50</v>
      </c>
      <c r="F170" s="4" t="s">
        <v>25</v>
      </c>
      <c r="G170" s="4" t="s">
        <v>25</v>
      </c>
      <c r="H170" s="4" t="s">
        <v>39</v>
      </c>
      <c r="I170" s="5">
        <v>44287</v>
      </c>
      <c r="J170" s="6">
        <v>0</v>
      </c>
      <c r="K170" s="6">
        <v>0</v>
      </c>
      <c r="L170" s="6">
        <v>1.5</v>
      </c>
      <c r="M170" s="6">
        <v>1.41</v>
      </c>
      <c r="N170" s="6">
        <v>1.5</v>
      </c>
      <c r="O170" s="6">
        <v>1.41</v>
      </c>
      <c r="P170" s="6">
        <v>0</v>
      </c>
      <c r="Q170" s="4" t="s">
        <v>26</v>
      </c>
      <c r="R170" s="4">
        <v>0</v>
      </c>
      <c r="S170" s="4" t="s">
        <v>140</v>
      </c>
      <c r="T170" s="4" t="s">
        <v>309</v>
      </c>
      <c r="U170" s="4">
        <v>0</v>
      </c>
      <c r="V170" s="4">
        <v>1</v>
      </c>
      <c r="W170" s="4">
        <v>73</v>
      </c>
    </row>
    <row r="171" spans="1:23" ht="11.25" customHeight="1" x14ac:dyDescent="0.3">
      <c r="A171" s="4" t="s">
        <v>21</v>
      </c>
      <c r="B171" s="4" t="s">
        <v>37</v>
      </c>
      <c r="C171" s="4" t="s">
        <v>38</v>
      </c>
      <c r="D171" s="4" t="s">
        <v>49</v>
      </c>
      <c r="E171" s="4" t="s">
        <v>50</v>
      </c>
      <c r="F171" s="4" t="s">
        <v>25</v>
      </c>
      <c r="G171" s="4" t="s">
        <v>25</v>
      </c>
      <c r="H171" s="4" t="s">
        <v>39</v>
      </c>
      <c r="I171" s="5">
        <v>44317</v>
      </c>
      <c r="J171" s="6">
        <v>0</v>
      </c>
      <c r="K171" s="6">
        <v>0</v>
      </c>
      <c r="L171" s="6">
        <v>1.657</v>
      </c>
      <c r="M171" s="6">
        <v>1.55758</v>
      </c>
      <c r="N171" s="6">
        <v>1.657</v>
      </c>
      <c r="O171" s="6">
        <v>1.55758</v>
      </c>
      <c r="P171" s="6">
        <v>0</v>
      </c>
      <c r="Q171" s="4" t="s">
        <v>26</v>
      </c>
      <c r="R171" s="4">
        <v>0</v>
      </c>
      <c r="S171" s="4" t="s">
        <v>141</v>
      </c>
      <c r="T171" s="4" t="s">
        <v>310</v>
      </c>
      <c r="U171" s="4">
        <v>0</v>
      </c>
      <c r="V171" s="4">
        <v>1</v>
      </c>
      <c r="W171" s="4">
        <v>73</v>
      </c>
    </row>
    <row r="172" spans="1:23" ht="11.25" customHeight="1" x14ac:dyDescent="0.3">
      <c r="A172" s="4" t="s">
        <v>21</v>
      </c>
      <c r="B172" s="4" t="s">
        <v>37</v>
      </c>
      <c r="C172" s="4" t="s">
        <v>38</v>
      </c>
      <c r="D172" s="4" t="s">
        <v>49</v>
      </c>
      <c r="E172" s="4" t="s">
        <v>50</v>
      </c>
      <c r="F172" s="4" t="s">
        <v>25</v>
      </c>
      <c r="G172" s="4" t="s">
        <v>25</v>
      </c>
      <c r="H172" s="4" t="s">
        <v>39</v>
      </c>
      <c r="I172" s="5">
        <v>44348</v>
      </c>
      <c r="J172" s="6">
        <v>0</v>
      </c>
      <c r="K172" s="6">
        <v>0</v>
      </c>
      <c r="L172" s="6">
        <v>1.742</v>
      </c>
      <c r="M172" s="6">
        <v>1.63748</v>
      </c>
      <c r="N172" s="6">
        <v>1.742</v>
      </c>
      <c r="O172" s="6">
        <v>1.63748</v>
      </c>
      <c r="P172" s="6">
        <v>0</v>
      </c>
      <c r="Q172" s="4" t="s">
        <v>26</v>
      </c>
      <c r="R172" s="4">
        <v>0</v>
      </c>
      <c r="S172" s="4" t="s">
        <v>142</v>
      </c>
      <c r="T172" s="4" t="s">
        <v>311</v>
      </c>
      <c r="U172" s="4">
        <v>0</v>
      </c>
      <c r="V172" s="4">
        <v>1</v>
      </c>
      <c r="W172" s="4">
        <v>73</v>
      </c>
    </row>
    <row r="173" spans="1:23" ht="11.25" customHeight="1" x14ac:dyDescent="0.3">
      <c r="A173" s="4" t="s">
        <v>21</v>
      </c>
      <c r="B173" s="4" t="s">
        <v>37</v>
      </c>
      <c r="C173" s="4" t="s">
        <v>38</v>
      </c>
      <c r="D173" s="4" t="s">
        <v>49</v>
      </c>
      <c r="E173" s="4" t="s">
        <v>50</v>
      </c>
      <c r="F173" s="4" t="s">
        <v>25</v>
      </c>
      <c r="G173" s="4" t="s">
        <v>25</v>
      </c>
      <c r="H173" s="4" t="s">
        <v>39</v>
      </c>
      <c r="I173" s="5">
        <v>44378</v>
      </c>
      <c r="J173" s="6">
        <v>0</v>
      </c>
      <c r="K173" s="6">
        <v>0</v>
      </c>
      <c r="L173" s="6">
        <v>1.8080000000000001</v>
      </c>
      <c r="M173" s="6">
        <v>1.6995199999999999</v>
      </c>
      <c r="N173" s="6">
        <v>1.8080000000000001</v>
      </c>
      <c r="O173" s="6">
        <v>1.6995199999999999</v>
      </c>
      <c r="P173" s="6">
        <v>0</v>
      </c>
      <c r="Q173" s="4" t="s">
        <v>26</v>
      </c>
      <c r="R173" s="4">
        <v>0</v>
      </c>
      <c r="S173" s="4" t="s">
        <v>143</v>
      </c>
      <c r="T173" s="4" t="s">
        <v>312</v>
      </c>
      <c r="U173" s="4">
        <v>0</v>
      </c>
      <c r="V173" s="4">
        <v>1</v>
      </c>
      <c r="W173" s="4">
        <v>73</v>
      </c>
    </row>
    <row r="174" spans="1:23" ht="11.25" customHeight="1" x14ac:dyDescent="0.3">
      <c r="A174" s="4" t="s">
        <v>21</v>
      </c>
      <c r="B174" s="4" t="s">
        <v>37</v>
      </c>
      <c r="C174" s="4" t="s">
        <v>38</v>
      </c>
      <c r="D174" s="4" t="s">
        <v>49</v>
      </c>
      <c r="E174" s="4" t="s">
        <v>50</v>
      </c>
      <c r="F174" s="4" t="s">
        <v>25</v>
      </c>
      <c r="G174" s="4" t="s">
        <v>25</v>
      </c>
      <c r="H174" s="4" t="s">
        <v>39</v>
      </c>
      <c r="I174" s="5">
        <v>44409</v>
      </c>
      <c r="J174" s="6">
        <v>0</v>
      </c>
      <c r="K174" s="6">
        <v>0</v>
      </c>
      <c r="L174" s="6">
        <v>1.643</v>
      </c>
      <c r="M174" s="6">
        <v>1.5444199999999999</v>
      </c>
      <c r="N174" s="6">
        <v>1.643</v>
      </c>
      <c r="O174" s="6">
        <v>1.5444199999999999</v>
      </c>
      <c r="P174" s="6">
        <v>0</v>
      </c>
      <c r="Q174" s="4" t="s">
        <v>26</v>
      </c>
      <c r="R174" s="4">
        <v>0</v>
      </c>
      <c r="S174" s="4" t="s">
        <v>144</v>
      </c>
      <c r="T174" s="4" t="s">
        <v>313</v>
      </c>
      <c r="U174" s="4">
        <v>0</v>
      </c>
      <c r="V174" s="4">
        <v>1</v>
      </c>
      <c r="W174" s="4">
        <v>73</v>
      </c>
    </row>
    <row r="175" spans="1:23" ht="11.25" customHeight="1" x14ac:dyDescent="0.3">
      <c r="A175" s="4" t="s">
        <v>21</v>
      </c>
      <c r="B175" s="4" t="s">
        <v>37</v>
      </c>
      <c r="C175" s="4" t="s">
        <v>38</v>
      </c>
      <c r="D175" s="4" t="s">
        <v>49</v>
      </c>
      <c r="E175" s="4" t="s">
        <v>50</v>
      </c>
      <c r="F175" s="4" t="s">
        <v>25</v>
      </c>
      <c r="G175" s="4" t="s">
        <v>25</v>
      </c>
      <c r="H175" s="4" t="s">
        <v>39</v>
      </c>
      <c r="I175" s="5">
        <v>44440</v>
      </c>
      <c r="J175" s="6">
        <v>0</v>
      </c>
      <c r="K175" s="6">
        <v>0</v>
      </c>
      <c r="L175" s="6">
        <v>1.6639999999999999</v>
      </c>
      <c r="M175" s="6">
        <v>1.56416</v>
      </c>
      <c r="N175" s="6">
        <v>1.6639999999999999</v>
      </c>
      <c r="O175" s="6">
        <v>1.56416</v>
      </c>
      <c r="P175" s="6">
        <v>0</v>
      </c>
      <c r="Q175" s="4" t="s">
        <v>26</v>
      </c>
      <c r="R175" s="4">
        <v>0</v>
      </c>
      <c r="S175" s="4" t="s">
        <v>145</v>
      </c>
      <c r="T175" s="4" t="s">
        <v>314</v>
      </c>
      <c r="U175" s="4">
        <v>0</v>
      </c>
      <c r="V175" s="4">
        <v>1</v>
      </c>
      <c r="W175" s="4">
        <v>73</v>
      </c>
    </row>
    <row r="176" spans="1:23" ht="11.25" customHeight="1" x14ac:dyDescent="0.3">
      <c r="A176" s="4" t="s">
        <v>21</v>
      </c>
      <c r="B176" s="4" t="s">
        <v>37</v>
      </c>
      <c r="C176" s="4" t="s">
        <v>38</v>
      </c>
      <c r="D176" s="4" t="s">
        <v>49</v>
      </c>
      <c r="E176" s="4" t="s">
        <v>50</v>
      </c>
      <c r="F176" s="4" t="s">
        <v>25</v>
      </c>
      <c r="G176" s="4" t="s">
        <v>25</v>
      </c>
      <c r="H176" s="4" t="s">
        <v>39</v>
      </c>
      <c r="I176" s="5">
        <v>44470</v>
      </c>
      <c r="J176" s="6">
        <v>0</v>
      </c>
      <c r="K176" s="6">
        <v>0</v>
      </c>
      <c r="L176" s="6">
        <v>1.5920000000000001</v>
      </c>
      <c r="M176" s="6">
        <v>1.49648</v>
      </c>
      <c r="N176" s="6">
        <v>1.5920000000000001</v>
      </c>
      <c r="O176" s="6">
        <v>1.49648</v>
      </c>
      <c r="P176" s="6">
        <v>0</v>
      </c>
      <c r="Q176" s="4" t="s">
        <v>26</v>
      </c>
      <c r="R176" s="4">
        <v>0</v>
      </c>
      <c r="S176" s="4" t="s">
        <v>146</v>
      </c>
      <c r="T176" s="4" t="s">
        <v>315</v>
      </c>
      <c r="U176" s="4">
        <v>0</v>
      </c>
      <c r="V176" s="4">
        <v>1</v>
      </c>
      <c r="W176" s="4">
        <v>73</v>
      </c>
    </row>
    <row r="177" spans="1:23" ht="11.25" customHeight="1" x14ac:dyDescent="0.3">
      <c r="A177" s="4" t="s">
        <v>21</v>
      </c>
      <c r="B177" s="4" t="s">
        <v>37</v>
      </c>
      <c r="C177" s="4" t="s">
        <v>38</v>
      </c>
      <c r="D177" s="4" t="s">
        <v>49</v>
      </c>
      <c r="E177" s="4" t="s">
        <v>50</v>
      </c>
      <c r="F177" s="4" t="s">
        <v>25</v>
      </c>
      <c r="G177" s="4" t="s">
        <v>25</v>
      </c>
      <c r="H177" s="4" t="s">
        <v>39</v>
      </c>
      <c r="I177" s="5">
        <v>44501</v>
      </c>
      <c r="J177" s="6">
        <v>0</v>
      </c>
      <c r="K177" s="6">
        <v>0</v>
      </c>
      <c r="L177" s="6">
        <v>1.4690000000000001</v>
      </c>
      <c r="M177" s="6">
        <v>1.38086</v>
      </c>
      <c r="N177" s="6">
        <v>1.4690000000000001</v>
      </c>
      <c r="O177" s="6">
        <v>1.38086</v>
      </c>
      <c r="P177" s="6">
        <v>0</v>
      </c>
      <c r="Q177" s="4" t="s">
        <v>26</v>
      </c>
      <c r="R177" s="4">
        <v>0</v>
      </c>
      <c r="S177" s="4" t="s">
        <v>147</v>
      </c>
      <c r="T177" s="4" t="s">
        <v>316</v>
      </c>
      <c r="U177" s="4">
        <v>0</v>
      </c>
      <c r="V177" s="4">
        <v>1</v>
      </c>
      <c r="W177" s="4">
        <v>73</v>
      </c>
    </row>
    <row r="178" spans="1:23" ht="11.25" customHeight="1" x14ac:dyDescent="0.3">
      <c r="A178" s="4" t="s">
        <v>21</v>
      </c>
      <c r="B178" s="4" t="s">
        <v>37</v>
      </c>
      <c r="C178" s="4" t="s">
        <v>38</v>
      </c>
      <c r="D178" s="4" t="s">
        <v>49</v>
      </c>
      <c r="E178" s="4" t="s">
        <v>50</v>
      </c>
      <c r="F178" s="4" t="s">
        <v>25</v>
      </c>
      <c r="G178" s="4" t="s">
        <v>25</v>
      </c>
      <c r="H178" s="4" t="s">
        <v>39</v>
      </c>
      <c r="I178" s="5">
        <v>44531</v>
      </c>
      <c r="J178" s="6">
        <v>0</v>
      </c>
      <c r="K178" s="6">
        <v>0</v>
      </c>
      <c r="L178" s="6">
        <v>1.651</v>
      </c>
      <c r="M178" s="6">
        <v>1.5519400000000001</v>
      </c>
      <c r="N178" s="6">
        <v>1.651</v>
      </c>
      <c r="O178" s="6">
        <v>1.5519400000000001</v>
      </c>
      <c r="P178" s="6">
        <v>0</v>
      </c>
      <c r="Q178" s="4" t="s">
        <v>26</v>
      </c>
      <c r="R178" s="4">
        <v>0</v>
      </c>
      <c r="S178" s="4" t="s">
        <v>148</v>
      </c>
      <c r="T178" s="4" t="s">
        <v>317</v>
      </c>
      <c r="U178" s="4">
        <v>0</v>
      </c>
      <c r="V178" s="4">
        <v>1</v>
      </c>
      <c r="W178" s="4">
        <v>73</v>
      </c>
    </row>
    <row r="179" spans="1:23" ht="11.25" customHeight="1" x14ac:dyDescent="0.3">
      <c r="A179" s="4" t="s">
        <v>21</v>
      </c>
      <c r="B179" s="4" t="s">
        <v>37</v>
      </c>
      <c r="C179" s="4" t="s">
        <v>38</v>
      </c>
      <c r="D179" s="4" t="s">
        <v>49</v>
      </c>
      <c r="E179" s="4" t="s">
        <v>50</v>
      </c>
      <c r="F179" s="4" t="s">
        <v>25</v>
      </c>
      <c r="G179" s="4" t="s">
        <v>25</v>
      </c>
      <c r="H179" s="4" t="s">
        <v>39</v>
      </c>
      <c r="I179" s="5">
        <v>44562</v>
      </c>
      <c r="J179" s="6">
        <v>0</v>
      </c>
      <c r="K179" s="6">
        <v>0</v>
      </c>
      <c r="L179" s="6">
        <v>1.58</v>
      </c>
      <c r="M179" s="6">
        <v>1.4852000000000001</v>
      </c>
      <c r="N179" s="6">
        <v>1.58</v>
      </c>
      <c r="O179" s="6">
        <v>1.4852000000000001</v>
      </c>
      <c r="P179" s="6">
        <v>0</v>
      </c>
      <c r="Q179" s="4" t="s">
        <v>26</v>
      </c>
      <c r="R179" s="4">
        <v>0</v>
      </c>
      <c r="S179" s="4" t="s">
        <v>149</v>
      </c>
      <c r="T179" s="4" t="s">
        <v>318</v>
      </c>
      <c r="U179" s="4">
        <v>0</v>
      </c>
      <c r="V179" s="4">
        <v>1</v>
      </c>
      <c r="W179" s="4">
        <v>73</v>
      </c>
    </row>
    <row r="180" spans="1:23" ht="11.25" customHeight="1" x14ac:dyDescent="0.3">
      <c r="A180" s="4" t="s">
        <v>21</v>
      </c>
      <c r="B180" s="4" t="s">
        <v>37</v>
      </c>
      <c r="C180" s="4" t="s">
        <v>38</v>
      </c>
      <c r="D180" s="4" t="s">
        <v>49</v>
      </c>
      <c r="E180" s="4" t="s">
        <v>50</v>
      </c>
      <c r="F180" s="4" t="s">
        <v>25</v>
      </c>
      <c r="G180" s="4" t="s">
        <v>25</v>
      </c>
      <c r="H180" s="4" t="s">
        <v>39</v>
      </c>
      <c r="I180" s="5">
        <v>44593</v>
      </c>
      <c r="J180" s="6">
        <v>0</v>
      </c>
      <c r="K180" s="6">
        <v>0</v>
      </c>
      <c r="L180" s="6">
        <v>1.6140000000000001</v>
      </c>
      <c r="M180" s="6">
        <v>1.5171600000000001</v>
      </c>
      <c r="N180" s="6">
        <v>1.6140000000000001</v>
      </c>
      <c r="O180" s="6">
        <v>1.5171600000000001</v>
      </c>
      <c r="P180" s="6">
        <v>0</v>
      </c>
      <c r="Q180" s="4" t="s">
        <v>26</v>
      </c>
      <c r="R180" s="4">
        <v>0</v>
      </c>
      <c r="S180" s="4" t="s">
        <v>150</v>
      </c>
      <c r="T180" s="4" t="s">
        <v>319</v>
      </c>
      <c r="U180" s="4">
        <v>0</v>
      </c>
      <c r="V180" s="4">
        <v>1</v>
      </c>
      <c r="W180" s="4">
        <v>73</v>
      </c>
    </row>
    <row r="181" spans="1:23" ht="11.25" customHeight="1" x14ac:dyDescent="0.3">
      <c r="A181" s="4" t="s">
        <v>21</v>
      </c>
      <c r="B181" s="4" t="s">
        <v>37</v>
      </c>
      <c r="C181" s="4" t="s">
        <v>38</v>
      </c>
      <c r="D181" s="4" t="s">
        <v>49</v>
      </c>
      <c r="E181" s="4" t="s">
        <v>50</v>
      </c>
      <c r="F181" s="4" t="s">
        <v>25</v>
      </c>
      <c r="G181" s="4" t="s">
        <v>25</v>
      </c>
      <c r="H181" s="4" t="s">
        <v>39</v>
      </c>
      <c r="I181" s="5">
        <v>44621</v>
      </c>
      <c r="J181" s="6">
        <v>0</v>
      </c>
      <c r="K181" s="6">
        <v>0</v>
      </c>
      <c r="L181" s="6">
        <v>1.8240000000000001</v>
      </c>
      <c r="M181" s="6">
        <v>1.7145600000000001</v>
      </c>
      <c r="N181" s="6">
        <v>1.8240000000000001</v>
      </c>
      <c r="O181" s="6">
        <v>1.7145600000000001</v>
      </c>
      <c r="P181" s="6">
        <v>0</v>
      </c>
      <c r="Q181" s="4" t="s">
        <v>26</v>
      </c>
      <c r="R181" s="4">
        <v>0</v>
      </c>
      <c r="S181" s="4" t="s">
        <v>151</v>
      </c>
      <c r="T181" s="4" t="s">
        <v>320</v>
      </c>
      <c r="U181" s="4">
        <v>0</v>
      </c>
      <c r="V181" s="4">
        <v>1</v>
      </c>
      <c r="W181" s="4">
        <v>73</v>
      </c>
    </row>
    <row r="182" spans="1:23" ht="11.25" customHeight="1" x14ac:dyDescent="0.3">
      <c r="A182" s="4" t="s">
        <v>21</v>
      </c>
      <c r="B182" s="4" t="s">
        <v>22</v>
      </c>
      <c r="C182" s="4" t="s">
        <v>33</v>
      </c>
      <c r="D182" s="4" t="s">
        <v>24</v>
      </c>
      <c r="E182" s="4" t="s">
        <v>24</v>
      </c>
      <c r="F182" s="4" t="s">
        <v>25</v>
      </c>
      <c r="G182" s="4" t="s">
        <v>25</v>
      </c>
      <c r="H182" s="4" t="s">
        <v>34</v>
      </c>
      <c r="I182" s="5">
        <v>44287</v>
      </c>
      <c r="J182" s="6">
        <v>0</v>
      </c>
      <c r="K182" s="6">
        <v>0</v>
      </c>
      <c r="L182" s="6">
        <v>7.1999999999999995E-2</v>
      </c>
      <c r="M182" s="6">
        <v>7.1999999999999995E-2</v>
      </c>
      <c r="N182" s="6">
        <v>7.1999999999999995E-2</v>
      </c>
      <c r="O182" s="6">
        <v>7.1999999999999995E-2</v>
      </c>
      <c r="P182" s="6">
        <v>0</v>
      </c>
      <c r="Q182" s="4" t="s">
        <v>26</v>
      </c>
      <c r="R182" s="4">
        <v>0</v>
      </c>
      <c r="S182" s="4" t="s">
        <v>152</v>
      </c>
      <c r="T182" s="4" t="s">
        <v>325</v>
      </c>
      <c r="U182" s="4">
        <v>0</v>
      </c>
      <c r="V182" s="4">
        <v>7</v>
      </c>
      <c r="W182" s="4">
        <v>22</v>
      </c>
    </row>
    <row r="183" spans="1:23" ht="11.25" customHeight="1" x14ac:dyDescent="0.3">
      <c r="A183" s="4" t="s">
        <v>21</v>
      </c>
      <c r="B183" s="4" t="s">
        <v>22</v>
      </c>
      <c r="C183" s="4" t="s">
        <v>33</v>
      </c>
      <c r="D183" s="4" t="s">
        <v>24</v>
      </c>
      <c r="E183" s="4" t="s">
        <v>24</v>
      </c>
      <c r="F183" s="4" t="s">
        <v>25</v>
      </c>
      <c r="G183" s="4" t="s">
        <v>25</v>
      </c>
      <c r="H183" s="4" t="s">
        <v>34</v>
      </c>
      <c r="I183" s="5">
        <v>44317</v>
      </c>
      <c r="J183" s="6">
        <v>0</v>
      </c>
      <c r="K183" s="6">
        <v>0</v>
      </c>
      <c r="L183" s="6">
        <v>7.1999999999999995E-2</v>
      </c>
      <c r="M183" s="6">
        <v>7.1999999999999995E-2</v>
      </c>
      <c r="N183" s="6">
        <v>7.1999999999999995E-2</v>
      </c>
      <c r="O183" s="6">
        <v>7.1999999999999995E-2</v>
      </c>
      <c r="P183" s="6">
        <v>0</v>
      </c>
      <c r="Q183" s="4" t="s">
        <v>26</v>
      </c>
      <c r="R183" s="4">
        <v>0</v>
      </c>
      <c r="S183" s="4" t="s">
        <v>153</v>
      </c>
      <c r="T183" s="4" t="s">
        <v>326</v>
      </c>
      <c r="U183" s="4">
        <v>0</v>
      </c>
      <c r="V183" s="4">
        <v>7</v>
      </c>
      <c r="W183" s="4">
        <v>22</v>
      </c>
    </row>
    <row r="184" spans="1:23" ht="11.25" customHeight="1" x14ac:dyDescent="0.3">
      <c r="A184" s="4" t="s">
        <v>21</v>
      </c>
      <c r="B184" s="4" t="s">
        <v>22</v>
      </c>
      <c r="C184" s="4" t="s">
        <v>33</v>
      </c>
      <c r="D184" s="4" t="s">
        <v>24</v>
      </c>
      <c r="E184" s="4" t="s">
        <v>24</v>
      </c>
      <c r="F184" s="4" t="s">
        <v>25</v>
      </c>
      <c r="G184" s="4" t="s">
        <v>25</v>
      </c>
      <c r="H184" s="4" t="s">
        <v>34</v>
      </c>
      <c r="I184" s="5">
        <v>44378</v>
      </c>
      <c r="J184" s="6">
        <v>0</v>
      </c>
      <c r="K184" s="6">
        <v>0</v>
      </c>
      <c r="L184" s="6">
        <v>6.3E-2</v>
      </c>
      <c r="M184" s="6">
        <v>6.3E-2</v>
      </c>
      <c r="N184" s="6">
        <v>6.3E-2</v>
      </c>
      <c r="O184" s="6">
        <v>6.3E-2</v>
      </c>
      <c r="P184" s="6">
        <v>0</v>
      </c>
      <c r="Q184" s="4" t="s">
        <v>26</v>
      </c>
      <c r="R184" s="4">
        <v>0</v>
      </c>
      <c r="S184" s="4" t="s">
        <v>154</v>
      </c>
      <c r="T184" s="4" t="s">
        <v>327</v>
      </c>
      <c r="U184" s="4">
        <v>0</v>
      </c>
      <c r="V184" s="4">
        <v>7</v>
      </c>
      <c r="W184" s="4">
        <v>22</v>
      </c>
    </row>
    <row r="185" spans="1:23" ht="11.25" customHeight="1" x14ac:dyDescent="0.3">
      <c r="A185" s="4" t="s">
        <v>21</v>
      </c>
      <c r="B185" s="4" t="s">
        <v>22</v>
      </c>
      <c r="C185" s="4" t="s">
        <v>33</v>
      </c>
      <c r="D185" s="4" t="s">
        <v>24</v>
      </c>
      <c r="E185" s="4" t="s">
        <v>24</v>
      </c>
      <c r="F185" s="4" t="s">
        <v>25</v>
      </c>
      <c r="G185" s="4" t="s">
        <v>25</v>
      </c>
      <c r="H185" s="4" t="s">
        <v>34</v>
      </c>
      <c r="I185" s="5">
        <v>44409</v>
      </c>
      <c r="J185" s="6">
        <v>0</v>
      </c>
      <c r="K185" s="6">
        <v>0</v>
      </c>
      <c r="L185" s="6">
        <v>7.1999999999999995E-2</v>
      </c>
      <c r="M185" s="6">
        <v>7.1999999999999995E-2</v>
      </c>
      <c r="N185" s="6">
        <v>7.1999999999999995E-2</v>
      </c>
      <c r="O185" s="6">
        <v>7.1999999999999995E-2</v>
      </c>
      <c r="P185" s="6">
        <v>0</v>
      </c>
      <c r="Q185" s="4" t="s">
        <v>26</v>
      </c>
      <c r="R185" s="4">
        <v>0</v>
      </c>
      <c r="S185" s="4" t="s">
        <v>155</v>
      </c>
      <c r="T185" s="4" t="s">
        <v>328</v>
      </c>
      <c r="U185" s="4">
        <v>0</v>
      </c>
      <c r="V185" s="4">
        <v>7</v>
      </c>
      <c r="W185" s="4">
        <v>22</v>
      </c>
    </row>
    <row r="186" spans="1:23" ht="11.25" customHeight="1" x14ac:dyDescent="0.3">
      <c r="A186" s="4" t="s">
        <v>21</v>
      </c>
      <c r="B186" s="4" t="s">
        <v>22</v>
      </c>
      <c r="C186" s="4" t="s">
        <v>33</v>
      </c>
      <c r="D186" s="4" t="s">
        <v>24</v>
      </c>
      <c r="E186" s="4" t="s">
        <v>24</v>
      </c>
      <c r="F186" s="4" t="s">
        <v>25</v>
      </c>
      <c r="G186" s="4" t="s">
        <v>25</v>
      </c>
      <c r="H186" s="4" t="s">
        <v>34</v>
      </c>
      <c r="I186" s="5">
        <v>44440</v>
      </c>
      <c r="J186" s="6">
        <v>0</v>
      </c>
      <c r="K186" s="6">
        <v>0</v>
      </c>
      <c r="L186" s="6">
        <v>7.1999999999999995E-2</v>
      </c>
      <c r="M186" s="6">
        <v>7.1999999999999995E-2</v>
      </c>
      <c r="N186" s="6">
        <v>7.1999999999999995E-2</v>
      </c>
      <c r="O186" s="6">
        <v>7.1999999999999995E-2</v>
      </c>
      <c r="P186" s="6">
        <v>0</v>
      </c>
      <c r="Q186" s="4" t="s">
        <v>26</v>
      </c>
      <c r="R186" s="4">
        <v>0</v>
      </c>
      <c r="S186" s="4" t="s">
        <v>156</v>
      </c>
      <c r="T186" s="4" t="s">
        <v>329</v>
      </c>
      <c r="U186" s="4">
        <v>0</v>
      </c>
      <c r="V186" s="4">
        <v>7</v>
      </c>
      <c r="W186" s="4">
        <v>22</v>
      </c>
    </row>
    <row r="187" spans="1:23" ht="11.25" customHeight="1" x14ac:dyDescent="0.3">
      <c r="A187" s="4" t="s">
        <v>21</v>
      </c>
      <c r="B187" s="4" t="s">
        <v>22</v>
      </c>
      <c r="C187" s="4" t="s">
        <v>33</v>
      </c>
      <c r="D187" s="4" t="s">
        <v>24</v>
      </c>
      <c r="E187" s="4" t="s">
        <v>24</v>
      </c>
      <c r="F187" s="4" t="s">
        <v>25</v>
      </c>
      <c r="G187" s="4" t="s">
        <v>25</v>
      </c>
      <c r="H187" s="4" t="s">
        <v>34</v>
      </c>
      <c r="I187" s="5">
        <v>44470</v>
      </c>
      <c r="J187" s="6">
        <v>0</v>
      </c>
      <c r="K187" s="6">
        <v>0</v>
      </c>
      <c r="L187" s="6">
        <v>7.1999999999999995E-2</v>
      </c>
      <c r="M187" s="6">
        <v>7.1999999999999995E-2</v>
      </c>
      <c r="N187" s="6">
        <v>7.1999999999999995E-2</v>
      </c>
      <c r="O187" s="6">
        <v>7.1999999999999995E-2</v>
      </c>
      <c r="P187" s="6">
        <v>0</v>
      </c>
      <c r="Q187" s="4" t="s">
        <v>26</v>
      </c>
      <c r="R187" s="4">
        <v>0</v>
      </c>
      <c r="S187" s="4" t="s">
        <v>157</v>
      </c>
      <c r="T187" s="4" t="s">
        <v>330</v>
      </c>
      <c r="U187" s="4">
        <v>0</v>
      </c>
      <c r="V187" s="4">
        <v>7</v>
      </c>
      <c r="W187" s="4">
        <v>22</v>
      </c>
    </row>
    <row r="188" spans="1:23" ht="11.25" customHeight="1" x14ac:dyDescent="0.3">
      <c r="A188" s="4" t="s">
        <v>21</v>
      </c>
      <c r="B188" s="4" t="s">
        <v>22</v>
      </c>
      <c r="C188" s="4" t="s">
        <v>33</v>
      </c>
      <c r="D188" s="4" t="s">
        <v>24</v>
      </c>
      <c r="E188" s="4" t="s">
        <v>24</v>
      </c>
      <c r="F188" s="4" t="s">
        <v>25</v>
      </c>
      <c r="G188" s="4" t="s">
        <v>25</v>
      </c>
      <c r="H188" s="4" t="s">
        <v>34</v>
      </c>
      <c r="I188" s="5">
        <v>44501</v>
      </c>
      <c r="J188" s="6">
        <v>0</v>
      </c>
      <c r="K188" s="6">
        <v>0</v>
      </c>
      <c r="L188" s="6">
        <v>7.1999999999999995E-2</v>
      </c>
      <c r="M188" s="6">
        <v>7.1999999999999995E-2</v>
      </c>
      <c r="N188" s="6">
        <v>7.1999999999999995E-2</v>
      </c>
      <c r="O188" s="6">
        <v>7.1999999999999995E-2</v>
      </c>
      <c r="P188" s="6">
        <v>0</v>
      </c>
      <c r="Q188" s="4" t="s">
        <v>26</v>
      </c>
      <c r="R188" s="4">
        <v>0</v>
      </c>
      <c r="S188" s="4" t="s">
        <v>158</v>
      </c>
      <c r="T188" s="4" t="s">
        <v>331</v>
      </c>
      <c r="U188" s="4">
        <v>0</v>
      </c>
      <c r="V188" s="4">
        <v>7</v>
      </c>
      <c r="W188" s="4">
        <v>22</v>
      </c>
    </row>
    <row r="189" spans="1:23" ht="11.25" customHeight="1" x14ac:dyDescent="0.3">
      <c r="A189" s="4" t="s">
        <v>21</v>
      </c>
      <c r="B189" s="4" t="s">
        <v>22</v>
      </c>
      <c r="C189" s="4" t="s">
        <v>33</v>
      </c>
      <c r="D189" s="4" t="s">
        <v>24</v>
      </c>
      <c r="E189" s="4" t="s">
        <v>24</v>
      </c>
      <c r="F189" s="4" t="s">
        <v>25</v>
      </c>
      <c r="G189" s="4" t="s">
        <v>25</v>
      </c>
      <c r="H189" s="4" t="s">
        <v>34</v>
      </c>
      <c r="I189" s="5">
        <v>44531</v>
      </c>
      <c r="J189" s="6">
        <v>0</v>
      </c>
      <c r="K189" s="6">
        <v>0</v>
      </c>
      <c r="L189" s="6">
        <v>7.1999999999999995E-2</v>
      </c>
      <c r="M189" s="6">
        <v>7.1999999999999995E-2</v>
      </c>
      <c r="N189" s="6">
        <v>7.1999999999999995E-2</v>
      </c>
      <c r="O189" s="6">
        <v>7.1999999999999995E-2</v>
      </c>
      <c r="P189" s="6">
        <v>0</v>
      </c>
      <c r="Q189" s="4" t="s">
        <v>26</v>
      </c>
      <c r="R189" s="4">
        <v>0</v>
      </c>
      <c r="S189" s="4" t="s">
        <v>159</v>
      </c>
      <c r="T189" s="4" t="s">
        <v>332</v>
      </c>
      <c r="U189" s="4">
        <v>0</v>
      </c>
      <c r="V189" s="4">
        <v>7</v>
      </c>
      <c r="W189" s="4">
        <v>22</v>
      </c>
    </row>
    <row r="190" spans="1:23" ht="11.25" customHeight="1" x14ac:dyDescent="0.3">
      <c r="A190" s="4" t="s">
        <v>21</v>
      </c>
      <c r="B190" s="4" t="s">
        <v>22</v>
      </c>
      <c r="C190" s="4" t="s">
        <v>33</v>
      </c>
      <c r="D190" s="4" t="s">
        <v>24</v>
      </c>
      <c r="E190" s="4" t="s">
        <v>24</v>
      </c>
      <c r="F190" s="4" t="s">
        <v>25</v>
      </c>
      <c r="G190" s="4" t="s">
        <v>25</v>
      </c>
      <c r="H190" s="4" t="s">
        <v>34</v>
      </c>
      <c r="I190" s="5">
        <v>44562</v>
      </c>
      <c r="J190" s="6">
        <v>0</v>
      </c>
      <c r="K190" s="6">
        <v>0</v>
      </c>
      <c r="L190" s="6">
        <v>7.1999999999999995E-2</v>
      </c>
      <c r="M190" s="6">
        <v>7.1999999999999995E-2</v>
      </c>
      <c r="N190" s="6">
        <v>7.1999999999999995E-2</v>
      </c>
      <c r="O190" s="6">
        <v>7.1999999999999995E-2</v>
      </c>
      <c r="P190" s="6">
        <v>0</v>
      </c>
      <c r="Q190" s="4" t="s">
        <v>26</v>
      </c>
      <c r="R190" s="4">
        <v>0</v>
      </c>
      <c r="S190" s="4" t="s">
        <v>160</v>
      </c>
      <c r="T190" s="4" t="s">
        <v>333</v>
      </c>
      <c r="U190" s="4">
        <v>0</v>
      </c>
      <c r="V190" s="4">
        <v>7</v>
      </c>
      <c r="W190" s="4">
        <v>22</v>
      </c>
    </row>
    <row r="191" spans="1:23" ht="11.25" customHeight="1" x14ac:dyDescent="0.3">
      <c r="A191" s="4" t="s">
        <v>21</v>
      </c>
      <c r="B191" s="4" t="s">
        <v>22</v>
      </c>
      <c r="C191" s="4" t="s">
        <v>33</v>
      </c>
      <c r="D191" s="4" t="s">
        <v>24</v>
      </c>
      <c r="E191" s="4" t="s">
        <v>24</v>
      </c>
      <c r="F191" s="4" t="s">
        <v>25</v>
      </c>
      <c r="G191" s="4" t="s">
        <v>25</v>
      </c>
      <c r="H191" s="4" t="s">
        <v>34</v>
      </c>
      <c r="I191" s="5">
        <v>44593</v>
      </c>
      <c r="J191" s="6">
        <v>0</v>
      </c>
      <c r="K191" s="6">
        <v>0</v>
      </c>
      <c r="L191" s="6">
        <v>7.1999999999999995E-2</v>
      </c>
      <c r="M191" s="6">
        <v>7.1999999999999995E-2</v>
      </c>
      <c r="N191" s="6">
        <v>7.1999999999999995E-2</v>
      </c>
      <c r="O191" s="6">
        <v>7.1999999999999995E-2</v>
      </c>
      <c r="P191" s="6">
        <v>0</v>
      </c>
      <c r="Q191" s="4" t="s">
        <v>26</v>
      </c>
      <c r="R191" s="4">
        <v>0</v>
      </c>
      <c r="S191" s="4" t="s">
        <v>161</v>
      </c>
      <c r="T191" s="4" t="s">
        <v>334</v>
      </c>
      <c r="U191" s="4">
        <v>0</v>
      </c>
      <c r="V191" s="4">
        <v>7</v>
      </c>
      <c r="W191" s="4">
        <v>22</v>
      </c>
    </row>
    <row r="192" spans="1:23" ht="11.25" customHeight="1" x14ac:dyDescent="0.3">
      <c r="A192" s="4" t="s">
        <v>21</v>
      </c>
      <c r="B192" s="4" t="s">
        <v>22</v>
      </c>
      <c r="C192" s="4" t="s">
        <v>33</v>
      </c>
      <c r="D192" s="4" t="s">
        <v>24</v>
      </c>
      <c r="E192" s="4" t="s">
        <v>24</v>
      </c>
      <c r="F192" s="4" t="s">
        <v>25</v>
      </c>
      <c r="G192" s="4" t="s">
        <v>25</v>
      </c>
      <c r="H192" s="4" t="s">
        <v>39</v>
      </c>
      <c r="I192" s="5">
        <v>44348</v>
      </c>
      <c r="J192" s="6">
        <v>0</v>
      </c>
      <c r="K192" s="6">
        <v>0</v>
      </c>
      <c r="L192" s="6">
        <v>2.8000000000000001E-2</v>
      </c>
      <c r="M192" s="6">
        <v>2.8000000000000001E-2</v>
      </c>
      <c r="N192" s="6">
        <v>2.8000000000000001E-2</v>
      </c>
      <c r="O192" s="6">
        <v>2.8000000000000001E-2</v>
      </c>
      <c r="P192" s="6">
        <v>0</v>
      </c>
      <c r="Q192" s="4" t="s">
        <v>26</v>
      </c>
      <c r="R192" s="4">
        <v>0</v>
      </c>
      <c r="S192" s="4" t="s">
        <v>162</v>
      </c>
      <c r="T192" s="4" t="s">
        <v>335</v>
      </c>
      <c r="U192" s="4">
        <v>0</v>
      </c>
      <c r="V192" s="4">
        <v>51</v>
      </c>
      <c r="W192" s="4">
        <v>20</v>
      </c>
    </row>
    <row r="193" spans="1:23" ht="11.25" customHeight="1" x14ac:dyDescent="0.3">
      <c r="A193" s="4" t="s">
        <v>21</v>
      </c>
      <c r="B193" s="4" t="s">
        <v>22</v>
      </c>
      <c r="C193" s="4" t="s">
        <v>33</v>
      </c>
      <c r="D193" s="4" t="s">
        <v>24</v>
      </c>
      <c r="E193" s="4" t="s">
        <v>24</v>
      </c>
      <c r="F193" s="4" t="s">
        <v>25</v>
      </c>
      <c r="G193" s="4" t="s">
        <v>25</v>
      </c>
      <c r="H193" s="4" t="s">
        <v>39</v>
      </c>
      <c r="I193" s="5">
        <v>44378</v>
      </c>
      <c r="J193" s="6">
        <v>0</v>
      </c>
      <c r="K193" s="6">
        <v>0</v>
      </c>
      <c r="L193" s="6">
        <v>3.0000000000000001E-3</v>
      </c>
      <c r="M193" s="6">
        <v>3.0000000000000001E-3</v>
      </c>
      <c r="N193" s="6">
        <v>3.0000000000000001E-3</v>
      </c>
      <c r="O193" s="6">
        <v>3.0000000000000001E-3</v>
      </c>
      <c r="P193" s="6">
        <v>0</v>
      </c>
      <c r="Q193" s="4" t="s">
        <v>26</v>
      </c>
      <c r="R193" s="4">
        <v>0</v>
      </c>
      <c r="S193" s="4" t="s">
        <v>163</v>
      </c>
      <c r="T193" s="4" t="s">
        <v>336</v>
      </c>
      <c r="U193" s="4">
        <v>0</v>
      </c>
      <c r="V193" s="4">
        <v>51</v>
      </c>
      <c r="W193" s="4">
        <v>20</v>
      </c>
    </row>
    <row r="194" spans="1:23" ht="11.25" customHeight="1" x14ac:dyDescent="0.3">
      <c r="A194" s="4" t="s">
        <v>21</v>
      </c>
      <c r="B194" s="4" t="s">
        <v>22</v>
      </c>
      <c r="C194" s="4" t="s">
        <v>23</v>
      </c>
      <c r="D194" s="4" t="s">
        <v>24</v>
      </c>
      <c r="E194" s="4" t="s">
        <v>24</v>
      </c>
      <c r="F194" s="4" t="s">
        <v>25</v>
      </c>
      <c r="G194" s="4" t="s">
        <v>25</v>
      </c>
      <c r="H194" s="4" t="s">
        <v>25</v>
      </c>
      <c r="I194" s="5">
        <v>44287</v>
      </c>
      <c r="J194" s="6">
        <v>0</v>
      </c>
      <c r="K194" s="6">
        <v>0</v>
      </c>
      <c r="L194" s="6">
        <v>963.36699999999996</v>
      </c>
      <c r="M194" s="6">
        <v>963.36699999999996</v>
      </c>
      <c r="N194" s="6">
        <v>963.36699999999996</v>
      </c>
      <c r="O194" s="6">
        <v>963.36699999999996</v>
      </c>
      <c r="P194" s="6">
        <v>6188</v>
      </c>
      <c r="Q194" s="4" t="s">
        <v>26</v>
      </c>
      <c r="R194" s="4">
        <v>0</v>
      </c>
      <c r="S194" s="4" t="s">
        <v>164</v>
      </c>
      <c r="T194" s="4" t="s">
        <v>337</v>
      </c>
      <c r="U194" s="4">
        <v>0</v>
      </c>
      <c r="V194" s="4">
        <v>8</v>
      </c>
      <c r="W194" s="4">
        <v>23</v>
      </c>
    </row>
    <row r="195" spans="1:23" ht="11.25" customHeight="1" x14ac:dyDescent="0.3">
      <c r="A195" s="4" t="s">
        <v>27</v>
      </c>
      <c r="B195" s="4" t="s">
        <v>22</v>
      </c>
      <c r="C195" s="4" t="s">
        <v>23</v>
      </c>
      <c r="D195" s="4" t="s">
        <v>24</v>
      </c>
      <c r="E195" s="4" t="s">
        <v>24</v>
      </c>
      <c r="F195" s="4" t="s">
        <v>25</v>
      </c>
      <c r="G195" s="4" t="s">
        <v>25</v>
      </c>
      <c r="H195" s="4" t="s">
        <v>25</v>
      </c>
      <c r="I195" s="5">
        <v>44287</v>
      </c>
      <c r="J195" s="6">
        <v>0</v>
      </c>
      <c r="K195" s="6">
        <v>0</v>
      </c>
      <c r="L195" s="6">
        <v>-1.056</v>
      </c>
      <c r="M195" s="6">
        <v>-1.056</v>
      </c>
      <c r="N195" s="6">
        <v>-1.056</v>
      </c>
      <c r="O195" s="6">
        <v>-1.056</v>
      </c>
      <c r="P195" s="6">
        <v>0</v>
      </c>
      <c r="Q195" s="4" t="s">
        <v>26</v>
      </c>
      <c r="R195" s="4">
        <v>0</v>
      </c>
      <c r="S195" s="4" t="s">
        <v>164</v>
      </c>
      <c r="T195" s="4" t="s">
        <v>337</v>
      </c>
      <c r="U195" s="4">
        <v>0</v>
      </c>
      <c r="V195" s="4">
        <v>8</v>
      </c>
      <c r="W195" s="4">
        <v>23</v>
      </c>
    </row>
    <row r="196" spans="1:23" ht="11.25" customHeight="1" x14ac:dyDescent="0.3">
      <c r="A196" s="4" t="s">
        <v>28</v>
      </c>
      <c r="B196" s="4" t="s">
        <v>22</v>
      </c>
      <c r="C196" s="4" t="s">
        <v>23</v>
      </c>
      <c r="D196" s="4" t="s">
        <v>24</v>
      </c>
      <c r="E196" s="4" t="s">
        <v>24</v>
      </c>
      <c r="F196" s="4" t="s">
        <v>25</v>
      </c>
      <c r="G196" s="4" t="s">
        <v>25</v>
      </c>
      <c r="H196" s="4" t="s">
        <v>25</v>
      </c>
      <c r="I196" s="5">
        <v>44287</v>
      </c>
      <c r="J196" s="6">
        <v>0</v>
      </c>
      <c r="K196" s="6">
        <v>0</v>
      </c>
      <c r="L196" s="6">
        <v>4.0199999999999996</v>
      </c>
      <c r="M196" s="6">
        <v>4.0199999999999996</v>
      </c>
      <c r="N196" s="6">
        <v>4.0199999999999996</v>
      </c>
      <c r="O196" s="6">
        <v>4.0199999999999996</v>
      </c>
      <c r="P196" s="6">
        <v>30</v>
      </c>
      <c r="Q196" s="4" t="s">
        <v>26</v>
      </c>
      <c r="R196" s="4">
        <v>0</v>
      </c>
      <c r="S196" s="4" t="s">
        <v>164</v>
      </c>
      <c r="T196" s="4" t="s">
        <v>337</v>
      </c>
      <c r="U196" s="4">
        <v>0</v>
      </c>
      <c r="V196" s="4">
        <v>8</v>
      </c>
      <c r="W196" s="4">
        <v>23</v>
      </c>
    </row>
    <row r="197" spans="1:23" ht="11.25" customHeight="1" x14ac:dyDescent="0.3">
      <c r="A197" s="4" t="s">
        <v>21</v>
      </c>
      <c r="B197" s="4" t="s">
        <v>22</v>
      </c>
      <c r="C197" s="4" t="s">
        <v>23</v>
      </c>
      <c r="D197" s="4" t="s">
        <v>24</v>
      </c>
      <c r="E197" s="4" t="s">
        <v>24</v>
      </c>
      <c r="F197" s="4" t="s">
        <v>25</v>
      </c>
      <c r="G197" s="4" t="s">
        <v>25</v>
      </c>
      <c r="H197" s="4" t="s">
        <v>25</v>
      </c>
      <c r="I197" s="5">
        <v>44317</v>
      </c>
      <c r="J197" s="6">
        <v>0</v>
      </c>
      <c r="K197" s="6">
        <v>0</v>
      </c>
      <c r="L197" s="6">
        <v>758.10400000000004</v>
      </c>
      <c r="M197" s="6">
        <v>758.10400000000004</v>
      </c>
      <c r="N197" s="6">
        <v>758.10400000000004</v>
      </c>
      <c r="O197" s="6">
        <v>758.10400000000004</v>
      </c>
      <c r="P197" s="6">
        <v>6140</v>
      </c>
      <c r="Q197" s="4" t="s">
        <v>26</v>
      </c>
      <c r="R197" s="4">
        <v>0</v>
      </c>
      <c r="S197" s="4" t="s">
        <v>165</v>
      </c>
      <c r="T197" s="4" t="s">
        <v>338</v>
      </c>
      <c r="U197" s="4">
        <v>0</v>
      </c>
      <c r="V197" s="4">
        <v>8</v>
      </c>
      <c r="W197" s="4">
        <v>23</v>
      </c>
    </row>
    <row r="198" spans="1:23" ht="11.25" customHeight="1" x14ac:dyDescent="0.3">
      <c r="A198" s="4" t="s">
        <v>27</v>
      </c>
      <c r="B198" s="4" t="s">
        <v>22</v>
      </c>
      <c r="C198" s="4" t="s">
        <v>23</v>
      </c>
      <c r="D198" s="4" t="s">
        <v>24</v>
      </c>
      <c r="E198" s="4" t="s">
        <v>24</v>
      </c>
      <c r="F198" s="4" t="s">
        <v>25</v>
      </c>
      <c r="G198" s="4" t="s">
        <v>25</v>
      </c>
      <c r="H198" s="4" t="s">
        <v>25</v>
      </c>
      <c r="I198" s="5">
        <v>44317</v>
      </c>
      <c r="J198" s="6">
        <v>0</v>
      </c>
      <c r="K198" s="6">
        <v>0</v>
      </c>
      <c r="L198" s="6">
        <v>-11.135</v>
      </c>
      <c r="M198" s="6">
        <v>-11.135</v>
      </c>
      <c r="N198" s="6">
        <v>-11.135</v>
      </c>
      <c r="O198" s="6">
        <v>-11.135</v>
      </c>
      <c r="P198" s="6">
        <v>0</v>
      </c>
      <c r="Q198" s="4" t="s">
        <v>26</v>
      </c>
      <c r="R198" s="4">
        <v>0</v>
      </c>
      <c r="S198" s="4" t="s">
        <v>165</v>
      </c>
      <c r="T198" s="4" t="s">
        <v>338</v>
      </c>
      <c r="U198" s="4">
        <v>0</v>
      </c>
      <c r="V198" s="4">
        <v>8</v>
      </c>
      <c r="W198" s="4">
        <v>23</v>
      </c>
    </row>
    <row r="199" spans="1:23" ht="11.25" customHeight="1" x14ac:dyDescent="0.3">
      <c r="A199" s="4" t="s">
        <v>28</v>
      </c>
      <c r="B199" s="4" t="s">
        <v>22</v>
      </c>
      <c r="C199" s="4" t="s">
        <v>23</v>
      </c>
      <c r="D199" s="4" t="s">
        <v>24</v>
      </c>
      <c r="E199" s="4" t="s">
        <v>24</v>
      </c>
      <c r="F199" s="4" t="s">
        <v>25</v>
      </c>
      <c r="G199" s="4" t="s">
        <v>25</v>
      </c>
      <c r="H199" s="4" t="s">
        <v>25</v>
      </c>
      <c r="I199" s="5">
        <v>44317</v>
      </c>
      <c r="J199" s="6">
        <v>0</v>
      </c>
      <c r="K199" s="6">
        <v>0</v>
      </c>
      <c r="L199" s="6">
        <v>3.7429999999999999</v>
      </c>
      <c r="M199" s="6">
        <v>3.7429999999999999</v>
      </c>
      <c r="N199" s="6">
        <v>3.7429999999999999</v>
      </c>
      <c r="O199" s="6">
        <v>3.7429999999999999</v>
      </c>
      <c r="P199" s="6">
        <v>34</v>
      </c>
      <c r="Q199" s="4" t="s">
        <v>26</v>
      </c>
      <c r="R199" s="4">
        <v>0</v>
      </c>
      <c r="S199" s="4" t="s">
        <v>165</v>
      </c>
      <c r="T199" s="4" t="s">
        <v>338</v>
      </c>
      <c r="U199" s="4">
        <v>0</v>
      </c>
      <c r="V199" s="4">
        <v>8</v>
      </c>
      <c r="W199" s="4">
        <v>23</v>
      </c>
    </row>
    <row r="200" spans="1:23" ht="11.25" customHeight="1" x14ac:dyDescent="0.3">
      <c r="A200" s="4" t="s">
        <v>21</v>
      </c>
      <c r="B200" s="4" t="s">
        <v>22</v>
      </c>
      <c r="C200" s="4" t="s">
        <v>23</v>
      </c>
      <c r="D200" s="4" t="s">
        <v>24</v>
      </c>
      <c r="E200" s="4" t="s">
        <v>24</v>
      </c>
      <c r="F200" s="4" t="s">
        <v>25</v>
      </c>
      <c r="G200" s="4" t="s">
        <v>25</v>
      </c>
      <c r="H200" s="4" t="s">
        <v>25</v>
      </c>
      <c r="I200" s="5">
        <v>44348</v>
      </c>
      <c r="J200" s="6">
        <v>0</v>
      </c>
      <c r="K200" s="6">
        <v>0</v>
      </c>
      <c r="L200" s="6">
        <v>897.89300000000003</v>
      </c>
      <c r="M200" s="6">
        <v>897.89300000000003</v>
      </c>
      <c r="N200" s="6">
        <v>897.89300000000003</v>
      </c>
      <c r="O200" s="6">
        <v>897.89300000000003</v>
      </c>
      <c r="P200" s="6">
        <v>6216</v>
      </c>
      <c r="Q200" s="4" t="s">
        <v>26</v>
      </c>
      <c r="R200" s="4">
        <v>0</v>
      </c>
      <c r="S200" s="4" t="s">
        <v>166</v>
      </c>
      <c r="T200" s="4" t="s">
        <v>339</v>
      </c>
      <c r="U200" s="4">
        <v>0</v>
      </c>
      <c r="V200" s="4">
        <v>8</v>
      </c>
      <c r="W200" s="4">
        <v>23</v>
      </c>
    </row>
    <row r="201" spans="1:23" ht="11.25" customHeight="1" x14ac:dyDescent="0.3">
      <c r="A201" s="4" t="s">
        <v>27</v>
      </c>
      <c r="B201" s="4" t="s">
        <v>22</v>
      </c>
      <c r="C201" s="4" t="s">
        <v>23</v>
      </c>
      <c r="D201" s="4" t="s">
        <v>24</v>
      </c>
      <c r="E201" s="4" t="s">
        <v>24</v>
      </c>
      <c r="F201" s="4" t="s">
        <v>25</v>
      </c>
      <c r="G201" s="4" t="s">
        <v>25</v>
      </c>
      <c r="H201" s="4" t="s">
        <v>25</v>
      </c>
      <c r="I201" s="5">
        <v>44348</v>
      </c>
      <c r="J201" s="6">
        <v>0</v>
      </c>
      <c r="K201" s="6">
        <v>0</v>
      </c>
      <c r="L201" s="6">
        <v>-100.111</v>
      </c>
      <c r="M201" s="6">
        <v>-100.111</v>
      </c>
      <c r="N201" s="6">
        <v>-100.111</v>
      </c>
      <c r="O201" s="6">
        <v>-100.111</v>
      </c>
      <c r="P201" s="6">
        <v>0</v>
      </c>
      <c r="Q201" s="4" t="s">
        <v>26</v>
      </c>
      <c r="R201" s="4">
        <v>0</v>
      </c>
      <c r="S201" s="4" t="s">
        <v>166</v>
      </c>
      <c r="T201" s="4" t="s">
        <v>339</v>
      </c>
      <c r="U201" s="4">
        <v>0</v>
      </c>
      <c r="V201" s="4">
        <v>8</v>
      </c>
      <c r="W201" s="4">
        <v>23</v>
      </c>
    </row>
    <row r="202" spans="1:23" ht="11.25" customHeight="1" x14ac:dyDescent="0.3">
      <c r="A202" s="4" t="s">
        <v>28</v>
      </c>
      <c r="B202" s="4" t="s">
        <v>22</v>
      </c>
      <c r="C202" s="4" t="s">
        <v>23</v>
      </c>
      <c r="D202" s="4" t="s">
        <v>24</v>
      </c>
      <c r="E202" s="4" t="s">
        <v>24</v>
      </c>
      <c r="F202" s="4" t="s">
        <v>25</v>
      </c>
      <c r="G202" s="4" t="s">
        <v>25</v>
      </c>
      <c r="H202" s="4" t="s">
        <v>25</v>
      </c>
      <c r="I202" s="5">
        <v>44348</v>
      </c>
      <c r="J202" s="6">
        <v>0</v>
      </c>
      <c r="K202" s="6">
        <v>0</v>
      </c>
      <c r="L202" s="6">
        <v>4.6529999999999996</v>
      </c>
      <c r="M202" s="6">
        <v>4.6529999999999996</v>
      </c>
      <c r="N202" s="6">
        <v>4.6529999999999996</v>
      </c>
      <c r="O202" s="6">
        <v>4.6529999999999996</v>
      </c>
      <c r="P202" s="6">
        <v>38</v>
      </c>
      <c r="Q202" s="4" t="s">
        <v>26</v>
      </c>
      <c r="R202" s="4">
        <v>0</v>
      </c>
      <c r="S202" s="4" t="s">
        <v>166</v>
      </c>
      <c r="T202" s="4" t="s">
        <v>339</v>
      </c>
      <c r="U202" s="4">
        <v>0</v>
      </c>
      <c r="V202" s="4">
        <v>8</v>
      </c>
      <c r="W202" s="4">
        <v>23</v>
      </c>
    </row>
    <row r="203" spans="1:23" ht="11.25" customHeight="1" x14ac:dyDescent="0.3">
      <c r="A203" s="4" t="s">
        <v>21</v>
      </c>
      <c r="B203" s="4" t="s">
        <v>22</v>
      </c>
      <c r="C203" s="4" t="s">
        <v>23</v>
      </c>
      <c r="D203" s="4" t="s">
        <v>24</v>
      </c>
      <c r="E203" s="4" t="s">
        <v>24</v>
      </c>
      <c r="F203" s="4" t="s">
        <v>25</v>
      </c>
      <c r="G203" s="4" t="s">
        <v>25</v>
      </c>
      <c r="H203" s="4" t="s">
        <v>25</v>
      </c>
      <c r="I203" s="5">
        <v>44378</v>
      </c>
      <c r="J203" s="6">
        <v>0</v>
      </c>
      <c r="K203" s="6">
        <v>0</v>
      </c>
      <c r="L203" s="6">
        <v>680.02599999999995</v>
      </c>
      <c r="M203" s="6">
        <v>680.02599999999995</v>
      </c>
      <c r="N203" s="6">
        <v>680.02599999999995</v>
      </c>
      <c r="O203" s="6">
        <v>680.02599999999995</v>
      </c>
      <c r="P203" s="6">
        <v>6215</v>
      </c>
      <c r="Q203" s="4" t="s">
        <v>26</v>
      </c>
      <c r="R203" s="4">
        <v>0</v>
      </c>
      <c r="S203" s="4" t="s">
        <v>167</v>
      </c>
      <c r="T203" s="4" t="s">
        <v>340</v>
      </c>
      <c r="U203" s="4">
        <v>0</v>
      </c>
      <c r="V203" s="4">
        <v>8</v>
      </c>
      <c r="W203" s="4">
        <v>23</v>
      </c>
    </row>
    <row r="204" spans="1:23" ht="11.25" customHeight="1" x14ac:dyDescent="0.3">
      <c r="A204" s="4" t="s">
        <v>27</v>
      </c>
      <c r="B204" s="4" t="s">
        <v>22</v>
      </c>
      <c r="C204" s="4" t="s">
        <v>23</v>
      </c>
      <c r="D204" s="4" t="s">
        <v>24</v>
      </c>
      <c r="E204" s="4" t="s">
        <v>24</v>
      </c>
      <c r="F204" s="4" t="s">
        <v>25</v>
      </c>
      <c r="G204" s="4" t="s">
        <v>25</v>
      </c>
      <c r="H204" s="4" t="s">
        <v>25</v>
      </c>
      <c r="I204" s="5">
        <v>44378</v>
      </c>
      <c r="J204" s="6">
        <v>0</v>
      </c>
      <c r="K204" s="6">
        <v>0</v>
      </c>
      <c r="L204" s="6">
        <v>-2.109</v>
      </c>
      <c r="M204" s="6">
        <v>-2.109</v>
      </c>
      <c r="N204" s="6">
        <v>-2.109</v>
      </c>
      <c r="O204" s="6">
        <v>-2.109</v>
      </c>
      <c r="P204" s="6">
        <v>0</v>
      </c>
      <c r="Q204" s="4" t="s">
        <v>26</v>
      </c>
      <c r="R204" s="4">
        <v>0</v>
      </c>
      <c r="S204" s="4" t="s">
        <v>167</v>
      </c>
      <c r="T204" s="4" t="s">
        <v>340</v>
      </c>
      <c r="U204" s="4">
        <v>0</v>
      </c>
      <c r="V204" s="4">
        <v>8</v>
      </c>
      <c r="W204" s="4">
        <v>23</v>
      </c>
    </row>
    <row r="205" spans="1:23" ht="11.25" customHeight="1" x14ac:dyDescent="0.3">
      <c r="A205" s="4" t="s">
        <v>28</v>
      </c>
      <c r="B205" s="4" t="s">
        <v>22</v>
      </c>
      <c r="C205" s="4" t="s">
        <v>23</v>
      </c>
      <c r="D205" s="4" t="s">
        <v>24</v>
      </c>
      <c r="E205" s="4" t="s">
        <v>24</v>
      </c>
      <c r="F205" s="4" t="s">
        <v>25</v>
      </c>
      <c r="G205" s="4" t="s">
        <v>25</v>
      </c>
      <c r="H205" s="4" t="s">
        <v>25</v>
      </c>
      <c r="I205" s="5">
        <v>44378</v>
      </c>
      <c r="J205" s="6">
        <v>0</v>
      </c>
      <c r="K205" s="6">
        <v>0</v>
      </c>
      <c r="L205" s="6">
        <v>4.1900000000000004</v>
      </c>
      <c r="M205" s="6">
        <v>4.1900000000000004</v>
      </c>
      <c r="N205" s="6">
        <v>4.1900000000000004</v>
      </c>
      <c r="O205" s="6">
        <v>4.1900000000000004</v>
      </c>
      <c r="P205" s="6">
        <v>40</v>
      </c>
      <c r="Q205" s="4" t="s">
        <v>26</v>
      </c>
      <c r="R205" s="4">
        <v>0</v>
      </c>
      <c r="S205" s="4" t="s">
        <v>167</v>
      </c>
      <c r="T205" s="4" t="s">
        <v>340</v>
      </c>
      <c r="U205" s="4">
        <v>0</v>
      </c>
      <c r="V205" s="4">
        <v>8</v>
      </c>
      <c r="W205" s="4">
        <v>23</v>
      </c>
    </row>
    <row r="206" spans="1:23" ht="11.25" customHeight="1" x14ac:dyDescent="0.3">
      <c r="A206" s="4" t="s">
        <v>21</v>
      </c>
      <c r="B206" s="4" t="s">
        <v>22</v>
      </c>
      <c r="C206" s="4" t="s">
        <v>23</v>
      </c>
      <c r="D206" s="4" t="s">
        <v>24</v>
      </c>
      <c r="E206" s="4" t="s">
        <v>24</v>
      </c>
      <c r="F206" s="4" t="s">
        <v>25</v>
      </c>
      <c r="G206" s="4" t="s">
        <v>25</v>
      </c>
      <c r="H206" s="4" t="s">
        <v>25</v>
      </c>
      <c r="I206" s="5">
        <v>44409</v>
      </c>
      <c r="J206" s="6">
        <v>0</v>
      </c>
      <c r="K206" s="6">
        <v>0</v>
      </c>
      <c r="L206" s="6">
        <v>722.93700000000001</v>
      </c>
      <c r="M206" s="6">
        <v>722.93700000000001</v>
      </c>
      <c r="N206" s="6">
        <v>722.93700000000001</v>
      </c>
      <c r="O206" s="6">
        <v>722.93700000000001</v>
      </c>
      <c r="P206" s="6">
        <v>6232</v>
      </c>
      <c r="Q206" s="4" t="s">
        <v>26</v>
      </c>
      <c r="R206" s="4">
        <v>0</v>
      </c>
      <c r="S206" s="4" t="s">
        <v>168</v>
      </c>
      <c r="T206" s="4" t="s">
        <v>341</v>
      </c>
      <c r="U206" s="4">
        <v>0</v>
      </c>
      <c r="V206" s="4">
        <v>8</v>
      </c>
      <c r="W206" s="4">
        <v>23</v>
      </c>
    </row>
    <row r="207" spans="1:23" ht="11.25" customHeight="1" x14ac:dyDescent="0.3">
      <c r="A207" s="4" t="s">
        <v>27</v>
      </c>
      <c r="B207" s="4" t="s">
        <v>22</v>
      </c>
      <c r="C207" s="4" t="s">
        <v>23</v>
      </c>
      <c r="D207" s="4" t="s">
        <v>24</v>
      </c>
      <c r="E207" s="4" t="s">
        <v>24</v>
      </c>
      <c r="F207" s="4" t="s">
        <v>25</v>
      </c>
      <c r="G207" s="4" t="s">
        <v>25</v>
      </c>
      <c r="H207" s="4" t="s">
        <v>25</v>
      </c>
      <c r="I207" s="5">
        <v>44409</v>
      </c>
      <c r="J207" s="6">
        <v>0</v>
      </c>
      <c r="K207" s="6">
        <v>0</v>
      </c>
      <c r="L207" s="6">
        <v>-0.443</v>
      </c>
      <c r="M207" s="6">
        <v>-0.443</v>
      </c>
      <c r="N207" s="6">
        <v>-0.443</v>
      </c>
      <c r="O207" s="6">
        <v>-0.443</v>
      </c>
      <c r="P207" s="6">
        <v>0</v>
      </c>
      <c r="Q207" s="4" t="s">
        <v>26</v>
      </c>
      <c r="R207" s="4">
        <v>0</v>
      </c>
      <c r="S207" s="4" t="s">
        <v>168</v>
      </c>
      <c r="T207" s="4" t="s">
        <v>341</v>
      </c>
      <c r="U207" s="4">
        <v>0</v>
      </c>
      <c r="V207" s="4">
        <v>8</v>
      </c>
      <c r="W207" s="4">
        <v>23</v>
      </c>
    </row>
    <row r="208" spans="1:23" ht="11.25" customHeight="1" x14ac:dyDescent="0.3">
      <c r="A208" s="4" t="s">
        <v>28</v>
      </c>
      <c r="B208" s="4" t="s">
        <v>22</v>
      </c>
      <c r="C208" s="4" t="s">
        <v>23</v>
      </c>
      <c r="D208" s="4" t="s">
        <v>24</v>
      </c>
      <c r="E208" s="4" t="s">
        <v>24</v>
      </c>
      <c r="F208" s="4" t="s">
        <v>25</v>
      </c>
      <c r="G208" s="4" t="s">
        <v>25</v>
      </c>
      <c r="H208" s="4" t="s">
        <v>25</v>
      </c>
      <c r="I208" s="5">
        <v>44409</v>
      </c>
      <c r="J208" s="6">
        <v>0</v>
      </c>
      <c r="K208" s="6">
        <v>0</v>
      </c>
      <c r="L208" s="6">
        <v>4.3440000000000003</v>
      </c>
      <c r="M208" s="6">
        <v>4.3440000000000003</v>
      </c>
      <c r="N208" s="6">
        <v>4.3440000000000003</v>
      </c>
      <c r="O208" s="6">
        <v>4.3440000000000003</v>
      </c>
      <c r="P208" s="6">
        <v>44</v>
      </c>
      <c r="Q208" s="4" t="s">
        <v>26</v>
      </c>
      <c r="R208" s="4">
        <v>0</v>
      </c>
      <c r="S208" s="4" t="s">
        <v>168</v>
      </c>
      <c r="T208" s="4" t="s">
        <v>341</v>
      </c>
      <c r="U208" s="4">
        <v>0</v>
      </c>
      <c r="V208" s="4">
        <v>8</v>
      </c>
      <c r="W208" s="4">
        <v>23</v>
      </c>
    </row>
    <row r="209" spans="1:23" ht="11.25" customHeight="1" x14ac:dyDescent="0.3">
      <c r="A209" s="4" t="s">
        <v>21</v>
      </c>
      <c r="B209" s="4" t="s">
        <v>22</v>
      </c>
      <c r="C209" s="4" t="s">
        <v>23</v>
      </c>
      <c r="D209" s="4" t="s">
        <v>24</v>
      </c>
      <c r="E209" s="4" t="s">
        <v>24</v>
      </c>
      <c r="F209" s="4" t="s">
        <v>25</v>
      </c>
      <c r="G209" s="4" t="s">
        <v>25</v>
      </c>
      <c r="H209" s="4" t="s">
        <v>25</v>
      </c>
      <c r="I209" s="5">
        <v>44440</v>
      </c>
      <c r="J209" s="6">
        <v>0</v>
      </c>
      <c r="K209" s="6">
        <v>0</v>
      </c>
      <c r="L209" s="6">
        <v>748.72400000000005</v>
      </c>
      <c r="M209" s="6">
        <v>748.72400000000005</v>
      </c>
      <c r="N209" s="6">
        <v>748.72400000000005</v>
      </c>
      <c r="O209" s="6">
        <v>748.72400000000005</v>
      </c>
      <c r="P209" s="6">
        <v>6235</v>
      </c>
      <c r="Q209" s="4" t="s">
        <v>26</v>
      </c>
      <c r="R209" s="4">
        <v>0</v>
      </c>
      <c r="S209" s="4" t="s">
        <v>169</v>
      </c>
      <c r="T209" s="4" t="s">
        <v>342</v>
      </c>
      <c r="U209" s="4">
        <v>0</v>
      </c>
      <c r="V209" s="4">
        <v>8</v>
      </c>
      <c r="W209" s="4">
        <v>23</v>
      </c>
    </row>
    <row r="210" spans="1:23" ht="11.25" customHeight="1" x14ac:dyDescent="0.3">
      <c r="A210" s="4" t="s">
        <v>27</v>
      </c>
      <c r="B210" s="4" t="s">
        <v>22</v>
      </c>
      <c r="C210" s="4" t="s">
        <v>23</v>
      </c>
      <c r="D210" s="4" t="s">
        <v>24</v>
      </c>
      <c r="E210" s="4" t="s">
        <v>24</v>
      </c>
      <c r="F210" s="4" t="s">
        <v>25</v>
      </c>
      <c r="G210" s="4" t="s">
        <v>25</v>
      </c>
      <c r="H210" s="4" t="s">
        <v>25</v>
      </c>
      <c r="I210" s="5">
        <v>44440</v>
      </c>
      <c r="J210" s="6">
        <v>0</v>
      </c>
      <c r="K210" s="6">
        <v>0</v>
      </c>
      <c r="L210" s="6">
        <v>-1.8620000000000001</v>
      </c>
      <c r="M210" s="6">
        <v>-1.8620000000000001</v>
      </c>
      <c r="N210" s="6">
        <v>-1.8620000000000001</v>
      </c>
      <c r="O210" s="6">
        <v>-1.8620000000000001</v>
      </c>
      <c r="P210" s="6">
        <v>0</v>
      </c>
      <c r="Q210" s="4" t="s">
        <v>26</v>
      </c>
      <c r="R210" s="4">
        <v>0</v>
      </c>
      <c r="S210" s="4" t="s">
        <v>169</v>
      </c>
      <c r="T210" s="4" t="s">
        <v>342</v>
      </c>
      <c r="U210" s="4">
        <v>0</v>
      </c>
      <c r="V210" s="4">
        <v>8</v>
      </c>
      <c r="W210" s="4">
        <v>23</v>
      </c>
    </row>
    <row r="211" spans="1:23" ht="11.25" customHeight="1" x14ac:dyDescent="0.3">
      <c r="A211" s="4" t="s">
        <v>28</v>
      </c>
      <c r="B211" s="4" t="s">
        <v>22</v>
      </c>
      <c r="C211" s="4" t="s">
        <v>23</v>
      </c>
      <c r="D211" s="4" t="s">
        <v>24</v>
      </c>
      <c r="E211" s="4" t="s">
        <v>24</v>
      </c>
      <c r="F211" s="4" t="s">
        <v>25</v>
      </c>
      <c r="G211" s="4" t="s">
        <v>25</v>
      </c>
      <c r="H211" s="4" t="s">
        <v>25</v>
      </c>
      <c r="I211" s="5">
        <v>44440</v>
      </c>
      <c r="J211" s="6">
        <v>0</v>
      </c>
      <c r="K211" s="6">
        <v>0</v>
      </c>
      <c r="L211" s="6">
        <v>4.1399999999999997</v>
      </c>
      <c r="M211" s="6">
        <v>4.1399999999999997</v>
      </c>
      <c r="N211" s="6">
        <v>4.1399999999999997</v>
      </c>
      <c r="O211" s="6">
        <v>4.1399999999999997</v>
      </c>
      <c r="P211" s="6">
        <v>48</v>
      </c>
      <c r="Q211" s="4" t="s">
        <v>26</v>
      </c>
      <c r="R211" s="4">
        <v>0</v>
      </c>
      <c r="S211" s="4" t="s">
        <v>169</v>
      </c>
      <c r="T211" s="4" t="s">
        <v>342</v>
      </c>
      <c r="U211" s="4">
        <v>0</v>
      </c>
      <c r="V211" s="4">
        <v>8</v>
      </c>
      <c r="W211" s="4">
        <v>23</v>
      </c>
    </row>
    <row r="212" spans="1:23" ht="11.25" customHeight="1" x14ac:dyDescent="0.3">
      <c r="A212" s="4" t="s">
        <v>21</v>
      </c>
      <c r="B212" s="4" t="s">
        <v>22</v>
      </c>
      <c r="C212" s="4" t="s">
        <v>23</v>
      </c>
      <c r="D212" s="4" t="s">
        <v>24</v>
      </c>
      <c r="E212" s="4" t="s">
        <v>24</v>
      </c>
      <c r="F212" s="4" t="s">
        <v>25</v>
      </c>
      <c r="G212" s="4" t="s">
        <v>25</v>
      </c>
      <c r="H212" s="4" t="s">
        <v>25</v>
      </c>
      <c r="I212" s="5">
        <v>44470</v>
      </c>
      <c r="J212" s="6">
        <v>0</v>
      </c>
      <c r="K212" s="6">
        <v>0</v>
      </c>
      <c r="L212" s="6">
        <v>800.19600000000003</v>
      </c>
      <c r="M212" s="6">
        <v>800.19600000000003</v>
      </c>
      <c r="N212" s="6">
        <v>800.19600000000003</v>
      </c>
      <c r="O212" s="6">
        <v>800.19600000000003</v>
      </c>
      <c r="P212" s="6">
        <v>6267</v>
      </c>
      <c r="Q212" s="4" t="s">
        <v>26</v>
      </c>
      <c r="R212" s="4">
        <v>0</v>
      </c>
      <c r="S212" s="4" t="s">
        <v>170</v>
      </c>
      <c r="T212" s="4" t="s">
        <v>343</v>
      </c>
      <c r="U212" s="4">
        <v>0</v>
      </c>
      <c r="V212" s="4">
        <v>8</v>
      </c>
      <c r="W212" s="4">
        <v>23</v>
      </c>
    </row>
    <row r="213" spans="1:23" ht="11.25" customHeight="1" x14ac:dyDescent="0.3">
      <c r="A213" s="4" t="s">
        <v>27</v>
      </c>
      <c r="B213" s="4" t="s">
        <v>22</v>
      </c>
      <c r="C213" s="4" t="s">
        <v>23</v>
      </c>
      <c r="D213" s="4" t="s">
        <v>24</v>
      </c>
      <c r="E213" s="4" t="s">
        <v>24</v>
      </c>
      <c r="F213" s="4" t="s">
        <v>25</v>
      </c>
      <c r="G213" s="4" t="s">
        <v>25</v>
      </c>
      <c r="H213" s="4" t="s">
        <v>25</v>
      </c>
      <c r="I213" s="5">
        <v>44470</v>
      </c>
      <c r="J213" s="6">
        <v>0</v>
      </c>
      <c r="K213" s="6">
        <v>0</v>
      </c>
      <c r="L213" s="6">
        <v>-0.66800000000000004</v>
      </c>
      <c r="M213" s="6">
        <v>-0.66800000000000004</v>
      </c>
      <c r="N213" s="6">
        <v>-0.66800000000000004</v>
      </c>
      <c r="O213" s="6">
        <v>-0.66800000000000004</v>
      </c>
      <c r="P213" s="6">
        <v>0</v>
      </c>
      <c r="Q213" s="4" t="s">
        <v>26</v>
      </c>
      <c r="R213" s="4">
        <v>0</v>
      </c>
      <c r="S213" s="4" t="s">
        <v>170</v>
      </c>
      <c r="T213" s="4" t="s">
        <v>343</v>
      </c>
      <c r="U213" s="4">
        <v>0</v>
      </c>
      <c r="V213" s="4">
        <v>8</v>
      </c>
      <c r="W213" s="4">
        <v>23</v>
      </c>
    </row>
    <row r="214" spans="1:23" ht="11.25" customHeight="1" x14ac:dyDescent="0.3">
      <c r="A214" s="4" t="s">
        <v>28</v>
      </c>
      <c r="B214" s="4" t="s">
        <v>22</v>
      </c>
      <c r="C214" s="4" t="s">
        <v>23</v>
      </c>
      <c r="D214" s="4" t="s">
        <v>24</v>
      </c>
      <c r="E214" s="4" t="s">
        <v>24</v>
      </c>
      <c r="F214" s="4" t="s">
        <v>25</v>
      </c>
      <c r="G214" s="4" t="s">
        <v>25</v>
      </c>
      <c r="H214" s="4" t="s">
        <v>25</v>
      </c>
      <c r="I214" s="5">
        <v>44470</v>
      </c>
      <c r="J214" s="6">
        <v>0</v>
      </c>
      <c r="K214" s="6">
        <v>0</v>
      </c>
      <c r="L214" s="6">
        <v>4.28</v>
      </c>
      <c r="M214" s="6">
        <v>4.28</v>
      </c>
      <c r="N214" s="6">
        <v>4.28</v>
      </c>
      <c r="O214" s="6">
        <v>4.28</v>
      </c>
      <c r="P214" s="6">
        <v>48</v>
      </c>
      <c r="Q214" s="4" t="s">
        <v>26</v>
      </c>
      <c r="R214" s="4">
        <v>0</v>
      </c>
      <c r="S214" s="4" t="s">
        <v>170</v>
      </c>
      <c r="T214" s="4" t="s">
        <v>343</v>
      </c>
      <c r="U214" s="4">
        <v>0</v>
      </c>
      <c r="V214" s="4">
        <v>8</v>
      </c>
      <c r="W214" s="4">
        <v>23</v>
      </c>
    </row>
    <row r="215" spans="1:23" ht="11.25" customHeight="1" x14ac:dyDescent="0.3">
      <c r="A215" s="4" t="s">
        <v>21</v>
      </c>
      <c r="B215" s="4" t="s">
        <v>22</v>
      </c>
      <c r="C215" s="4" t="s">
        <v>23</v>
      </c>
      <c r="D215" s="4" t="s">
        <v>24</v>
      </c>
      <c r="E215" s="4" t="s">
        <v>24</v>
      </c>
      <c r="F215" s="4" t="s">
        <v>25</v>
      </c>
      <c r="G215" s="4" t="s">
        <v>25</v>
      </c>
      <c r="H215" s="4" t="s">
        <v>25</v>
      </c>
      <c r="I215" s="5">
        <v>44501</v>
      </c>
      <c r="J215" s="6">
        <v>0</v>
      </c>
      <c r="K215" s="6">
        <v>0</v>
      </c>
      <c r="L215" s="6">
        <v>748.33</v>
      </c>
      <c r="M215" s="6">
        <v>748.33</v>
      </c>
      <c r="N215" s="6">
        <v>748.33</v>
      </c>
      <c r="O215" s="6">
        <v>748.33</v>
      </c>
      <c r="P215" s="6">
        <v>6289</v>
      </c>
      <c r="Q215" s="4" t="s">
        <v>26</v>
      </c>
      <c r="R215" s="4">
        <v>0</v>
      </c>
      <c r="S215" s="4" t="s">
        <v>171</v>
      </c>
      <c r="T215" s="4" t="s">
        <v>344</v>
      </c>
      <c r="U215" s="4">
        <v>0</v>
      </c>
      <c r="V215" s="4">
        <v>8</v>
      </c>
      <c r="W215" s="4">
        <v>23</v>
      </c>
    </row>
    <row r="216" spans="1:23" ht="11.25" customHeight="1" x14ac:dyDescent="0.3">
      <c r="A216" s="4" t="s">
        <v>27</v>
      </c>
      <c r="B216" s="4" t="s">
        <v>22</v>
      </c>
      <c r="C216" s="4" t="s">
        <v>23</v>
      </c>
      <c r="D216" s="4" t="s">
        <v>24</v>
      </c>
      <c r="E216" s="4" t="s">
        <v>24</v>
      </c>
      <c r="F216" s="4" t="s">
        <v>25</v>
      </c>
      <c r="G216" s="4" t="s">
        <v>25</v>
      </c>
      <c r="H216" s="4" t="s">
        <v>25</v>
      </c>
      <c r="I216" s="5">
        <v>44501</v>
      </c>
      <c r="J216" s="6">
        <v>0</v>
      </c>
      <c r="K216" s="6">
        <v>0</v>
      </c>
      <c r="L216" s="6">
        <v>-0.90300000000000002</v>
      </c>
      <c r="M216" s="6">
        <v>-0.90300000000000002</v>
      </c>
      <c r="N216" s="6">
        <v>-0.90300000000000002</v>
      </c>
      <c r="O216" s="6">
        <v>-0.90300000000000002</v>
      </c>
      <c r="P216" s="6">
        <v>0</v>
      </c>
      <c r="Q216" s="4" t="s">
        <v>26</v>
      </c>
      <c r="R216" s="4">
        <v>0</v>
      </c>
      <c r="S216" s="4" t="s">
        <v>171</v>
      </c>
      <c r="T216" s="4" t="s">
        <v>344</v>
      </c>
      <c r="U216" s="4">
        <v>0</v>
      </c>
      <c r="V216" s="4">
        <v>8</v>
      </c>
      <c r="W216" s="4">
        <v>23</v>
      </c>
    </row>
    <row r="217" spans="1:23" ht="11.25" customHeight="1" x14ac:dyDescent="0.3">
      <c r="A217" s="4" t="s">
        <v>28</v>
      </c>
      <c r="B217" s="4" t="s">
        <v>22</v>
      </c>
      <c r="C217" s="4" t="s">
        <v>23</v>
      </c>
      <c r="D217" s="4" t="s">
        <v>24</v>
      </c>
      <c r="E217" s="4" t="s">
        <v>24</v>
      </c>
      <c r="F217" s="4" t="s">
        <v>25</v>
      </c>
      <c r="G217" s="4" t="s">
        <v>25</v>
      </c>
      <c r="H217" s="4" t="s">
        <v>25</v>
      </c>
      <c r="I217" s="5">
        <v>44501</v>
      </c>
      <c r="J217" s="6">
        <v>0</v>
      </c>
      <c r="K217" s="6">
        <v>0</v>
      </c>
      <c r="L217" s="6">
        <v>5.0919999999999996</v>
      </c>
      <c r="M217" s="6">
        <v>5.0919999999999996</v>
      </c>
      <c r="N217" s="6">
        <v>5.0919999999999996</v>
      </c>
      <c r="O217" s="6">
        <v>5.0919999999999996</v>
      </c>
      <c r="P217" s="6">
        <v>49</v>
      </c>
      <c r="Q217" s="4" t="s">
        <v>26</v>
      </c>
      <c r="R217" s="4">
        <v>0</v>
      </c>
      <c r="S217" s="4" t="s">
        <v>171</v>
      </c>
      <c r="T217" s="4" t="s">
        <v>344</v>
      </c>
      <c r="U217" s="4">
        <v>0</v>
      </c>
      <c r="V217" s="4">
        <v>8</v>
      </c>
      <c r="W217" s="4">
        <v>23</v>
      </c>
    </row>
    <row r="218" spans="1:23" ht="11.25" customHeight="1" x14ac:dyDescent="0.3">
      <c r="A218" s="4" t="s">
        <v>21</v>
      </c>
      <c r="B218" s="4" t="s">
        <v>22</v>
      </c>
      <c r="C218" s="4" t="s">
        <v>23</v>
      </c>
      <c r="D218" s="4" t="s">
        <v>24</v>
      </c>
      <c r="E218" s="4" t="s">
        <v>24</v>
      </c>
      <c r="F218" s="4" t="s">
        <v>25</v>
      </c>
      <c r="G218" s="4" t="s">
        <v>25</v>
      </c>
      <c r="H218" s="4" t="s">
        <v>25</v>
      </c>
      <c r="I218" s="5">
        <v>44531</v>
      </c>
      <c r="J218" s="6">
        <v>0</v>
      </c>
      <c r="K218" s="6">
        <v>0</v>
      </c>
      <c r="L218" s="6">
        <v>809.14</v>
      </c>
      <c r="M218" s="6">
        <v>809.14</v>
      </c>
      <c r="N218" s="6">
        <v>809.14</v>
      </c>
      <c r="O218" s="6">
        <v>809.14</v>
      </c>
      <c r="P218" s="6">
        <v>6289</v>
      </c>
      <c r="Q218" s="4" t="s">
        <v>26</v>
      </c>
      <c r="R218" s="4">
        <v>0</v>
      </c>
      <c r="S218" s="4" t="s">
        <v>172</v>
      </c>
      <c r="T218" s="4" t="s">
        <v>345</v>
      </c>
      <c r="U218" s="4">
        <v>0</v>
      </c>
      <c r="V218" s="4">
        <v>8</v>
      </c>
      <c r="W218" s="4">
        <v>23</v>
      </c>
    </row>
    <row r="219" spans="1:23" ht="11.25" customHeight="1" x14ac:dyDescent="0.3">
      <c r="A219" s="4" t="s">
        <v>27</v>
      </c>
      <c r="B219" s="4" t="s">
        <v>22</v>
      </c>
      <c r="C219" s="4" t="s">
        <v>23</v>
      </c>
      <c r="D219" s="4" t="s">
        <v>24</v>
      </c>
      <c r="E219" s="4" t="s">
        <v>24</v>
      </c>
      <c r="F219" s="4" t="s">
        <v>25</v>
      </c>
      <c r="G219" s="4" t="s">
        <v>25</v>
      </c>
      <c r="H219" s="4" t="s">
        <v>25</v>
      </c>
      <c r="I219" s="5">
        <v>44531</v>
      </c>
      <c r="J219" s="6">
        <v>0</v>
      </c>
      <c r="K219" s="6">
        <v>0</v>
      </c>
      <c r="L219" s="6">
        <v>-0.58599999999999997</v>
      </c>
      <c r="M219" s="6">
        <v>-0.58599999999999997</v>
      </c>
      <c r="N219" s="6">
        <v>-0.58599999999999997</v>
      </c>
      <c r="O219" s="6">
        <v>-0.58599999999999997</v>
      </c>
      <c r="P219" s="6">
        <v>0</v>
      </c>
      <c r="Q219" s="4" t="s">
        <v>26</v>
      </c>
      <c r="R219" s="4">
        <v>0</v>
      </c>
      <c r="S219" s="4" t="s">
        <v>172</v>
      </c>
      <c r="T219" s="4" t="s">
        <v>345</v>
      </c>
      <c r="U219" s="4">
        <v>0</v>
      </c>
      <c r="V219" s="4">
        <v>8</v>
      </c>
      <c r="W219" s="4">
        <v>23</v>
      </c>
    </row>
    <row r="220" spans="1:23" ht="11.25" customHeight="1" x14ac:dyDescent="0.3">
      <c r="A220" s="4" t="s">
        <v>28</v>
      </c>
      <c r="B220" s="4" t="s">
        <v>22</v>
      </c>
      <c r="C220" s="4" t="s">
        <v>23</v>
      </c>
      <c r="D220" s="4" t="s">
        <v>24</v>
      </c>
      <c r="E220" s="4" t="s">
        <v>24</v>
      </c>
      <c r="F220" s="4" t="s">
        <v>25</v>
      </c>
      <c r="G220" s="4" t="s">
        <v>25</v>
      </c>
      <c r="H220" s="4" t="s">
        <v>25</v>
      </c>
      <c r="I220" s="5">
        <v>44531</v>
      </c>
      <c r="J220" s="6">
        <v>0</v>
      </c>
      <c r="K220" s="6">
        <v>0</v>
      </c>
      <c r="L220" s="6">
        <v>4.6639999999999997</v>
      </c>
      <c r="M220" s="6">
        <v>4.6639999999999997</v>
      </c>
      <c r="N220" s="6">
        <v>4.6639999999999997</v>
      </c>
      <c r="O220" s="6">
        <v>4.6639999999999997</v>
      </c>
      <c r="P220" s="6">
        <v>54</v>
      </c>
      <c r="Q220" s="4" t="s">
        <v>26</v>
      </c>
      <c r="R220" s="4">
        <v>0</v>
      </c>
      <c r="S220" s="4" t="s">
        <v>172</v>
      </c>
      <c r="T220" s="4" t="s">
        <v>345</v>
      </c>
      <c r="U220" s="4">
        <v>0</v>
      </c>
      <c r="V220" s="4">
        <v>8</v>
      </c>
      <c r="W220" s="4">
        <v>23</v>
      </c>
    </row>
    <row r="221" spans="1:23" ht="11.25" customHeight="1" x14ac:dyDescent="0.3">
      <c r="A221" s="4" t="s">
        <v>21</v>
      </c>
      <c r="B221" s="4" t="s">
        <v>22</v>
      </c>
      <c r="C221" s="4" t="s">
        <v>23</v>
      </c>
      <c r="D221" s="4" t="s">
        <v>24</v>
      </c>
      <c r="E221" s="4" t="s">
        <v>24</v>
      </c>
      <c r="F221" s="4" t="s">
        <v>25</v>
      </c>
      <c r="G221" s="4" t="s">
        <v>25</v>
      </c>
      <c r="H221" s="4" t="s">
        <v>25</v>
      </c>
      <c r="I221" s="5">
        <v>44562</v>
      </c>
      <c r="J221" s="6">
        <v>0</v>
      </c>
      <c r="K221" s="6">
        <v>0</v>
      </c>
      <c r="L221" s="6">
        <v>924.58500000000004</v>
      </c>
      <c r="M221" s="6">
        <v>924.58500000000004</v>
      </c>
      <c r="N221" s="6">
        <v>924.58500000000004</v>
      </c>
      <c r="O221" s="6">
        <v>924.58500000000004</v>
      </c>
      <c r="P221" s="6">
        <v>6305</v>
      </c>
      <c r="Q221" s="4" t="s">
        <v>26</v>
      </c>
      <c r="R221" s="4">
        <v>0</v>
      </c>
      <c r="S221" s="4" t="s">
        <v>173</v>
      </c>
      <c r="T221" s="4" t="s">
        <v>346</v>
      </c>
      <c r="U221" s="4">
        <v>0</v>
      </c>
      <c r="V221" s="4">
        <v>8</v>
      </c>
      <c r="W221" s="4">
        <v>23</v>
      </c>
    </row>
    <row r="222" spans="1:23" ht="11.25" customHeight="1" x14ac:dyDescent="0.3">
      <c r="A222" s="4" t="s">
        <v>27</v>
      </c>
      <c r="B222" s="4" t="s">
        <v>22</v>
      </c>
      <c r="C222" s="4" t="s">
        <v>23</v>
      </c>
      <c r="D222" s="4" t="s">
        <v>24</v>
      </c>
      <c r="E222" s="4" t="s">
        <v>24</v>
      </c>
      <c r="F222" s="4" t="s">
        <v>25</v>
      </c>
      <c r="G222" s="4" t="s">
        <v>25</v>
      </c>
      <c r="H222" s="4" t="s">
        <v>25</v>
      </c>
      <c r="I222" s="5">
        <v>44562</v>
      </c>
      <c r="J222" s="6">
        <v>0</v>
      </c>
      <c r="K222" s="6">
        <v>0</v>
      </c>
      <c r="L222" s="6">
        <v>-0.111</v>
      </c>
      <c r="M222" s="6">
        <v>-0.111</v>
      </c>
      <c r="N222" s="6">
        <v>-0.111</v>
      </c>
      <c r="O222" s="6">
        <v>-0.111</v>
      </c>
      <c r="P222" s="6">
        <v>0</v>
      </c>
      <c r="Q222" s="4" t="s">
        <v>26</v>
      </c>
      <c r="R222" s="4">
        <v>0</v>
      </c>
      <c r="S222" s="4" t="s">
        <v>173</v>
      </c>
      <c r="T222" s="4" t="s">
        <v>346</v>
      </c>
      <c r="U222" s="4">
        <v>0</v>
      </c>
      <c r="V222" s="4">
        <v>8</v>
      </c>
      <c r="W222" s="4">
        <v>23</v>
      </c>
    </row>
    <row r="223" spans="1:23" ht="11.25" customHeight="1" x14ac:dyDescent="0.3">
      <c r="A223" s="4" t="s">
        <v>28</v>
      </c>
      <c r="B223" s="4" t="s">
        <v>22</v>
      </c>
      <c r="C223" s="4" t="s">
        <v>23</v>
      </c>
      <c r="D223" s="4" t="s">
        <v>24</v>
      </c>
      <c r="E223" s="4" t="s">
        <v>24</v>
      </c>
      <c r="F223" s="4" t="s">
        <v>25</v>
      </c>
      <c r="G223" s="4" t="s">
        <v>25</v>
      </c>
      <c r="H223" s="4" t="s">
        <v>25</v>
      </c>
      <c r="I223" s="5">
        <v>44562</v>
      </c>
      <c r="J223" s="6">
        <v>0</v>
      </c>
      <c r="K223" s="6">
        <v>0</v>
      </c>
      <c r="L223" s="6">
        <v>8.1890000000000001</v>
      </c>
      <c r="M223" s="6">
        <v>8.1890000000000001</v>
      </c>
      <c r="N223" s="6">
        <v>8.1890000000000001</v>
      </c>
      <c r="O223" s="6">
        <v>8.1890000000000001</v>
      </c>
      <c r="P223" s="6">
        <v>56</v>
      </c>
      <c r="Q223" s="4" t="s">
        <v>26</v>
      </c>
      <c r="R223" s="4">
        <v>0</v>
      </c>
      <c r="S223" s="4" t="s">
        <v>173</v>
      </c>
      <c r="T223" s="4" t="s">
        <v>346</v>
      </c>
      <c r="U223" s="4">
        <v>0</v>
      </c>
      <c r="V223" s="4">
        <v>8</v>
      </c>
      <c r="W223" s="4">
        <v>23</v>
      </c>
    </row>
    <row r="224" spans="1:23" ht="11.25" customHeight="1" x14ac:dyDescent="0.3">
      <c r="A224" s="4" t="s">
        <v>21</v>
      </c>
      <c r="B224" s="4" t="s">
        <v>22</v>
      </c>
      <c r="C224" s="4" t="s">
        <v>23</v>
      </c>
      <c r="D224" s="4" t="s">
        <v>24</v>
      </c>
      <c r="E224" s="4" t="s">
        <v>24</v>
      </c>
      <c r="F224" s="4" t="s">
        <v>25</v>
      </c>
      <c r="G224" s="4" t="s">
        <v>25</v>
      </c>
      <c r="H224" s="4" t="s">
        <v>25</v>
      </c>
      <c r="I224" s="5">
        <v>44593</v>
      </c>
      <c r="J224" s="6">
        <v>0</v>
      </c>
      <c r="K224" s="6">
        <v>0</v>
      </c>
      <c r="L224" s="6">
        <v>949.33</v>
      </c>
      <c r="M224" s="6">
        <v>949.33</v>
      </c>
      <c r="N224" s="6">
        <v>949.33</v>
      </c>
      <c r="O224" s="6">
        <v>949.33</v>
      </c>
      <c r="P224" s="6">
        <v>6291</v>
      </c>
      <c r="Q224" s="4" t="s">
        <v>26</v>
      </c>
      <c r="R224" s="4">
        <v>0</v>
      </c>
      <c r="S224" s="4" t="s">
        <v>174</v>
      </c>
      <c r="T224" s="4" t="s">
        <v>347</v>
      </c>
      <c r="U224" s="4">
        <v>0</v>
      </c>
      <c r="V224" s="4">
        <v>8</v>
      </c>
      <c r="W224" s="4">
        <v>23</v>
      </c>
    </row>
    <row r="225" spans="1:23" ht="11.25" customHeight="1" x14ac:dyDescent="0.3">
      <c r="A225" s="4" t="s">
        <v>27</v>
      </c>
      <c r="B225" s="4" t="s">
        <v>22</v>
      </c>
      <c r="C225" s="4" t="s">
        <v>23</v>
      </c>
      <c r="D225" s="4" t="s">
        <v>24</v>
      </c>
      <c r="E225" s="4" t="s">
        <v>24</v>
      </c>
      <c r="F225" s="4" t="s">
        <v>25</v>
      </c>
      <c r="G225" s="4" t="s">
        <v>25</v>
      </c>
      <c r="H225" s="4" t="s">
        <v>25</v>
      </c>
      <c r="I225" s="5">
        <v>44593</v>
      </c>
      <c r="J225" s="6">
        <v>0</v>
      </c>
      <c r="K225" s="6">
        <v>0</v>
      </c>
      <c r="L225" s="6">
        <v>-1.7000000000000001E-2</v>
      </c>
      <c r="M225" s="6">
        <v>-1.7000000000000001E-2</v>
      </c>
      <c r="N225" s="6">
        <v>-1.7000000000000001E-2</v>
      </c>
      <c r="O225" s="6">
        <v>-1.7000000000000001E-2</v>
      </c>
      <c r="P225" s="6">
        <v>0</v>
      </c>
      <c r="Q225" s="4" t="s">
        <v>26</v>
      </c>
      <c r="R225" s="4">
        <v>0</v>
      </c>
      <c r="S225" s="4" t="s">
        <v>174</v>
      </c>
      <c r="T225" s="4" t="s">
        <v>347</v>
      </c>
      <c r="U225" s="4">
        <v>0</v>
      </c>
      <c r="V225" s="4">
        <v>8</v>
      </c>
      <c r="W225" s="4">
        <v>23</v>
      </c>
    </row>
    <row r="226" spans="1:23" ht="11.25" customHeight="1" x14ac:dyDescent="0.3">
      <c r="A226" s="4" t="s">
        <v>28</v>
      </c>
      <c r="B226" s="4" t="s">
        <v>22</v>
      </c>
      <c r="C226" s="4" t="s">
        <v>23</v>
      </c>
      <c r="D226" s="4" t="s">
        <v>24</v>
      </c>
      <c r="E226" s="4" t="s">
        <v>24</v>
      </c>
      <c r="F226" s="4" t="s">
        <v>25</v>
      </c>
      <c r="G226" s="4" t="s">
        <v>25</v>
      </c>
      <c r="H226" s="4" t="s">
        <v>25</v>
      </c>
      <c r="I226" s="5">
        <v>44593</v>
      </c>
      <c r="J226" s="6">
        <v>0</v>
      </c>
      <c r="K226" s="6">
        <v>0</v>
      </c>
      <c r="L226" s="6">
        <v>6.3570000000000002</v>
      </c>
      <c r="M226" s="6">
        <v>6.3570000000000002</v>
      </c>
      <c r="N226" s="6">
        <v>6.3570000000000002</v>
      </c>
      <c r="O226" s="6">
        <v>6.3570000000000002</v>
      </c>
      <c r="P226" s="6">
        <v>59</v>
      </c>
      <c r="Q226" s="4" t="s">
        <v>26</v>
      </c>
      <c r="R226" s="4">
        <v>0</v>
      </c>
      <c r="S226" s="4" t="s">
        <v>174</v>
      </c>
      <c r="T226" s="4" t="s">
        <v>347</v>
      </c>
      <c r="U226" s="4">
        <v>0</v>
      </c>
      <c r="V226" s="4">
        <v>8</v>
      </c>
      <c r="W226" s="4">
        <v>23</v>
      </c>
    </row>
    <row r="227" spans="1:23" ht="11.25" customHeight="1" x14ac:dyDescent="0.3">
      <c r="A227" s="4" t="s">
        <v>21</v>
      </c>
      <c r="B227" s="4" t="s">
        <v>22</v>
      </c>
      <c r="C227" s="4" t="s">
        <v>23</v>
      </c>
      <c r="D227" s="4" t="s">
        <v>24</v>
      </c>
      <c r="E227" s="4" t="s">
        <v>24</v>
      </c>
      <c r="F227" s="4" t="s">
        <v>25</v>
      </c>
      <c r="G227" s="4" t="s">
        <v>25</v>
      </c>
      <c r="H227" s="4" t="s">
        <v>25</v>
      </c>
      <c r="I227" s="5">
        <v>44621</v>
      </c>
      <c r="J227" s="6">
        <v>0</v>
      </c>
      <c r="K227" s="6">
        <v>0</v>
      </c>
      <c r="L227" s="6">
        <v>925.30700000000002</v>
      </c>
      <c r="M227" s="6">
        <v>925.30700000000002</v>
      </c>
      <c r="N227" s="6">
        <v>925.30700000000002</v>
      </c>
      <c r="O227" s="6">
        <v>925.30700000000002</v>
      </c>
      <c r="P227" s="6">
        <v>6026</v>
      </c>
      <c r="Q227" s="4" t="s">
        <v>26</v>
      </c>
      <c r="R227" s="4">
        <v>0</v>
      </c>
      <c r="S227" s="4" t="s">
        <v>175</v>
      </c>
      <c r="T227" s="4" t="s">
        <v>348</v>
      </c>
      <c r="U227" s="4">
        <v>0</v>
      </c>
      <c r="V227" s="4">
        <v>8</v>
      </c>
      <c r="W227" s="4">
        <v>23</v>
      </c>
    </row>
    <row r="228" spans="1:23" ht="11.25" customHeight="1" x14ac:dyDescent="0.3">
      <c r="A228" s="4" t="s">
        <v>27</v>
      </c>
      <c r="B228" s="4" t="s">
        <v>22</v>
      </c>
      <c r="C228" s="4" t="s">
        <v>23</v>
      </c>
      <c r="D228" s="4" t="s">
        <v>24</v>
      </c>
      <c r="E228" s="4" t="s">
        <v>24</v>
      </c>
      <c r="F228" s="4" t="s">
        <v>25</v>
      </c>
      <c r="G228" s="4" t="s">
        <v>25</v>
      </c>
      <c r="H228" s="4" t="s">
        <v>25</v>
      </c>
      <c r="I228" s="5">
        <v>44621</v>
      </c>
      <c r="J228" s="6">
        <v>0</v>
      </c>
      <c r="K228" s="6">
        <v>0</v>
      </c>
      <c r="L228" s="6">
        <v>0.20599999999999999</v>
      </c>
      <c r="M228" s="6">
        <v>0.20599999999999999</v>
      </c>
      <c r="N228" s="6">
        <v>0.20599999999999999</v>
      </c>
      <c r="O228" s="6">
        <v>0.20599999999999999</v>
      </c>
      <c r="P228" s="6">
        <v>0</v>
      </c>
      <c r="Q228" s="4" t="s">
        <v>26</v>
      </c>
      <c r="R228" s="4">
        <v>0</v>
      </c>
      <c r="S228" s="4" t="s">
        <v>175</v>
      </c>
      <c r="T228" s="4" t="s">
        <v>348</v>
      </c>
      <c r="U228" s="4">
        <v>0</v>
      </c>
      <c r="V228" s="4">
        <v>8</v>
      </c>
      <c r="W228" s="4">
        <v>23</v>
      </c>
    </row>
    <row r="229" spans="1:23" ht="11.25" customHeight="1" x14ac:dyDescent="0.3">
      <c r="A229" s="4" t="s">
        <v>28</v>
      </c>
      <c r="B229" s="4" t="s">
        <v>22</v>
      </c>
      <c r="C229" s="4" t="s">
        <v>23</v>
      </c>
      <c r="D229" s="4" t="s">
        <v>24</v>
      </c>
      <c r="E229" s="4" t="s">
        <v>24</v>
      </c>
      <c r="F229" s="4" t="s">
        <v>25</v>
      </c>
      <c r="G229" s="4" t="s">
        <v>25</v>
      </c>
      <c r="H229" s="4" t="s">
        <v>25</v>
      </c>
      <c r="I229" s="5">
        <v>44621</v>
      </c>
      <c r="J229" s="6">
        <v>0</v>
      </c>
      <c r="K229" s="6">
        <v>0</v>
      </c>
      <c r="L229" s="6">
        <v>13.574999999999999</v>
      </c>
      <c r="M229" s="6">
        <v>13.574999999999999</v>
      </c>
      <c r="N229" s="6">
        <v>13.574999999999999</v>
      </c>
      <c r="O229" s="6">
        <v>13.574999999999999</v>
      </c>
      <c r="P229" s="6">
        <v>62</v>
      </c>
      <c r="Q229" s="4" t="s">
        <v>26</v>
      </c>
      <c r="R229" s="4">
        <v>0</v>
      </c>
      <c r="S229" s="4" t="s">
        <v>175</v>
      </c>
      <c r="T229" s="4" t="s">
        <v>348</v>
      </c>
      <c r="U229" s="4">
        <v>0</v>
      </c>
      <c r="V229" s="4">
        <v>8</v>
      </c>
      <c r="W229" s="4">
        <v>23</v>
      </c>
    </row>
    <row r="230" spans="1:23" ht="11.25" customHeight="1" x14ac:dyDescent="0.3">
      <c r="A230" s="4" t="s">
        <v>21</v>
      </c>
      <c r="B230" s="4" t="s">
        <v>22</v>
      </c>
      <c r="C230" s="4" t="s">
        <v>23</v>
      </c>
      <c r="D230" s="4" t="s">
        <v>24</v>
      </c>
      <c r="E230" s="4" t="s">
        <v>29</v>
      </c>
      <c r="F230" s="4" t="s">
        <v>25</v>
      </c>
      <c r="G230" s="4" t="s">
        <v>25</v>
      </c>
      <c r="H230" s="4" t="s">
        <v>25</v>
      </c>
      <c r="I230" s="5">
        <v>44287</v>
      </c>
      <c r="J230" s="6">
        <v>0</v>
      </c>
      <c r="K230" s="6">
        <v>0</v>
      </c>
      <c r="L230" s="6">
        <v>1.95</v>
      </c>
      <c r="M230" s="6">
        <v>1.95</v>
      </c>
      <c r="N230" s="6">
        <v>1.95</v>
      </c>
      <c r="O230" s="6">
        <v>1.95</v>
      </c>
      <c r="P230" s="6">
        <v>2</v>
      </c>
      <c r="Q230" s="4" t="s">
        <v>26</v>
      </c>
      <c r="R230" s="4">
        <v>0</v>
      </c>
      <c r="S230" s="4" t="s">
        <v>176</v>
      </c>
      <c r="T230" s="4" t="s">
        <v>349</v>
      </c>
      <c r="U230" s="4">
        <v>0</v>
      </c>
      <c r="V230" s="4">
        <v>9</v>
      </c>
      <c r="W230" s="4">
        <v>75</v>
      </c>
    </row>
    <row r="231" spans="1:23" ht="11.25" customHeight="1" x14ac:dyDescent="0.3">
      <c r="A231" s="4" t="s">
        <v>21</v>
      </c>
      <c r="B231" s="4" t="s">
        <v>22</v>
      </c>
      <c r="C231" s="4" t="s">
        <v>23</v>
      </c>
      <c r="D231" s="4" t="s">
        <v>24</v>
      </c>
      <c r="E231" s="4" t="s">
        <v>29</v>
      </c>
      <c r="F231" s="4" t="s">
        <v>25</v>
      </c>
      <c r="G231" s="4" t="s">
        <v>25</v>
      </c>
      <c r="H231" s="4" t="s">
        <v>25</v>
      </c>
      <c r="I231" s="5">
        <v>44317</v>
      </c>
      <c r="J231" s="6">
        <v>0</v>
      </c>
      <c r="K231" s="6">
        <v>0</v>
      </c>
      <c r="L231" s="6">
        <v>2.13</v>
      </c>
      <c r="M231" s="6">
        <v>2.13</v>
      </c>
      <c r="N231" s="6">
        <v>2.13</v>
      </c>
      <c r="O231" s="6">
        <v>2.13</v>
      </c>
      <c r="P231" s="6">
        <v>3</v>
      </c>
      <c r="Q231" s="4" t="s">
        <v>26</v>
      </c>
      <c r="R231" s="4">
        <v>0</v>
      </c>
      <c r="S231" s="4" t="s">
        <v>177</v>
      </c>
      <c r="T231" s="4" t="s">
        <v>350</v>
      </c>
      <c r="U231" s="4">
        <v>0</v>
      </c>
      <c r="V231" s="4">
        <v>9</v>
      </c>
      <c r="W231" s="4">
        <v>75</v>
      </c>
    </row>
    <row r="232" spans="1:23" ht="11.25" customHeight="1" x14ac:dyDescent="0.3">
      <c r="A232" s="4" t="s">
        <v>21</v>
      </c>
      <c r="B232" s="4" t="s">
        <v>22</v>
      </c>
      <c r="C232" s="4" t="s">
        <v>23</v>
      </c>
      <c r="D232" s="4" t="s">
        <v>24</v>
      </c>
      <c r="E232" s="4" t="s">
        <v>29</v>
      </c>
      <c r="F232" s="4" t="s">
        <v>25</v>
      </c>
      <c r="G232" s="4" t="s">
        <v>25</v>
      </c>
      <c r="H232" s="4" t="s">
        <v>25</v>
      </c>
      <c r="I232" s="5">
        <v>44348</v>
      </c>
      <c r="J232" s="6">
        <v>0</v>
      </c>
      <c r="K232" s="6">
        <v>0</v>
      </c>
      <c r="L232" s="6">
        <v>2.2200000000000002</v>
      </c>
      <c r="M232" s="6">
        <v>2.2200000000000002</v>
      </c>
      <c r="N232" s="6">
        <v>2.2200000000000002</v>
      </c>
      <c r="O232" s="6">
        <v>2.2200000000000002</v>
      </c>
      <c r="P232" s="6">
        <v>3</v>
      </c>
      <c r="Q232" s="4" t="s">
        <v>26</v>
      </c>
      <c r="R232" s="4">
        <v>0</v>
      </c>
      <c r="S232" s="4" t="s">
        <v>178</v>
      </c>
      <c r="T232" s="4" t="s">
        <v>351</v>
      </c>
      <c r="U232" s="4">
        <v>0</v>
      </c>
      <c r="V232" s="4">
        <v>9</v>
      </c>
      <c r="W232" s="4">
        <v>75</v>
      </c>
    </row>
    <row r="233" spans="1:23" ht="11.25" customHeight="1" x14ac:dyDescent="0.3">
      <c r="A233" s="4" t="s">
        <v>21</v>
      </c>
      <c r="B233" s="4" t="s">
        <v>22</v>
      </c>
      <c r="C233" s="4" t="s">
        <v>23</v>
      </c>
      <c r="D233" s="4" t="s">
        <v>24</v>
      </c>
      <c r="E233" s="4" t="s">
        <v>29</v>
      </c>
      <c r="F233" s="4" t="s">
        <v>25</v>
      </c>
      <c r="G233" s="4" t="s">
        <v>25</v>
      </c>
      <c r="H233" s="4" t="s">
        <v>25</v>
      </c>
      <c r="I233" s="5">
        <v>44378</v>
      </c>
      <c r="J233" s="6">
        <v>0</v>
      </c>
      <c r="K233" s="6">
        <v>0</v>
      </c>
      <c r="L233" s="6">
        <v>2.2799999999999998</v>
      </c>
      <c r="M233" s="6">
        <v>2.2799999999999998</v>
      </c>
      <c r="N233" s="6">
        <v>2.2799999999999998</v>
      </c>
      <c r="O233" s="6">
        <v>2.2799999999999998</v>
      </c>
      <c r="P233" s="6">
        <v>3</v>
      </c>
      <c r="Q233" s="4" t="s">
        <v>26</v>
      </c>
      <c r="R233" s="4">
        <v>0</v>
      </c>
      <c r="S233" s="4" t="s">
        <v>179</v>
      </c>
      <c r="T233" s="4" t="s">
        <v>352</v>
      </c>
      <c r="U233" s="4">
        <v>0</v>
      </c>
      <c r="V233" s="4">
        <v>9</v>
      </c>
      <c r="W233" s="4">
        <v>75</v>
      </c>
    </row>
    <row r="234" spans="1:23" ht="11.25" customHeight="1" x14ac:dyDescent="0.3">
      <c r="A234" s="4" t="s">
        <v>21</v>
      </c>
      <c r="B234" s="4" t="s">
        <v>22</v>
      </c>
      <c r="C234" s="4" t="s">
        <v>23</v>
      </c>
      <c r="D234" s="4" t="s">
        <v>24</v>
      </c>
      <c r="E234" s="4" t="s">
        <v>29</v>
      </c>
      <c r="F234" s="4" t="s">
        <v>25</v>
      </c>
      <c r="G234" s="4" t="s">
        <v>25</v>
      </c>
      <c r="H234" s="4" t="s">
        <v>25</v>
      </c>
      <c r="I234" s="5">
        <v>44409</v>
      </c>
      <c r="J234" s="6">
        <v>0</v>
      </c>
      <c r="K234" s="6">
        <v>0</v>
      </c>
      <c r="L234" s="6">
        <v>2.31</v>
      </c>
      <c r="M234" s="6">
        <v>2.31</v>
      </c>
      <c r="N234" s="6">
        <v>2.31</v>
      </c>
      <c r="O234" s="6">
        <v>2.31</v>
      </c>
      <c r="P234" s="6">
        <v>5</v>
      </c>
      <c r="Q234" s="4" t="s">
        <v>26</v>
      </c>
      <c r="R234" s="4">
        <v>0</v>
      </c>
      <c r="S234" s="4" t="s">
        <v>180</v>
      </c>
      <c r="T234" s="4" t="s">
        <v>353</v>
      </c>
      <c r="U234" s="4">
        <v>0</v>
      </c>
      <c r="V234" s="4">
        <v>9</v>
      </c>
      <c r="W234" s="4">
        <v>75</v>
      </c>
    </row>
    <row r="235" spans="1:23" ht="11.25" customHeight="1" x14ac:dyDescent="0.3">
      <c r="A235" s="4" t="s">
        <v>21</v>
      </c>
      <c r="B235" s="4" t="s">
        <v>22</v>
      </c>
      <c r="C235" s="4" t="s">
        <v>23</v>
      </c>
      <c r="D235" s="4" t="s">
        <v>24</v>
      </c>
      <c r="E235" s="4" t="s">
        <v>29</v>
      </c>
      <c r="F235" s="4" t="s">
        <v>25</v>
      </c>
      <c r="G235" s="4" t="s">
        <v>25</v>
      </c>
      <c r="H235" s="4" t="s">
        <v>25</v>
      </c>
      <c r="I235" s="5">
        <v>44440</v>
      </c>
      <c r="J235" s="6">
        <v>0</v>
      </c>
      <c r="K235" s="6">
        <v>0</v>
      </c>
      <c r="L235" s="6">
        <v>2.34</v>
      </c>
      <c r="M235" s="6">
        <v>2.34</v>
      </c>
      <c r="N235" s="6">
        <v>2.34</v>
      </c>
      <c r="O235" s="6">
        <v>2.34</v>
      </c>
      <c r="P235" s="6">
        <v>2</v>
      </c>
      <c r="Q235" s="4" t="s">
        <v>26</v>
      </c>
      <c r="R235" s="4">
        <v>0</v>
      </c>
      <c r="S235" s="4" t="s">
        <v>181</v>
      </c>
      <c r="T235" s="4" t="s">
        <v>354</v>
      </c>
      <c r="U235" s="4">
        <v>0</v>
      </c>
      <c r="V235" s="4">
        <v>9</v>
      </c>
      <c r="W235" s="4">
        <v>75</v>
      </c>
    </row>
    <row r="236" spans="1:23" ht="11.25" customHeight="1" x14ac:dyDescent="0.3">
      <c r="A236" s="4" t="s">
        <v>21</v>
      </c>
      <c r="B236" s="4" t="s">
        <v>22</v>
      </c>
      <c r="C236" s="4" t="s">
        <v>23</v>
      </c>
      <c r="D236" s="4" t="s">
        <v>24</v>
      </c>
      <c r="E236" s="4" t="s">
        <v>29</v>
      </c>
      <c r="F236" s="4" t="s">
        <v>25</v>
      </c>
      <c r="G236" s="4" t="s">
        <v>25</v>
      </c>
      <c r="H236" s="4" t="s">
        <v>25</v>
      </c>
      <c r="I236" s="5">
        <v>44470</v>
      </c>
      <c r="J236" s="6">
        <v>0</v>
      </c>
      <c r="K236" s="6">
        <v>0</v>
      </c>
      <c r="L236" s="6">
        <v>2.4300000000000002</v>
      </c>
      <c r="M236" s="6">
        <v>2.4300000000000002</v>
      </c>
      <c r="N236" s="6">
        <v>2.4300000000000002</v>
      </c>
      <c r="O236" s="6">
        <v>2.4300000000000002</v>
      </c>
      <c r="P236" s="6">
        <v>2</v>
      </c>
      <c r="Q236" s="4" t="s">
        <v>26</v>
      </c>
      <c r="R236" s="4">
        <v>0</v>
      </c>
      <c r="S236" s="4" t="s">
        <v>182</v>
      </c>
      <c r="T236" s="4" t="s">
        <v>355</v>
      </c>
      <c r="U236" s="4">
        <v>0</v>
      </c>
      <c r="V236" s="4">
        <v>9</v>
      </c>
      <c r="W236" s="4">
        <v>75</v>
      </c>
    </row>
    <row r="237" spans="1:23" ht="11.25" customHeight="1" x14ac:dyDescent="0.3">
      <c r="A237" s="4" t="s">
        <v>21</v>
      </c>
      <c r="B237" s="4" t="s">
        <v>22</v>
      </c>
      <c r="C237" s="4" t="s">
        <v>23</v>
      </c>
      <c r="D237" s="4" t="s">
        <v>24</v>
      </c>
      <c r="E237" s="4" t="s">
        <v>29</v>
      </c>
      <c r="F237" s="4" t="s">
        <v>25</v>
      </c>
      <c r="G237" s="4" t="s">
        <v>25</v>
      </c>
      <c r="H237" s="4" t="s">
        <v>25</v>
      </c>
      <c r="I237" s="5">
        <v>44501</v>
      </c>
      <c r="J237" s="6">
        <v>0</v>
      </c>
      <c r="K237" s="6">
        <v>0</v>
      </c>
      <c r="L237" s="6">
        <v>2.64</v>
      </c>
      <c r="M237" s="6">
        <v>2.64</v>
      </c>
      <c r="N237" s="6">
        <v>2.64</v>
      </c>
      <c r="O237" s="6">
        <v>2.64</v>
      </c>
      <c r="P237" s="6">
        <v>5</v>
      </c>
      <c r="Q237" s="4" t="s">
        <v>26</v>
      </c>
      <c r="R237" s="4">
        <v>0</v>
      </c>
      <c r="S237" s="4" t="s">
        <v>183</v>
      </c>
      <c r="T237" s="4" t="s">
        <v>356</v>
      </c>
      <c r="U237" s="4">
        <v>0</v>
      </c>
      <c r="V237" s="4">
        <v>9</v>
      </c>
      <c r="W237" s="4">
        <v>75</v>
      </c>
    </row>
    <row r="238" spans="1:23" ht="11.25" customHeight="1" x14ac:dyDescent="0.3">
      <c r="A238" s="4" t="s">
        <v>21</v>
      </c>
      <c r="B238" s="4" t="s">
        <v>22</v>
      </c>
      <c r="C238" s="4" t="s">
        <v>23</v>
      </c>
      <c r="D238" s="4" t="s">
        <v>24</v>
      </c>
      <c r="E238" s="4" t="s">
        <v>29</v>
      </c>
      <c r="F238" s="4" t="s">
        <v>25</v>
      </c>
      <c r="G238" s="4" t="s">
        <v>25</v>
      </c>
      <c r="H238" s="4" t="s">
        <v>25</v>
      </c>
      <c r="I238" s="5">
        <v>44531</v>
      </c>
      <c r="J238" s="6">
        <v>0</v>
      </c>
      <c r="K238" s="6">
        <v>0</v>
      </c>
      <c r="L238" s="6">
        <v>2.73</v>
      </c>
      <c r="M238" s="6">
        <v>2.73</v>
      </c>
      <c r="N238" s="6">
        <v>2.73</v>
      </c>
      <c r="O238" s="6">
        <v>2.73</v>
      </c>
      <c r="P238" s="6">
        <v>5</v>
      </c>
      <c r="Q238" s="4" t="s">
        <v>26</v>
      </c>
      <c r="R238" s="4">
        <v>0</v>
      </c>
      <c r="S238" s="4" t="s">
        <v>184</v>
      </c>
      <c r="T238" s="4" t="s">
        <v>357</v>
      </c>
      <c r="U238" s="4">
        <v>0</v>
      </c>
      <c r="V238" s="4">
        <v>9</v>
      </c>
      <c r="W238" s="4">
        <v>75</v>
      </c>
    </row>
    <row r="239" spans="1:23" ht="11.25" customHeight="1" x14ac:dyDescent="0.3">
      <c r="A239" s="4" t="s">
        <v>21</v>
      </c>
      <c r="B239" s="4" t="s">
        <v>22</v>
      </c>
      <c r="C239" s="4" t="s">
        <v>23</v>
      </c>
      <c r="D239" s="4" t="s">
        <v>24</v>
      </c>
      <c r="E239" s="4" t="s">
        <v>29</v>
      </c>
      <c r="F239" s="4" t="s">
        <v>25</v>
      </c>
      <c r="G239" s="4" t="s">
        <v>25</v>
      </c>
      <c r="H239" s="4" t="s">
        <v>25</v>
      </c>
      <c r="I239" s="5">
        <v>44562</v>
      </c>
      <c r="J239" s="6">
        <v>0</v>
      </c>
      <c r="K239" s="6">
        <v>0</v>
      </c>
      <c r="L239" s="6">
        <v>2.73</v>
      </c>
      <c r="M239" s="6">
        <v>2.73</v>
      </c>
      <c r="N239" s="6">
        <v>2.73</v>
      </c>
      <c r="O239" s="6">
        <v>2.73</v>
      </c>
      <c r="P239" s="6">
        <v>3</v>
      </c>
      <c r="Q239" s="4" t="s">
        <v>26</v>
      </c>
      <c r="R239" s="4">
        <v>0</v>
      </c>
      <c r="S239" s="4" t="s">
        <v>185</v>
      </c>
      <c r="T239" s="4" t="s">
        <v>358</v>
      </c>
      <c r="U239" s="4">
        <v>0</v>
      </c>
      <c r="V239" s="4">
        <v>9</v>
      </c>
      <c r="W239" s="4">
        <v>75</v>
      </c>
    </row>
    <row r="240" spans="1:23" ht="11.25" customHeight="1" x14ac:dyDescent="0.3">
      <c r="A240" s="4" t="s">
        <v>21</v>
      </c>
      <c r="B240" s="4" t="s">
        <v>22</v>
      </c>
      <c r="C240" s="4" t="s">
        <v>23</v>
      </c>
      <c r="D240" s="4" t="s">
        <v>24</v>
      </c>
      <c r="E240" s="4" t="s">
        <v>29</v>
      </c>
      <c r="F240" s="4" t="s">
        <v>25</v>
      </c>
      <c r="G240" s="4" t="s">
        <v>25</v>
      </c>
      <c r="H240" s="4" t="s">
        <v>25</v>
      </c>
      <c r="I240" s="5">
        <v>44593</v>
      </c>
      <c r="J240" s="6">
        <v>0</v>
      </c>
      <c r="K240" s="6">
        <v>0</v>
      </c>
      <c r="L240" s="6">
        <v>3.15</v>
      </c>
      <c r="M240" s="6">
        <v>3.15</v>
      </c>
      <c r="N240" s="6">
        <v>3.15</v>
      </c>
      <c r="O240" s="6">
        <v>3.15</v>
      </c>
      <c r="P240" s="6">
        <v>4</v>
      </c>
      <c r="Q240" s="4" t="s">
        <v>26</v>
      </c>
      <c r="R240" s="4">
        <v>0</v>
      </c>
      <c r="S240" s="4" t="s">
        <v>186</v>
      </c>
      <c r="T240" s="4" t="s">
        <v>359</v>
      </c>
      <c r="U240" s="4">
        <v>0</v>
      </c>
      <c r="V240" s="4">
        <v>9</v>
      </c>
      <c r="W240" s="4">
        <v>75</v>
      </c>
    </row>
    <row r="241" spans="1:23" ht="11.25" customHeight="1" x14ac:dyDescent="0.3">
      <c r="A241" s="4" t="s">
        <v>21</v>
      </c>
      <c r="B241" s="4" t="s">
        <v>22</v>
      </c>
      <c r="C241" s="4" t="s">
        <v>23</v>
      </c>
      <c r="D241" s="4" t="s">
        <v>24</v>
      </c>
      <c r="E241" s="4" t="s">
        <v>29</v>
      </c>
      <c r="F241" s="4" t="s">
        <v>25</v>
      </c>
      <c r="G241" s="4" t="s">
        <v>25</v>
      </c>
      <c r="H241" s="4" t="s">
        <v>25</v>
      </c>
      <c r="I241" s="5">
        <v>44621</v>
      </c>
      <c r="J241" s="6">
        <v>0</v>
      </c>
      <c r="K241" s="6">
        <v>0</v>
      </c>
      <c r="L241" s="6">
        <v>11.67</v>
      </c>
      <c r="M241" s="6">
        <v>11.67</v>
      </c>
      <c r="N241" s="6">
        <v>11.67</v>
      </c>
      <c r="O241" s="6">
        <v>11.67</v>
      </c>
      <c r="P241" s="6">
        <v>30</v>
      </c>
      <c r="Q241" s="4" t="s">
        <v>26</v>
      </c>
      <c r="R241" s="4">
        <v>0</v>
      </c>
      <c r="S241" s="4" t="s">
        <v>187</v>
      </c>
      <c r="T241" s="4" t="s">
        <v>360</v>
      </c>
      <c r="U241" s="4">
        <v>0</v>
      </c>
      <c r="V241" s="4">
        <v>9</v>
      </c>
      <c r="W241" s="4">
        <v>75</v>
      </c>
    </row>
    <row r="242" spans="1:23" ht="11.25" customHeight="1" x14ac:dyDescent="0.3">
      <c r="A242" s="4" t="s">
        <v>21</v>
      </c>
      <c r="B242" s="4" t="s">
        <v>22</v>
      </c>
      <c r="C242" s="4" t="s">
        <v>23</v>
      </c>
      <c r="D242" s="4" t="s">
        <v>24</v>
      </c>
      <c r="E242" s="4" t="s">
        <v>30</v>
      </c>
      <c r="F242" s="4" t="s">
        <v>25</v>
      </c>
      <c r="G242" s="4" t="s">
        <v>25</v>
      </c>
      <c r="H242" s="4" t="s">
        <v>25</v>
      </c>
      <c r="I242" s="5">
        <v>44287</v>
      </c>
      <c r="J242" s="6">
        <v>0</v>
      </c>
      <c r="K242" s="6">
        <v>0</v>
      </c>
      <c r="L242" s="6">
        <v>4.2549999999999999</v>
      </c>
      <c r="M242" s="6">
        <v>4.2549999999999999</v>
      </c>
      <c r="N242" s="6">
        <v>4.2549999999999999</v>
      </c>
      <c r="O242" s="6">
        <v>4.2549999999999999</v>
      </c>
      <c r="P242" s="6">
        <v>7</v>
      </c>
      <c r="Q242" s="4" t="s">
        <v>26</v>
      </c>
      <c r="R242" s="4">
        <v>0</v>
      </c>
      <c r="S242" s="4" t="s">
        <v>188</v>
      </c>
      <c r="T242" s="4" t="s">
        <v>361</v>
      </c>
      <c r="U242" s="4">
        <v>0</v>
      </c>
      <c r="V242" s="4">
        <v>53</v>
      </c>
      <c r="W242" s="4">
        <v>76</v>
      </c>
    </row>
    <row r="243" spans="1:23" ht="11.25" customHeight="1" x14ac:dyDescent="0.3">
      <c r="A243" s="4" t="s">
        <v>21</v>
      </c>
      <c r="B243" s="4" t="s">
        <v>22</v>
      </c>
      <c r="C243" s="4" t="s">
        <v>23</v>
      </c>
      <c r="D243" s="4" t="s">
        <v>24</v>
      </c>
      <c r="E243" s="4" t="s">
        <v>30</v>
      </c>
      <c r="F243" s="4" t="s">
        <v>25</v>
      </c>
      <c r="G243" s="4" t="s">
        <v>25</v>
      </c>
      <c r="H243" s="4" t="s">
        <v>25</v>
      </c>
      <c r="I243" s="5">
        <v>44317</v>
      </c>
      <c r="J243" s="6">
        <v>0</v>
      </c>
      <c r="K243" s="6">
        <v>0</v>
      </c>
      <c r="L243" s="6">
        <v>4.4409999999999998</v>
      </c>
      <c r="M243" s="6">
        <v>4.4409999999999998</v>
      </c>
      <c r="N243" s="6">
        <v>4.4409999999999998</v>
      </c>
      <c r="O243" s="6">
        <v>4.4409999999999998</v>
      </c>
      <c r="P243" s="6">
        <v>11</v>
      </c>
      <c r="Q243" s="4" t="s">
        <v>26</v>
      </c>
      <c r="R243" s="4">
        <v>0</v>
      </c>
      <c r="S243" s="4" t="s">
        <v>189</v>
      </c>
      <c r="T243" s="4" t="s">
        <v>362</v>
      </c>
      <c r="U243" s="4">
        <v>0</v>
      </c>
      <c r="V243" s="4">
        <v>53</v>
      </c>
      <c r="W243" s="4">
        <v>76</v>
      </c>
    </row>
    <row r="244" spans="1:23" ht="11.25" customHeight="1" x14ac:dyDescent="0.3">
      <c r="A244" s="4" t="s">
        <v>21</v>
      </c>
      <c r="B244" s="4" t="s">
        <v>22</v>
      </c>
      <c r="C244" s="4" t="s">
        <v>23</v>
      </c>
      <c r="D244" s="4" t="s">
        <v>24</v>
      </c>
      <c r="E244" s="4" t="s">
        <v>30</v>
      </c>
      <c r="F244" s="4" t="s">
        <v>25</v>
      </c>
      <c r="G244" s="4" t="s">
        <v>25</v>
      </c>
      <c r="H244" s="4" t="s">
        <v>25</v>
      </c>
      <c r="I244" s="5">
        <v>44348</v>
      </c>
      <c r="J244" s="6">
        <v>0</v>
      </c>
      <c r="K244" s="6">
        <v>0</v>
      </c>
      <c r="L244" s="6">
        <v>4.7050000000000001</v>
      </c>
      <c r="M244" s="6">
        <v>4.7050000000000001</v>
      </c>
      <c r="N244" s="6">
        <v>4.7050000000000001</v>
      </c>
      <c r="O244" s="6">
        <v>4.7050000000000001</v>
      </c>
      <c r="P244" s="6">
        <v>12</v>
      </c>
      <c r="Q244" s="4" t="s">
        <v>26</v>
      </c>
      <c r="R244" s="4">
        <v>0</v>
      </c>
      <c r="S244" s="4" t="s">
        <v>190</v>
      </c>
      <c r="T244" s="4" t="s">
        <v>363</v>
      </c>
      <c r="U244" s="4">
        <v>0</v>
      </c>
      <c r="V244" s="4">
        <v>53</v>
      </c>
      <c r="W244" s="4">
        <v>76</v>
      </c>
    </row>
    <row r="245" spans="1:23" ht="11.25" customHeight="1" x14ac:dyDescent="0.3">
      <c r="A245" s="4" t="s">
        <v>21</v>
      </c>
      <c r="B245" s="4" t="s">
        <v>22</v>
      </c>
      <c r="C245" s="4" t="s">
        <v>23</v>
      </c>
      <c r="D245" s="4" t="s">
        <v>24</v>
      </c>
      <c r="E245" s="4" t="s">
        <v>30</v>
      </c>
      <c r="F245" s="4" t="s">
        <v>25</v>
      </c>
      <c r="G245" s="4" t="s">
        <v>25</v>
      </c>
      <c r="H245" s="4" t="s">
        <v>25</v>
      </c>
      <c r="I245" s="5">
        <v>44378</v>
      </c>
      <c r="J245" s="6">
        <v>0</v>
      </c>
      <c r="K245" s="6">
        <v>0</v>
      </c>
      <c r="L245" s="6">
        <v>4.46</v>
      </c>
      <c r="M245" s="6">
        <v>4.46</v>
      </c>
      <c r="N245" s="6">
        <v>4.46</v>
      </c>
      <c r="O245" s="6">
        <v>4.46</v>
      </c>
      <c r="P245" s="6">
        <v>28</v>
      </c>
      <c r="Q245" s="4" t="s">
        <v>26</v>
      </c>
      <c r="R245" s="4">
        <v>0</v>
      </c>
      <c r="S245" s="4" t="s">
        <v>191</v>
      </c>
      <c r="T245" s="4" t="s">
        <v>364</v>
      </c>
      <c r="U245" s="4">
        <v>0</v>
      </c>
      <c r="V245" s="4">
        <v>53</v>
      </c>
      <c r="W245" s="4">
        <v>76</v>
      </c>
    </row>
    <row r="246" spans="1:23" ht="11.25" customHeight="1" x14ac:dyDescent="0.3">
      <c r="A246" s="4" t="s">
        <v>21</v>
      </c>
      <c r="B246" s="4" t="s">
        <v>22</v>
      </c>
      <c r="C246" s="4" t="s">
        <v>23</v>
      </c>
      <c r="D246" s="4" t="s">
        <v>24</v>
      </c>
      <c r="E246" s="4" t="s">
        <v>30</v>
      </c>
      <c r="F246" s="4" t="s">
        <v>25</v>
      </c>
      <c r="G246" s="4" t="s">
        <v>25</v>
      </c>
      <c r="H246" s="4" t="s">
        <v>25</v>
      </c>
      <c r="I246" s="5">
        <v>44409</v>
      </c>
      <c r="J246" s="6">
        <v>0</v>
      </c>
      <c r="K246" s="6">
        <v>0</v>
      </c>
      <c r="L246" s="6">
        <v>4.375</v>
      </c>
      <c r="M246" s="6">
        <v>4.375</v>
      </c>
      <c r="N246" s="6">
        <v>4.375</v>
      </c>
      <c r="O246" s="6">
        <v>4.375</v>
      </c>
      <c r="P246" s="6">
        <v>31</v>
      </c>
      <c r="Q246" s="4" t="s">
        <v>26</v>
      </c>
      <c r="R246" s="4">
        <v>0</v>
      </c>
      <c r="S246" s="4" t="s">
        <v>192</v>
      </c>
      <c r="T246" s="4" t="s">
        <v>365</v>
      </c>
      <c r="U246" s="4">
        <v>0</v>
      </c>
      <c r="V246" s="4">
        <v>53</v>
      </c>
      <c r="W246" s="4">
        <v>76</v>
      </c>
    </row>
    <row r="247" spans="1:23" ht="11.25" customHeight="1" x14ac:dyDescent="0.3">
      <c r="A247" s="4" t="s">
        <v>21</v>
      </c>
      <c r="B247" s="4" t="s">
        <v>22</v>
      </c>
      <c r="C247" s="4" t="s">
        <v>23</v>
      </c>
      <c r="D247" s="4" t="s">
        <v>24</v>
      </c>
      <c r="E247" s="4" t="s">
        <v>30</v>
      </c>
      <c r="F247" s="4" t="s">
        <v>25</v>
      </c>
      <c r="G247" s="4" t="s">
        <v>25</v>
      </c>
      <c r="H247" s="4" t="s">
        <v>25</v>
      </c>
      <c r="I247" s="5">
        <v>44440</v>
      </c>
      <c r="J247" s="6">
        <v>0</v>
      </c>
      <c r="K247" s="6">
        <v>0</v>
      </c>
      <c r="L247" s="6">
        <v>4.665</v>
      </c>
      <c r="M247" s="6">
        <v>4.665</v>
      </c>
      <c r="N247" s="6">
        <v>4.665</v>
      </c>
      <c r="O247" s="6">
        <v>4.665</v>
      </c>
      <c r="P247" s="6">
        <v>20</v>
      </c>
      <c r="Q247" s="4" t="s">
        <v>26</v>
      </c>
      <c r="R247" s="4">
        <v>0</v>
      </c>
      <c r="S247" s="4" t="s">
        <v>193</v>
      </c>
      <c r="T247" s="4" t="s">
        <v>366</v>
      </c>
      <c r="U247" s="4">
        <v>0</v>
      </c>
      <c r="V247" s="4">
        <v>53</v>
      </c>
      <c r="W247" s="4">
        <v>76</v>
      </c>
    </row>
    <row r="248" spans="1:23" ht="11.25" customHeight="1" x14ac:dyDescent="0.3">
      <c r="A248" s="4" t="s">
        <v>21</v>
      </c>
      <c r="B248" s="4" t="s">
        <v>22</v>
      </c>
      <c r="C248" s="4" t="s">
        <v>23</v>
      </c>
      <c r="D248" s="4" t="s">
        <v>24</v>
      </c>
      <c r="E248" s="4" t="s">
        <v>30</v>
      </c>
      <c r="F248" s="4" t="s">
        <v>25</v>
      </c>
      <c r="G248" s="4" t="s">
        <v>25</v>
      </c>
      <c r="H248" s="4" t="s">
        <v>25</v>
      </c>
      <c r="I248" s="5">
        <v>44470</v>
      </c>
      <c r="J248" s="6">
        <v>0</v>
      </c>
      <c r="K248" s="6">
        <v>0</v>
      </c>
      <c r="L248" s="6">
        <v>4.9409999999999998</v>
      </c>
      <c r="M248" s="6">
        <v>4.9409999999999998</v>
      </c>
      <c r="N248" s="6">
        <v>4.9409999999999998</v>
      </c>
      <c r="O248" s="6">
        <v>4.9409999999999998</v>
      </c>
      <c r="P248" s="6">
        <v>19</v>
      </c>
      <c r="Q248" s="4" t="s">
        <v>26</v>
      </c>
      <c r="R248" s="4">
        <v>0</v>
      </c>
      <c r="S248" s="4" t="s">
        <v>194</v>
      </c>
      <c r="T248" s="4" t="s">
        <v>367</v>
      </c>
      <c r="U248" s="4">
        <v>0</v>
      </c>
      <c r="V248" s="4">
        <v>53</v>
      </c>
      <c r="W248" s="4">
        <v>76</v>
      </c>
    </row>
    <row r="249" spans="1:23" ht="11.25" customHeight="1" x14ac:dyDescent="0.3">
      <c r="A249" s="4" t="s">
        <v>21</v>
      </c>
      <c r="B249" s="4" t="s">
        <v>22</v>
      </c>
      <c r="C249" s="4" t="s">
        <v>23</v>
      </c>
      <c r="D249" s="4" t="s">
        <v>24</v>
      </c>
      <c r="E249" s="4" t="s">
        <v>30</v>
      </c>
      <c r="F249" s="4" t="s">
        <v>25</v>
      </c>
      <c r="G249" s="4" t="s">
        <v>25</v>
      </c>
      <c r="H249" s="4" t="s">
        <v>25</v>
      </c>
      <c r="I249" s="5">
        <v>44501</v>
      </c>
      <c r="J249" s="6">
        <v>0</v>
      </c>
      <c r="K249" s="6">
        <v>0</v>
      </c>
      <c r="L249" s="6">
        <v>5.03</v>
      </c>
      <c r="M249" s="6">
        <v>5.03</v>
      </c>
      <c r="N249" s="6">
        <v>5.03</v>
      </c>
      <c r="O249" s="6">
        <v>5.03</v>
      </c>
      <c r="P249" s="6">
        <v>28</v>
      </c>
      <c r="Q249" s="4" t="s">
        <v>26</v>
      </c>
      <c r="R249" s="4">
        <v>0</v>
      </c>
      <c r="S249" s="4" t="s">
        <v>195</v>
      </c>
      <c r="T249" s="4" t="s">
        <v>368</v>
      </c>
      <c r="U249" s="4">
        <v>0</v>
      </c>
      <c r="V249" s="4">
        <v>53</v>
      </c>
      <c r="W249" s="4">
        <v>76</v>
      </c>
    </row>
    <row r="250" spans="1:23" ht="11.25" customHeight="1" x14ac:dyDescent="0.3">
      <c r="A250" s="4" t="s">
        <v>21</v>
      </c>
      <c r="B250" s="4" t="s">
        <v>22</v>
      </c>
      <c r="C250" s="4" t="s">
        <v>23</v>
      </c>
      <c r="D250" s="4" t="s">
        <v>24</v>
      </c>
      <c r="E250" s="4" t="s">
        <v>30</v>
      </c>
      <c r="F250" s="4" t="s">
        <v>25</v>
      </c>
      <c r="G250" s="4" t="s">
        <v>25</v>
      </c>
      <c r="H250" s="4" t="s">
        <v>25</v>
      </c>
      <c r="I250" s="5">
        <v>44531</v>
      </c>
      <c r="J250" s="6">
        <v>0</v>
      </c>
      <c r="K250" s="6">
        <v>0</v>
      </c>
      <c r="L250" s="6">
        <v>5.51</v>
      </c>
      <c r="M250" s="6">
        <v>5.51</v>
      </c>
      <c r="N250" s="6">
        <v>5.51</v>
      </c>
      <c r="O250" s="6">
        <v>5.51</v>
      </c>
      <c r="P250" s="6">
        <v>20</v>
      </c>
      <c r="Q250" s="4" t="s">
        <v>26</v>
      </c>
      <c r="R250" s="4">
        <v>0</v>
      </c>
      <c r="S250" s="4" t="s">
        <v>196</v>
      </c>
      <c r="T250" s="4" t="s">
        <v>369</v>
      </c>
      <c r="U250" s="4">
        <v>0</v>
      </c>
      <c r="V250" s="4">
        <v>53</v>
      </c>
      <c r="W250" s="4">
        <v>76</v>
      </c>
    </row>
    <row r="251" spans="1:23" ht="11.25" customHeight="1" x14ac:dyDescent="0.3">
      <c r="A251" s="4" t="s">
        <v>21</v>
      </c>
      <c r="B251" s="4" t="s">
        <v>22</v>
      </c>
      <c r="C251" s="4" t="s">
        <v>23</v>
      </c>
      <c r="D251" s="4" t="s">
        <v>24</v>
      </c>
      <c r="E251" s="4" t="s">
        <v>30</v>
      </c>
      <c r="F251" s="4" t="s">
        <v>25</v>
      </c>
      <c r="G251" s="4" t="s">
        <v>25</v>
      </c>
      <c r="H251" s="4" t="s">
        <v>25</v>
      </c>
      <c r="I251" s="5">
        <v>44562</v>
      </c>
      <c r="J251" s="6">
        <v>0</v>
      </c>
      <c r="K251" s="6">
        <v>0</v>
      </c>
      <c r="L251" s="6">
        <v>5.641</v>
      </c>
      <c r="M251" s="6">
        <v>5.641</v>
      </c>
      <c r="N251" s="6">
        <v>5.641</v>
      </c>
      <c r="O251" s="6">
        <v>5.641</v>
      </c>
      <c r="P251" s="6">
        <v>19</v>
      </c>
      <c r="Q251" s="4" t="s">
        <v>26</v>
      </c>
      <c r="R251" s="4">
        <v>0</v>
      </c>
      <c r="S251" s="4" t="s">
        <v>197</v>
      </c>
      <c r="T251" s="4" t="s">
        <v>370</v>
      </c>
      <c r="U251" s="4">
        <v>0</v>
      </c>
      <c r="V251" s="4">
        <v>53</v>
      </c>
      <c r="W251" s="4">
        <v>76</v>
      </c>
    </row>
    <row r="252" spans="1:23" ht="11.25" customHeight="1" x14ac:dyDescent="0.3">
      <c r="A252" s="4" t="s">
        <v>21</v>
      </c>
      <c r="B252" s="4" t="s">
        <v>22</v>
      </c>
      <c r="C252" s="4" t="s">
        <v>23</v>
      </c>
      <c r="D252" s="4" t="s">
        <v>24</v>
      </c>
      <c r="E252" s="4" t="s">
        <v>30</v>
      </c>
      <c r="F252" s="4" t="s">
        <v>25</v>
      </c>
      <c r="G252" s="4" t="s">
        <v>25</v>
      </c>
      <c r="H252" s="4" t="s">
        <v>25</v>
      </c>
      <c r="I252" s="5">
        <v>44593</v>
      </c>
      <c r="J252" s="6">
        <v>0</v>
      </c>
      <c r="K252" s="6">
        <v>0</v>
      </c>
      <c r="L252" s="6">
        <v>6.7670000000000003</v>
      </c>
      <c r="M252" s="6">
        <v>6.7670000000000003</v>
      </c>
      <c r="N252" s="6">
        <v>6.7670000000000003</v>
      </c>
      <c r="O252" s="6">
        <v>6.7670000000000003</v>
      </c>
      <c r="P252" s="6">
        <v>14</v>
      </c>
      <c r="Q252" s="4" t="s">
        <v>26</v>
      </c>
      <c r="R252" s="4">
        <v>0</v>
      </c>
      <c r="S252" s="4" t="s">
        <v>198</v>
      </c>
      <c r="T252" s="4" t="s">
        <v>371</v>
      </c>
      <c r="U252" s="4">
        <v>0</v>
      </c>
      <c r="V252" s="4">
        <v>53</v>
      </c>
      <c r="W252" s="4">
        <v>76</v>
      </c>
    </row>
    <row r="253" spans="1:23" ht="11.25" customHeight="1" x14ac:dyDescent="0.3">
      <c r="A253" s="4" t="s">
        <v>21</v>
      </c>
      <c r="B253" s="4" t="s">
        <v>22</v>
      </c>
      <c r="C253" s="4" t="s">
        <v>23</v>
      </c>
      <c r="D253" s="4" t="s">
        <v>24</v>
      </c>
      <c r="E253" s="4" t="s">
        <v>30</v>
      </c>
      <c r="F253" s="4" t="s">
        <v>25</v>
      </c>
      <c r="G253" s="4" t="s">
        <v>25</v>
      </c>
      <c r="H253" s="4" t="s">
        <v>25</v>
      </c>
      <c r="I253" s="5">
        <v>44621</v>
      </c>
      <c r="J253" s="6">
        <v>0</v>
      </c>
      <c r="K253" s="6">
        <v>0</v>
      </c>
      <c r="L253" s="6">
        <v>22.331</v>
      </c>
      <c r="M253" s="6">
        <v>22.331</v>
      </c>
      <c r="N253" s="6">
        <v>22.331</v>
      </c>
      <c r="O253" s="6">
        <v>22.331</v>
      </c>
      <c r="P253" s="6">
        <v>92</v>
      </c>
      <c r="Q253" s="4" t="s">
        <v>26</v>
      </c>
      <c r="R253" s="4">
        <v>0</v>
      </c>
      <c r="S253" s="4" t="s">
        <v>199</v>
      </c>
      <c r="T253" s="4" t="s">
        <v>372</v>
      </c>
      <c r="U253" s="4">
        <v>0</v>
      </c>
      <c r="V253" s="4">
        <v>53</v>
      </c>
      <c r="W253" s="4">
        <v>76</v>
      </c>
    </row>
    <row r="254" spans="1:23" ht="11.25" customHeight="1" x14ac:dyDescent="0.3">
      <c r="A254" s="4" t="s">
        <v>21</v>
      </c>
      <c r="B254" s="4" t="s">
        <v>22</v>
      </c>
      <c r="C254" s="4" t="s">
        <v>23</v>
      </c>
      <c r="D254" s="4" t="s">
        <v>24</v>
      </c>
      <c r="E254" s="4" t="s">
        <v>31</v>
      </c>
      <c r="F254" s="4" t="s">
        <v>25</v>
      </c>
      <c r="G254" s="4" t="s">
        <v>25</v>
      </c>
      <c r="H254" s="4" t="s">
        <v>25</v>
      </c>
      <c r="I254" s="5">
        <v>44287</v>
      </c>
      <c r="J254" s="6">
        <v>0</v>
      </c>
      <c r="K254" s="6">
        <v>0</v>
      </c>
      <c r="L254" s="6">
        <v>4.0590000000000002</v>
      </c>
      <c r="M254" s="6">
        <v>4.0590000000000002</v>
      </c>
      <c r="N254" s="6">
        <v>4.0590000000000002</v>
      </c>
      <c r="O254" s="6">
        <v>4.0590000000000002</v>
      </c>
      <c r="P254" s="6">
        <v>47</v>
      </c>
      <c r="Q254" s="4" t="s">
        <v>26</v>
      </c>
      <c r="R254" s="4">
        <v>0</v>
      </c>
      <c r="S254" s="4" t="s">
        <v>200</v>
      </c>
      <c r="T254" s="4" t="s">
        <v>373</v>
      </c>
      <c r="U254" s="4">
        <v>0</v>
      </c>
      <c r="V254" s="4">
        <v>54</v>
      </c>
      <c r="W254" s="4">
        <v>24</v>
      </c>
    </row>
    <row r="255" spans="1:23" ht="11.25" customHeight="1" x14ac:dyDescent="0.3">
      <c r="A255" s="4" t="s">
        <v>21</v>
      </c>
      <c r="B255" s="4" t="s">
        <v>22</v>
      </c>
      <c r="C255" s="4" t="s">
        <v>23</v>
      </c>
      <c r="D255" s="4" t="s">
        <v>24</v>
      </c>
      <c r="E255" s="4" t="s">
        <v>31</v>
      </c>
      <c r="F255" s="4" t="s">
        <v>25</v>
      </c>
      <c r="G255" s="4" t="s">
        <v>25</v>
      </c>
      <c r="H255" s="4" t="s">
        <v>25</v>
      </c>
      <c r="I255" s="5">
        <v>44317</v>
      </c>
      <c r="J255" s="6">
        <v>0</v>
      </c>
      <c r="K255" s="6">
        <v>0</v>
      </c>
      <c r="L255" s="6">
        <v>2.5710000000000002</v>
      </c>
      <c r="M255" s="6">
        <v>2.5710000000000002</v>
      </c>
      <c r="N255" s="6">
        <v>2.5710000000000002</v>
      </c>
      <c r="O255" s="6">
        <v>2.5710000000000002</v>
      </c>
      <c r="P255" s="6">
        <v>53</v>
      </c>
      <c r="Q255" s="4" t="s">
        <v>26</v>
      </c>
      <c r="R255" s="4">
        <v>0</v>
      </c>
      <c r="S255" s="4" t="s">
        <v>201</v>
      </c>
      <c r="T255" s="4" t="s">
        <v>374</v>
      </c>
      <c r="U255" s="4">
        <v>0</v>
      </c>
      <c r="V255" s="4">
        <v>54</v>
      </c>
      <c r="W255" s="4">
        <v>24</v>
      </c>
    </row>
    <row r="256" spans="1:23" ht="11.25" customHeight="1" x14ac:dyDescent="0.3">
      <c r="A256" s="4" t="s">
        <v>21</v>
      </c>
      <c r="B256" s="4" t="s">
        <v>22</v>
      </c>
      <c r="C256" s="4" t="s">
        <v>23</v>
      </c>
      <c r="D256" s="4" t="s">
        <v>24</v>
      </c>
      <c r="E256" s="4" t="s">
        <v>31</v>
      </c>
      <c r="F256" s="4" t="s">
        <v>25</v>
      </c>
      <c r="G256" s="4" t="s">
        <v>25</v>
      </c>
      <c r="H256" s="4" t="s">
        <v>25</v>
      </c>
      <c r="I256" s="5">
        <v>44348</v>
      </c>
      <c r="J256" s="6">
        <v>0</v>
      </c>
      <c r="K256" s="6">
        <v>0</v>
      </c>
      <c r="L256" s="6">
        <v>3.3809999999999998</v>
      </c>
      <c r="M256" s="6">
        <v>3.3809999999999998</v>
      </c>
      <c r="N256" s="6">
        <v>3.3809999999999998</v>
      </c>
      <c r="O256" s="6">
        <v>3.3809999999999998</v>
      </c>
      <c r="P256" s="6">
        <v>53</v>
      </c>
      <c r="Q256" s="4" t="s">
        <v>26</v>
      </c>
      <c r="R256" s="4">
        <v>0</v>
      </c>
      <c r="S256" s="4" t="s">
        <v>202</v>
      </c>
      <c r="T256" s="4" t="s">
        <v>375</v>
      </c>
      <c r="U256" s="4">
        <v>0</v>
      </c>
      <c r="V256" s="4">
        <v>54</v>
      </c>
      <c r="W256" s="4">
        <v>24</v>
      </c>
    </row>
    <row r="257" spans="1:23" ht="11.25" customHeight="1" x14ac:dyDescent="0.3">
      <c r="A257" s="4" t="s">
        <v>21</v>
      </c>
      <c r="B257" s="4" t="s">
        <v>22</v>
      </c>
      <c r="C257" s="4" t="s">
        <v>23</v>
      </c>
      <c r="D257" s="4" t="s">
        <v>24</v>
      </c>
      <c r="E257" s="4" t="s">
        <v>31</v>
      </c>
      <c r="F257" s="4" t="s">
        <v>25</v>
      </c>
      <c r="G257" s="4" t="s">
        <v>25</v>
      </c>
      <c r="H257" s="4" t="s">
        <v>25</v>
      </c>
      <c r="I257" s="5">
        <v>44378</v>
      </c>
      <c r="J257" s="6">
        <v>0</v>
      </c>
      <c r="K257" s="6">
        <v>0</v>
      </c>
      <c r="L257" s="6">
        <v>1.5980000000000001</v>
      </c>
      <c r="M257" s="6">
        <v>1.5980000000000001</v>
      </c>
      <c r="N257" s="6">
        <v>1.5980000000000001</v>
      </c>
      <c r="O257" s="6">
        <v>1.5980000000000001</v>
      </c>
      <c r="P257" s="6">
        <v>42</v>
      </c>
      <c r="Q257" s="4" t="s">
        <v>26</v>
      </c>
      <c r="R257" s="4">
        <v>0</v>
      </c>
      <c r="S257" s="4" t="s">
        <v>203</v>
      </c>
      <c r="T257" s="4" t="s">
        <v>376</v>
      </c>
      <c r="U257" s="4">
        <v>0</v>
      </c>
      <c r="V257" s="4">
        <v>54</v>
      </c>
      <c r="W257" s="4">
        <v>24</v>
      </c>
    </row>
    <row r="258" spans="1:23" ht="11.25" customHeight="1" x14ac:dyDescent="0.3">
      <c r="A258" s="4" t="s">
        <v>21</v>
      </c>
      <c r="B258" s="4" t="s">
        <v>22</v>
      </c>
      <c r="C258" s="4" t="s">
        <v>23</v>
      </c>
      <c r="D258" s="4" t="s">
        <v>24</v>
      </c>
      <c r="E258" s="4" t="s">
        <v>31</v>
      </c>
      <c r="F258" s="4" t="s">
        <v>25</v>
      </c>
      <c r="G258" s="4" t="s">
        <v>25</v>
      </c>
      <c r="H258" s="4" t="s">
        <v>25</v>
      </c>
      <c r="I258" s="5">
        <v>44409</v>
      </c>
      <c r="J258" s="6">
        <v>0</v>
      </c>
      <c r="K258" s="6">
        <v>0</v>
      </c>
      <c r="L258" s="6">
        <v>1.5640000000000001</v>
      </c>
      <c r="M258" s="6">
        <v>1.5640000000000001</v>
      </c>
      <c r="N258" s="6">
        <v>1.5640000000000001</v>
      </c>
      <c r="O258" s="6">
        <v>1.5640000000000001</v>
      </c>
      <c r="P258" s="6">
        <v>39</v>
      </c>
      <c r="Q258" s="4" t="s">
        <v>26</v>
      </c>
      <c r="R258" s="4">
        <v>0</v>
      </c>
      <c r="S258" s="4" t="s">
        <v>204</v>
      </c>
      <c r="T258" s="4" t="s">
        <v>377</v>
      </c>
      <c r="U258" s="4">
        <v>0</v>
      </c>
      <c r="V258" s="4">
        <v>54</v>
      </c>
      <c r="W258" s="4">
        <v>24</v>
      </c>
    </row>
    <row r="259" spans="1:23" ht="11.25" customHeight="1" x14ac:dyDescent="0.3">
      <c r="A259" s="4" t="s">
        <v>21</v>
      </c>
      <c r="B259" s="4" t="s">
        <v>22</v>
      </c>
      <c r="C259" s="4" t="s">
        <v>23</v>
      </c>
      <c r="D259" s="4" t="s">
        <v>24</v>
      </c>
      <c r="E259" s="4" t="s">
        <v>31</v>
      </c>
      <c r="F259" s="4" t="s">
        <v>25</v>
      </c>
      <c r="G259" s="4" t="s">
        <v>25</v>
      </c>
      <c r="H259" s="4" t="s">
        <v>25</v>
      </c>
      <c r="I259" s="5">
        <v>44440</v>
      </c>
      <c r="J259" s="6">
        <v>0</v>
      </c>
      <c r="K259" s="6">
        <v>0</v>
      </c>
      <c r="L259" s="6">
        <v>2.6970000000000001</v>
      </c>
      <c r="M259" s="6">
        <v>2.6970000000000001</v>
      </c>
      <c r="N259" s="6">
        <v>2.6970000000000001</v>
      </c>
      <c r="O259" s="6">
        <v>2.6970000000000001</v>
      </c>
      <c r="P259" s="6">
        <v>52</v>
      </c>
      <c r="Q259" s="4" t="s">
        <v>26</v>
      </c>
      <c r="R259" s="4">
        <v>0</v>
      </c>
      <c r="S259" s="4" t="s">
        <v>205</v>
      </c>
      <c r="T259" s="4" t="s">
        <v>378</v>
      </c>
      <c r="U259" s="4">
        <v>0</v>
      </c>
      <c r="V259" s="4">
        <v>54</v>
      </c>
      <c r="W259" s="4">
        <v>24</v>
      </c>
    </row>
    <row r="260" spans="1:23" ht="11.25" customHeight="1" x14ac:dyDescent="0.3">
      <c r="A260" s="4" t="s">
        <v>21</v>
      </c>
      <c r="B260" s="4" t="s">
        <v>22</v>
      </c>
      <c r="C260" s="4" t="s">
        <v>23</v>
      </c>
      <c r="D260" s="4" t="s">
        <v>24</v>
      </c>
      <c r="E260" s="4" t="s">
        <v>31</v>
      </c>
      <c r="F260" s="4" t="s">
        <v>25</v>
      </c>
      <c r="G260" s="4" t="s">
        <v>25</v>
      </c>
      <c r="H260" s="4" t="s">
        <v>25</v>
      </c>
      <c r="I260" s="5">
        <v>44470</v>
      </c>
      <c r="J260" s="6">
        <v>0</v>
      </c>
      <c r="K260" s="6">
        <v>0</v>
      </c>
      <c r="L260" s="6">
        <v>2.8450000000000002</v>
      </c>
      <c r="M260" s="6">
        <v>2.8450000000000002</v>
      </c>
      <c r="N260" s="6">
        <v>2.8450000000000002</v>
      </c>
      <c r="O260" s="6">
        <v>2.8450000000000002</v>
      </c>
      <c r="P260" s="6">
        <v>54</v>
      </c>
      <c r="Q260" s="4" t="s">
        <v>26</v>
      </c>
      <c r="R260" s="4">
        <v>0</v>
      </c>
      <c r="S260" s="4" t="s">
        <v>206</v>
      </c>
      <c r="T260" s="4" t="s">
        <v>379</v>
      </c>
      <c r="U260" s="4">
        <v>0</v>
      </c>
      <c r="V260" s="4">
        <v>54</v>
      </c>
      <c r="W260" s="4">
        <v>24</v>
      </c>
    </row>
    <row r="261" spans="1:23" ht="11.25" customHeight="1" x14ac:dyDescent="0.3">
      <c r="A261" s="4" t="s">
        <v>21</v>
      </c>
      <c r="B261" s="4" t="s">
        <v>22</v>
      </c>
      <c r="C261" s="4" t="s">
        <v>23</v>
      </c>
      <c r="D261" s="4" t="s">
        <v>24</v>
      </c>
      <c r="E261" s="4" t="s">
        <v>31</v>
      </c>
      <c r="F261" s="4" t="s">
        <v>25</v>
      </c>
      <c r="G261" s="4" t="s">
        <v>25</v>
      </c>
      <c r="H261" s="4" t="s">
        <v>25</v>
      </c>
      <c r="I261" s="5">
        <v>44501</v>
      </c>
      <c r="J261" s="6">
        <v>0</v>
      </c>
      <c r="K261" s="6">
        <v>0</v>
      </c>
      <c r="L261" s="6">
        <v>2.488</v>
      </c>
      <c r="M261" s="6">
        <v>2.488</v>
      </c>
      <c r="N261" s="6">
        <v>2.488</v>
      </c>
      <c r="O261" s="6">
        <v>2.488</v>
      </c>
      <c r="P261" s="6">
        <v>51</v>
      </c>
      <c r="Q261" s="4" t="s">
        <v>26</v>
      </c>
      <c r="R261" s="4">
        <v>0</v>
      </c>
      <c r="S261" s="4" t="s">
        <v>207</v>
      </c>
      <c r="T261" s="4" t="s">
        <v>380</v>
      </c>
      <c r="U261" s="4">
        <v>0</v>
      </c>
      <c r="V261" s="4">
        <v>54</v>
      </c>
      <c r="W261" s="4">
        <v>24</v>
      </c>
    </row>
    <row r="262" spans="1:23" ht="11.25" customHeight="1" x14ac:dyDescent="0.3">
      <c r="A262" s="4" t="s">
        <v>21</v>
      </c>
      <c r="B262" s="4" t="s">
        <v>22</v>
      </c>
      <c r="C262" s="4" t="s">
        <v>23</v>
      </c>
      <c r="D262" s="4" t="s">
        <v>24</v>
      </c>
      <c r="E262" s="4" t="s">
        <v>31</v>
      </c>
      <c r="F262" s="4" t="s">
        <v>25</v>
      </c>
      <c r="G262" s="4" t="s">
        <v>25</v>
      </c>
      <c r="H262" s="4" t="s">
        <v>25</v>
      </c>
      <c r="I262" s="5">
        <v>44531</v>
      </c>
      <c r="J262" s="6">
        <v>0</v>
      </c>
      <c r="K262" s="6">
        <v>0</v>
      </c>
      <c r="L262" s="6">
        <v>3.766</v>
      </c>
      <c r="M262" s="6">
        <v>3.766</v>
      </c>
      <c r="N262" s="6">
        <v>3.766</v>
      </c>
      <c r="O262" s="6">
        <v>3.766</v>
      </c>
      <c r="P262" s="6">
        <v>59</v>
      </c>
      <c r="Q262" s="4" t="s">
        <v>26</v>
      </c>
      <c r="R262" s="4">
        <v>0</v>
      </c>
      <c r="S262" s="4" t="s">
        <v>208</v>
      </c>
      <c r="T262" s="4" t="s">
        <v>381</v>
      </c>
      <c r="U262" s="4">
        <v>0</v>
      </c>
      <c r="V262" s="4">
        <v>54</v>
      </c>
      <c r="W262" s="4">
        <v>24</v>
      </c>
    </row>
    <row r="263" spans="1:23" ht="11.25" customHeight="1" x14ac:dyDescent="0.3">
      <c r="A263" s="4" t="s">
        <v>21</v>
      </c>
      <c r="B263" s="4" t="s">
        <v>22</v>
      </c>
      <c r="C263" s="4" t="s">
        <v>23</v>
      </c>
      <c r="D263" s="4" t="s">
        <v>24</v>
      </c>
      <c r="E263" s="4" t="s">
        <v>31</v>
      </c>
      <c r="F263" s="4" t="s">
        <v>25</v>
      </c>
      <c r="G263" s="4" t="s">
        <v>25</v>
      </c>
      <c r="H263" s="4" t="s">
        <v>25</v>
      </c>
      <c r="I263" s="5">
        <v>44562</v>
      </c>
      <c r="J263" s="6">
        <v>0</v>
      </c>
      <c r="K263" s="6">
        <v>0</v>
      </c>
      <c r="L263" s="6">
        <v>4.38</v>
      </c>
      <c r="M263" s="6">
        <v>4.38</v>
      </c>
      <c r="N263" s="6">
        <v>4.38</v>
      </c>
      <c r="O263" s="6">
        <v>4.38</v>
      </c>
      <c r="P263" s="6">
        <v>60</v>
      </c>
      <c r="Q263" s="4" t="s">
        <v>26</v>
      </c>
      <c r="R263" s="4">
        <v>0</v>
      </c>
      <c r="S263" s="4" t="s">
        <v>209</v>
      </c>
      <c r="T263" s="4" t="s">
        <v>382</v>
      </c>
      <c r="U263" s="4">
        <v>0</v>
      </c>
      <c r="V263" s="4">
        <v>54</v>
      </c>
      <c r="W263" s="4">
        <v>24</v>
      </c>
    </row>
    <row r="264" spans="1:23" ht="11.25" customHeight="1" x14ac:dyDescent="0.3">
      <c r="A264" s="4" t="s">
        <v>21</v>
      </c>
      <c r="B264" s="4" t="s">
        <v>22</v>
      </c>
      <c r="C264" s="4" t="s">
        <v>23</v>
      </c>
      <c r="D264" s="4" t="s">
        <v>24</v>
      </c>
      <c r="E264" s="4" t="s">
        <v>31</v>
      </c>
      <c r="F264" s="4" t="s">
        <v>25</v>
      </c>
      <c r="G264" s="4" t="s">
        <v>25</v>
      </c>
      <c r="H264" s="4" t="s">
        <v>25</v>
      </c>
      <c r="I264" s="5">
        <v>44593</v>
      </c>
      <c r="J264" s="6">
        <v>0</v>
      </c>
      <c r="K264" s="6">
        <v>0</v>
      </c>
      <c r="L264" s="6">
        <v>6.0750000000000002</v>
      </c>
      <c r="M264" s="6">
        <v>6.0750000000000002</v>
      </c>
      <c r="N264" s="6">
        <v>6.0750000000000002</v>
      </c>
      <c r="O264" s="6">
        <v>6.0750000000000002</v>
      </c>
      <c r="P264" s="6">
        <v>68</v>
      </c>
      <c r="Q264" s="4" t="s">
        <v>26</v>
      </c>
      <c r="R264" s="4">
        <v>0</v>
      </c>
      <c r="S264" s="4" t="s">
        <v>210</v>
      </c>
      <c r="T264" s="4" t="s">
        <v>383</v>
      </c>
      <c r="U264" s="4">
        <v>0</v>
      </c>
      <c r="V264" s="4">
        <v>54</v>
      </c>
      <c r="W264" s="4">
        <v>24</v>
      </c>
    </row>
    <row r="265" spans="1:23" ht="11.25" customHeight="1" x14ac:dyDescent="0.3">
      <c r="A265" s="4" t="s">
        <v>21</v>
      </c>
      <c r="B265" s="4" t="s">
        <v>22</v>
      </c>
      <c r="C265" s="4" t="s">
        <v>23</v>
      </c>
      <c r="D265" s="4" t="s">
        <v>24</v>
      </c>
      <c r="E265" s="4" t="s">
        <v>31</v>
      </c>
      <c r="F265" s="4" t="s">
        <v>25</v>
      </c>
      <c r="G265" s="4" t="s">
        <v>25</v>
      </c>
      <c r="H265" s="4" t="s">
        <v>25</v>
      </c>
      <c r="I265" s="5">
        <v>44621</v>
      </c>
      <c r="J265" s="6">
        <v>0</v>
      </c>
      <c r="K265" s="6">
        <v>0</v>
      </c>
      <c r="L265" s="6">
        <v>19.045999999999999</v>
      </c>
      <c r="M265" s="6">
        <v>19.045999999999999</v>
      </c>
      <c r="N265" s="6">
        <v>19.045999999999999</v>
      </c>
      <c r="O265" s="6">
        <v>19.045999999999999</v>
      </c>
      <c r="P265" s="6">
        <v>199</v>
      </c>
      <c r="Q265" s="4" t="s">
        <v>26</v>
      </c>
      <c r="R265" s="4">
        <v>0</v>
      </c>
      <c r="S265" s="4" t="s">
        <v>211</v>
      </c>
      <c r="T265" s="4" t="s">
        <v>384</v>
      </c>
      <c r="U265" s="4">
        <v>0</v>
      </c>
      <c r="V265" s="4">
        <v>54</v>
      </c>
      <c r="W265" s="4">
        <v>24</v>
      </c>
    </row>
    <row r="266" spans="1:23" ht="11.25" customHeight="1" x14ac:dyDescent="0.3">
      <c r="A266" s="4" t="s">
        <v>21</v>
      </c>
      <c r="B266" s="4" t="s">
        <v>22</v>
      </c>
      <c r="C266" s="4" t="s">
        <v>23</v>
      </c>
      <c r="D266" s="4" t="s">
        <v>24</v>
      </c>
      <c r="E266" s="4" t="s">
        <v>32</v>
      </c>
      <c r="F266" s="4" t="s">
        <v>25</v>
      </c>
      <c r="G266" s="4" t="s">
        <v>25</v>
      </c>
      <c r="H266" s="4" t="s">
        <v>25</v>
      </c>
      <c r="I266" s="5">
        <v>44287</v>
      </c>
      <c r="J266" s="6">
        <v>0</v>
      </c>
      <c r="K266" s="6">
        <v>0</v>
      </c>
      <c r="L266" s="6">
        <v>0.97699999999999998</v>
      </c>
      <c r="M266" s="6">
        <v>0.97699999999999998</v>
      </c>
      <c r="N266" s="6">
        <v>0.97699999999999998</v>
      </c>
      <c r="O266" s="6">
        <v>0.97699999999999998</v>
      </c>
      <c r="P266" s="6">
        <v>9</v>
      </c>
      <c r="Q266" s="4" t="s">
        <v>26</v>
      </c>
      <c r="R266" s="4">
        <v>0</v>
      </c>
      <c r="S266" s="4" t="s">
        <v>212</v>
      </c>
      <c r="T266" s="4" t="s">
        <v>385</v>
      </c>
      <c r="U266" s="4">
        <v>0</v>
      </c>
      <c r="V266" s="4">
        <v>10</v>
      </c>
      <c r="W266" s="4">
        <v>25</v>
      </c>
    </row>
    <row r="267" spans="1:23" ht="11.25" customHeight="1" x14ac:dyDescent="0.3">
      <c r="A267" s="4" t="s">
        <v>21</v>
      </c>
      <c r="B267" s="4" t="s">
        <v>22</v>
      </c>
      <c r="C267" s="4" t="s">
        <v>23</v>
      </c>
      <c r="D267" s="4" t="s">
        <v>24</v>
      </c>
      <c r="E267" s="4" t="s">
        <v>32</v>
      </c>
      <c r="F267" s="4" t="s">
        <v>25</v>
      </c>
      <c r="G267" s="4" t="s">
        <v>25</v>
      </c>
      <c r="H267" s="4" t="s">
        <v>25</v>
      </c>
      <c r="I267" s="5">
        <v>44317</v>
      </c>
      <c r="J267" s="6">
        <v>0</v>
      </c>
      <c r="K267" s="6">
        <v>0</v>
      </c>
      <c r="L267" s="6">
        <v>0.21199999999999999</v>
      </c>
      <c r="M267" s="6">
        <v>0.21199999999999999</v>
      </c>
      <c r="N267" s="6">
        <v>0.21199999999999999</v>
      </c>
      <c r="O267" s="6">
        <v>0.21199999999999999</v>
      </c>
      <c r="P267" s="6">
        <v>4</v>
      </c>
      <c r="Q267" s="4" t="s">
        <v>26</v>
      </c>
      <c r="R267" s="4">
        <v>0</v>
      </c>
      <c r="S267" s="4" t="s">
        <v>213</v>
      </c>
      <c r="T267" s="4" t="s">
        <v>386</v>
      </c>
      <c r="U267" s="4">
        <v>0</v>
      </c>
      <c r="V267" s="4">
        <v>10</v>
      </c>
      <c r="W267" s="4">
        <v>25</v>
      </c>
    </row>
    <row r="268" spans="1:23" ht="11.25" customHeight="1" x14ac:dyDescent="0.3">
      <c r="A268" s="4" t="s">
        <v>21</v>
      </c>
      <c r="B268" s="4" t="s">
        <v>22</v>
      </c>
      <c r="C268" s="4" t="s">
        <v>23</v>
      </c>
      <c r="D268" s="4" t="s">
        <v>24</v>
      </c>
      <c r="E268" s="4" t="s">
        <v>32</v>
      </c>
      <c r="F268" s="4" t="s">
        <v>25</v>
      </c>
      <c r="G268" s="4" t="s">
        <v>25</v>
      </c>
      <c r="H268" s="4" t="s">
        <v>25</v>
      </c>
      <c r="I268" s="5">
        <v>44348</v>
      </c>
      <c r="J268" s="6">
        <v>0</v>
      </c>
      <c r="K268" s="6">
        <v>0</v>
      </c>
      <c r="L268" s="6">
        <v>0.38800000000000001</v>
      </c>
      <c r="M268" s="6">
        <v>0.38800000000000001</v>
      </c>
      <c r="N268" s="6">
        <v>0.38800000000000001</v>
      </c>
      <c r="O268" s="6">
        <v>0.38800000000000001</v>
      </c>
      <c r="P268" s="6">
        <v>4</v>
      </c>
      <c r="Q268" s="4" t="s">
        <v>26</v>
      </c>
      <c r="R268" s="4">
        <v>0</v>
      </c>
      <c r="S268" s="4" t="s">
        <v>214</v>
      </c>
      <c r="T268" s="4" t="s">
        <v>387</v>
      </c>
      <c r="U268" s="4">
        <v>0</v>
      </c>
      <c r="V268" s="4">
        <v>10</v>
      </c>
      <c r="W268" s="4">
        <v>25</v>
      </c>
    </row>
    <row r="269" spans="1:23" ht="11.25" customHeight="1" x14ac:dyDescent="0.3">
      <c r="A269" s="4" t="s">
        <v>21</v>
      </c>
      <c r="B269" s="4" t="s">
        <v>22</v>
      </c>
      <c r="C269" s="4" t="s">
        <v>23</v>
      </c>
      <c r="D269" s="4" t="s">
        <v>24</v>
      </c>
      <c r="E269" s="4" t="s">
        <v>32</v>
      </c>
      <c r="F269" s="4" t="s">
        <v>25</v>
      </c>
      <c r="G269" s="4" t="s">
        <v>25</v>
      </c>
      <c r="H269" s="4" t="s">
        <v>25</v>
      </c>
      <c r="I269" s="5">
        <v>44378</v>
      </c>
      <c r="J269" s="6">
        <v>0</v>
      </c>
      <c r="K269" s="6">
        <v>0</v>
      </c>
      <c r="L269" s="6">
        <v>0.18</v>
      </c>
      <c r="M269" s="6">
        <v>0.18</v>
      </c>
      <c r="N269" s="6">
        <v>0.18</v>
      </c>
      <c r="O269" s="6">
        <v>0.18</v>
      </c>
      <c r="P269" s="6">
        <v>3</v>
      </c>
      <c r="Q269" s="4" t="s">
        <v>26</v>
      </c>
      <c r="R269" s="4">
        <v>0</v>
      </c>
      <c r="S269" s="4" t="s">
        <v>215</v>
      </c>
      <c r="T269" s="4" t="s">
        <v>388</v>
      </c>
      <c r="U269" s="4">
        <v>0</v>
      </c>
      <c r="V269" s="4">
        <v>10</v>
      </c>
      <c r="W269" s="4">
        <v>25</v>
      </c>
    </row>
    <row r="270" spans="1:23" ht="11.25" customHeight="1" x14ac:dyDescent="0.3">
      <c r="A270" s="4" t="s">
        <v>21</v>
      </c>
      <c r="B270" s="4" t="s">
        <v>22</v>
      </c>
      <c r="C270" s="4" t="s">
        <v>23</v>
      </c>
      <c r="D270" s="4" t="s">
        <v>24</v>
      </c>
      <c r="E270" s="4" t="s">
        <v>32</v>
      </c>
      <c r="F270" s="4" t="s">
        <v>25</v>
      </c>
      <c r="G270" s="4" t="s">
        <v>25</v>
      </c>
      <c r="H270" s="4" t="s">
        <v>25</v>
      </c>
      <c r="I270" s="5">
        <v>44409</v>
      </c>
      <c r="J270" s="6">
        <v>0</v>
      </c>
      <c r="K270" s="6">
        <v>0</v>
      </c>
      <c r="L270" s="6">
        <v>6.2E-2</v>
      </c>
      <c r="M270" s="6">
        <v>6.2E-2</v>
      </c>
      <c r="N270" s="6">
        <v>6.2E-2</v>
      </c>
      <c r="O270" s="6">
        <v>6.2E-2</v>
      </c>
      <c r="P270" s="6">
        <v>2</v>
      </c>
      <c r="Q270" s="4" t="s">
        <v>26</v>
      </c>
      <c r="R270" s="4">
        <v>0</v>
      </c>
      <c r="S270" s="4" t="s">
        <v>216</v>
      </c>
      <c r="T270" s="4" t="s">
        <v>389</v>
      </c>
      <c r="U270" s="4">
        <v>0</v>
      </c>
      <c r="V270" s="4">
        <v>10</v>
      </c>
      <c r="W270" s="4">
        <v>25</v>
      </c>
    </row>
    <row r="271" spans="1:23" ht="11.25" customHeight="1" x14ac:dyDescent="0.3">
      <c r="A271" s="4" t="s">
        <v>21</v>
      </c>
      <c r="B271" s="4" t="s">
        <v>22</v>
      </c>
      <c r="C271" s="4" t="s">
        <v>23</v>
      </c>
      <c r="D271" s="4" t="s">
        <v>24</v>
      </c>
      <c r="E271" s="4" t="s">
        <v>32</v>
      </c>
      <c r="F271" s="4" t="s">
        <v>25</v>
      </c>
      <c r="G271" s="4" t="s">
        <v>25</v>
      </c>
      <c r="H271" s="4" t="s">
        <v>25</v>
      </c>
      <c r="I271" s="5">
        <v>44440</v>
      </c>
      <c r="J271" s="6">
        <v>0</v>
      </c>
      <c r="K271" s="6">
        <v>0</v>
      </c>
      <c r="L271" s="6">
        <v>0.153</v>
      </c>
      <c r="M271" s="6">
        <v>0.153</v>
      </c>
      <c r="N271" s="6">
        <v>0.153</v>
      </c>
      <c r="O271" s="6">
        <v>0.153</v>
      </c>
      <c r="P271" s="6">
        <v>4</v>
      </c>
      <c r="Q271" s="4" t="s">
        <v>26</v>
      </c>
      <c r="R271" s="4">
        <v>0</v>
      </c>
      <c r="S271" s="4" t="s">
        <v>217</v>
      </c>
      <c r="T271" s="4" t="s">
        <v>390</v>
      </c>
      <c r="U271" s="4">
        <v>0</v>
      </c>
      <c r="V271" s="4">
        <v>10</v>
      </c>
      <c r="W271" s="4">
        <v>25</v>
      </c>
    </row>
    <row r="272" spans="1:23" ht="11.25" customHeight="1" x14ac:dyDescent="0.3">
      <c r="A272" s="4" t="s">
        <v>21</v>
      </c>
      <c r="B272" s="4" t="s">
        <v>22</v>
      </c>
      <c r="C272" s="4" t="s">
        <v>23</v>
      </c>
      <c r="D272" s="4" t="s">
        <v>24</v>
      </c>
      <c r="E272" s="4" t="s">
        <v>32</v>
      </c>
      <c r="F272" s="4" t="s">
        <v>25</v>
      </c>
      <c r="G272" s="4" t="s">
        <v>25</v>
      </c>
      <c r="H272" s="4" t="s">
        <v>25</v>
      </c>
      <c r="I272" s="5">
        <v>44470</v>
      </c>
      <c r="J272" s="6">
        <v>0</v>
      </c>
      <c r="K272" s="6">
        <v>0</v>
      </c>
      <c r="L272" s="6">
        <v>0.43</v>
      </c>
      <c r="M272" s="6">
        <v>0.43</v>
      </c>
      <c r="N272" s="6">
        <v>0.43</v>
      </c>
      <c r="O272" s="6">
        <v>0.43</v>
      </c>
      <c r="P272" s="6">
        <v>6</v>
      </c>
      <c r="Q272" s="4" t="s">
        <v>26</v>
      </c>
      <c r="R272" s="4">
        <v>0</v>
      </c>
      <c r="S272" s="4" t="s">
        <v>218</v>
      </c>
      <c r="T272" s="4" t="s">
        <v>391</v>
      </c>
      <c r="U272" s="4">
        <v>0</v>
      </c>
      <c r="V272" s="4">
        <v>10</v>
      </c>
      <c r="W272" s="4">
        <v>25</v>
      </c>
    </row>
    <row r="273" spans="1:23" ht="11.25" customHeight="1" x14ac:dyDescent="0.3">
      <c r="A273" s="4" t="s">
        <v>21</v>
      </c>
      <c r="B273" s="4" t="s">
        <v>22</v>
      </c>
      <c r="C273" s="4" t="s">
        <v>23</v>
      </c>
      <c r="D273" s="4" t="s">
        <v>24</v>
      </c>
      <c r="E273" s="4" t="s">
        <v>32</v>
      </c>
      <c r="F273" s="4" t="s">
        <v>25</v>
      </c>
      <c r="G273" s="4" t="s">
        <v>25</v>
      </c>
      <c r="H273" s="4" t="s">
        <v>25</v>
      </c>
      <c r="I273" s="5">
        <v>44501</v>
      </c>
      <c r="J273" s="6">
        <v>0</v>
      </c>
      <c r="K273" s="6">
        <v>0</v>
      </c>
      <c r="L273" s="6">
        <v>0.222</v>
      </c>
      <c r="M273" s="6">
        <v>0.222</v>
      </c>
      <c r="N273" s="6">
        <v>0.222</v>
      </c>
      <c r="O273" s="6">
        <v>0.222</v>
      </c>
      <c r="P273" s="6">
        <v>4</v>
      </c>
      <c r="Q273" s="4" t="s">
        <v>26</v>
      </c>
      <c r="R273" s="4">
        <v>0</v>
      </c>
      <c r="S273" s="4" t="s">
        <v>219</v>
      </c>
      <c r="T273" s="4" t="s">
        <v>392</v>
      </c>
      <c r="U273" s="4">
        <v>0</v>
      </c>
      <c r="V273" s="4">
        <v>10</v>
      </c>
      <c r="W273" s="4">
        <v>25</v>
      </c>
    </row>
    <row r="274" spans="1:23" ht="11.25" customHeight="1" x14ac:dyDescent="0.3">
      <c r="A274" s="4" t="s">
        <v>21</v>
      </c>
      <c r="B274" s="4" t="s">
        <v>22</v>
      </c>
      <c r="C274" s="4" t="s">
        <v>23</v>
      </c>
      <c r="D274" s="4" t="s">
        <v>24</v>
      </c>
      <c r="E274" s="4" t="s">
        <v>32</v>
      </c>
      <c r="F274" s="4" t="s">
        <v>25</v>
      </c>
      <c r="G274" s="4" t="s">
        <v>25</v>
      </c>
      <c r="H274" s="4" t="s">
        <v>25</v>
      </c>
      <c r="I274" s="5">
        <v>44531</v>
      </c>
      <c r="J274" s="6">
        <v>0</v>
      </c>
      <c r="K274" s="6">
        <v>0</v>
      </c>
      <c r="L274" s="6">
        <v>0.36599999999999999</v>
      </c>
      <c r="M274" s="6">
        <v>0.36599999999999999</v>
      </c>
      <c r="N274" s="6">
        <v>0.36599999999999999</v>
      </c>
      <c r="O274" s="6">
        <v>0.36599999999999999</v>
      </c>
      <c r="P274" s="6">
        <v>7</v>
      </c>
      <c r="Q274" s="4" t="s">
        <v>26</v>
      </c>
      <c r="R274" s="4">
        <v>0</v>
      </c>
      <c r="S274" s="4" t="s">
        <v>220</v>
      </c>
      <c r="T274" s="4" t="s">
        <v>393</v>
      </c>
      <c r="U274" s="4">
        <v>0</v>
      </c>
      <c r="V274" s="4">
        <v>10</v>
      </c>
      <c r="W274" s="4">
        <v>25</v>
      </c>
    </row>
    <row r="275" spans="1:23" ht="11.25" customHeight="1" x14ac:dyDescent="0.3">
      <c r="A275" s="4" t="s">
        <v>21</v>
      </c>
      <c r="B275" s="4" t="s">
        <v>22</v>
      </c>
      <c r="C275" s="4" t="s">
        <v>23</v>
      </c>
      <c r="D275" s="4" t="s">
        <v>24</v>
      </c>
      <c r="E275" s="4" t="s">
        <v>32</v>
      </c>
      <c r="F275" s="4" t="s">
        <v>25</v>
      </c>
      <c r="G275" s="4" t="s">
        <v>25</v>
      </c>
      <c r="H275" s="4" t="s">
        <v>25</v>
      </c>
      <c r="I275" s="5">
        <v>44562</v>
      </c>
      <c r="J275" s="6">
        <v>0</v>
      </c>
      <c r="K275" s="6">
        <v>0</v>
      </c>
      <c r="L275" s="6">
        <v>0.46</v>
      </c>
      <c r="M275" s="6">
        <v>0.46</v>
      </c>
      <c r="N275" s="6">
        <v>0.46</v>
      </c>
      <c r="O275" s="6">
        <v>0.46</v>
      </c>
      <c r="P275" s="6">
        <v>9</v>
      </c>
      <c r="Q275" s="4" t="s">
        <v>26</v>
      </c>
      <c r="R275" s="4">
        <v>0</v>
      </c>
      <c r="S275" s="4" t="s">
        <v>221</v>
      </c>
      <c r="T275" s="4" t="s">
        <v>394</v>
      </c>
      <c r="U275" s="4">
        <v>0</v>
      </c>
      <c r="V275" s="4">
        <v>10</v>
      </c>
      <c r="W275" s="4">
        <v>25</v>
      </c>
    </row>
    <row r="276" spans="1:23" ht="11.25" customHeight="1" x14ac:dyDescent="0.3">
      <c r="A276" s="4" t="s">
        <v>21</v>
      </c>
      <c r="B276" s="4" t="s">
        <v>22</v>
      </c>
      <c r="C276" s="4" t="s">
        <v>23</v>
      </c>
      <c r="D276" s="4" t="s">
        <v>24</v>
      </c>
      <c r="E276" s="4" t="s">
        <v>32</v>
      </c>
      <c r="F276" s="4" t="s">
        <v>25</v>
      </c>
      <c r="G276" s="4" t="s">
        <v>25</v>
      </c>
      <c r="H276" s="4" t="s">
        <v>25</v>
      </c>
      <c r="I276" s="5">
        <v>44593</v>
      </c>
      <c r="J276" s="6">
        <v>0</v>
      </c>
      <c r="K276" s="6">
        <v>0</v>
      </c>
      <c r="L276" s="6">
        <v>1.0629999999999999</v>
      </c>
      <c r="M276" s="6">
        <v>1.0629999999999999</v>
      </c>
      <c r="N276" s="6">
        <v>1.0629999999999999</v>
      </c>
      <c r="O276" s="6">
        <v>1.0629999999999999</v>
      </c>
      <c r="P276" s="6">
        <v>19</v>
      </c>
      <c r="Q276" s="4" t="s">
        <v>26</v>
      </c>
      <c r="R276" s="4">
        <v>0</v>
      </c>
      <c r="S276" s="4" t="s">
        <v>222</v>
      </c>
      <c r="T276" s="4" t="s">
        <v>395</v>
      </c>
      <c r="U276" s="4">
        <v>0</v>
      </c>
      <c r="V276" s="4">
        <v>10</v>
      </c>
      <c r="W276" s="4">
        <v>25</v>
      </c>
    </row>
    <row r="277" spans="1:23" ht="11.25" customHeight="1" x14ac:dyDescent="0.3">
      <c r="A277" s="4" t="s">
        <v>21</v>
      </c>
      <c r="B277" s="4" t="s">
        <v>22</v>
      </c>
      <c r="C277" s="4" t="s">
        <v>23</v>
      </c>
      <c r="D277" s="4" t="s">
        <v>24</v>
      </c>
      <c r="E277" s="4" t="s">
        <v>32</v>
      </c>
      <c r="F277" s="4" t="s">
        <v>25</v>
      </c>
      <c r="G277" s="4" t="s">
        <v>25</v>
      </c>
      <c r="H277" s="4" t="s">
        <v>25</v>
      </c>
      <c r="I277" s="5">
        <v>44621</v>
      </c>
      <c r="J277" s="6">
        <v>0</v>
      </c>
      <c r="K277" s="6">
        <v>0</v>
      </c>
      <c r="L277" s="6">
        <v>4.6040000000000001</v>
      </c>
      <c r="M277" s="6">
        <v>4.6040000000000001</v>
      </c>
      <c r="N277" s="6">
        <v>4.6040000000000001</v>
      </c>
      <c r="O277" s="6">
        <v>4.6040000000000001</v>
      </c>
      <c r="P277" s="6">
        <v>68</v>
      </c>
      <c r="Q277" s="4" t="s">
        <v>26</v>
      </c>
      <c r="R277" s="4">
        <v>0</v>
      </c>
      <c r="S277" s="4" t="s">
        <v>223</v>
      </c>
      <c r="T277" s="4" t="s">
        <v>396</v>
      </c>
      <c r="U277" s="4">
        <v>0</v>
      </c>
      <c r="V277" s="4">
        <v>10</v>
      </c>
      <c r="W277" s="4">
        <v>25</v>
      </c>
    </row>
    <row r="278" spans="1:23" ht="11.25" customHeight="1" x14ac:dyDescent="0.3">
      <c r="A278" s="4" t="s">
        <v>21</v>
      </c>
      <c r="B278" s="4" t="s">
        <v>43</v>
      </c>
      <c r="C278" s="4" t="s">
        <v>23</v>
      </c>
      <c r="D278" s="4" t="s">
        <v>44</v>
      </c>
      <c r="E278" s="4" t="s">
        <v>52</v>
      </c>
      <c r="F278" s="4" t="s">
        <v>53</v>
      </c>
      <c r="G278" s="4" t="s">
        <v>25</v>
      </c>
      <c r="H278" s="4" t="s">
        <v>25</v>
      </c>
      <c r="I278" s="5">
        <v>44287</v>
      </c>
      <c r="J278" s="6">
        <v>0</v>
      </c>
      <c r="K278" s="6">
        <v>0</v>
      </c>
      <c r="L278" s="6">
        <v>1.222</v>
      </c>
      <c r="M278" s="6">
        <v>1.222</v>
      </c>
      <c r="N278" s="6">
        <v>1.222</v>
      </c>
      <c r="O278" s="6">
        <v>1.222</v>
      </c>
      <c r="P278" s="6">
        <v>0</v>
      </c>
      <c r="Q278" s="4" t="s">
        <v>26</v>
      </c>
      <c r="R278" s="4">
        <v>0</v>
      </c>
      <c r="S278" s="4" t="s">
        <v>224</v>
      </c>
      <c r="T278" s="4" t="s">
        <v>397</v>
      </c>
      <c r="U278" s="4">
        <v>0</v>
      </c>
      <c r="V278" s="4">
        <v>57</v>
      </c>
      <c r="W278" s="4">
        <v>31</v>
      </c>
    </row>
    <row r="279" spans="1:23" ht="11.25" customHeight="1" x14ac:dyDescent="0.3">
      <c r="A279" s="4" t="s">
        <v>21</v>
      </c>
      <c r="B279" s="4" t="s">
        <v>43</v>
      </c>
      <c r="C279" s="4" t="s">
        <v>23</v>
      </c>
      <c r="D279" s="4" t="s">
        <v>44</v>
      </c>
      <c r="E279" s="4" t="s">
        <v>52</v>
      </c>
      <c r="F279" s="4" t="s">
        <v>53</v>
      </c>
      <c r="G279" s="4" t="s">
        <v>25</v>
      </c>
      <c r="H279" s="4" t="s">
        <v>25</v>
      </c>
      <c r="I279" s="5">
        <v>44317</v>
      </c>
      <c r="J279" s="6">
        <v>0</v>
      </c>
      <c r="K279" s="6">
        <v>0</v>
      </c>
      <c r="L279" s="6">
        <v>0.61199999999999999</v>
      </c>
      <c r="M279" s="6">
        <v>0.61199999999999999</v>
      </c>
      <c r="N279" s="6">
        <v>0.61199999999999999</v>
      </c>
      <c r="O279" s="6">
        <v>0.61199999999999999</v>
      </c>
      <c r="P279" s="6">
        <v>0</v>
      </c>
      <c r="Q279" s="4" t="s">
        <v>26</v>
      </c>
      <c r="R279" s="4">
        <v>0</v>
      </c>
      <c r="S279" s="4" t="s">
        <v>225</v>
      </c>
      <c r="T279" s="4" t="s">
        <v>398</v>
      </c>
      <c r="U279" s="4">
        <v>0</v>
      </c>
      <c r="V279" s="4">
        <v>57</v>
      </c>
      <c r="W279" s="4">
        <v>31</v>
      </c>
    </row>
    <row r="280" spans="1:23" ht="11.25" customHeight="1" x14ac:dyDescent="0.3">
      <c r="A280" s="4" t="s">
        <v>21</v>
      </c>
      <c r="B280" s="4" t="s">
        <v>43</v>
      </c>
      <c r="C280" s="4" t="s">
        <v>23</v>
      </c>
      <c r="D280" s="4" t="s">
        <v>44</v>
      </c>
      <c r="E280" s="4" t="s">
        <v>52</v>
      </c>
      <c r="F280" s="4" t="s">
        <v>53</v>
      </c>
      <c r="G280" s="4" t="s">
        <v>25</v>
      </c>
      <c r="H280" s="4" t="s">
        <v>25</v>
      </c>
      <c r="I280" s="5">
        <v>44348</v>
      </c>
      <c r="J280" s="6">
        <v>0</v>
      </c>
      <c r="K280" s="6">
        <v>0</v>
      </c>
      <c r="L280" s="6">
        <v>1.256</v>
      </c>
      <c r="M280" s="6">
        <v>1.256</v>
      </c>
      <c r="N280" s="6">
        <v>1.256</v>
      </c>
      <c r="O280" s="6">
        <v>1.256</v>
      </c>
      <c r="P280" s="6">
        <v>0</v>
      </c>
      <c r="Q280" s="4" t="s">
        <v>26</v>
      </c>
      <c r="R280" s="4">
        <v>0</v>
      </c>
      <c r="S280" s="4" t="s">
        <v>226</v>
      </c>
      <c r="T280" s="4" t="s">
        <v>399</v>
      </c>
      <c r="U280" s="4">
        <v>0</v>
      </c>
      <c r="V280" s="4">
        <v>57</v>
      </c>
      <c r="W280" s="4">
        <v>31</v>
      </c>
    </row>
    <row r="281" spans="1:23" ht="11.25" customHeight="1" x14ac:dyDescent="0.3">
      <c r="A281" s="4" t="s">
        <v>21</v>
      </c>
      <c r="B281" s="4" t="s">
        <v>43</v>
      </c>
      <c r="C281" s="4" t="s">
        <v>23</v>
      </c>
      <c r="D281" s="4" t="s">
        <v>44</v>
      </c>
      <c r="E281" s="4" t="s">
        <v>52</v>
      </c>
      <c r="F281" s="4" t="s">
        <v>53</v>
      </c>
      <c r="G281" s="4" t="s">
        <v>25</v>
      </c>
      <c r="H281" s="4" t="s">
        <v>25</v>
      </c>
      <c r="I281" s="5">
        <v>44378</v>
      </c>
      <c r="J281" s="6">
        <v>0</v>
      </c>
      <c r="K281" s="6">
        <v>0</v>
      </c>
      <c r="L281" s="6">
        <v>1.0760000000000001</v>
      </c>
      <c r="M281" s="6">
        <v>1.0760000000000001</v>
      </c>
      <c r="N281" s="6">
        <v>1.0760000000000001</v>
      </c>
      <c r="O281" s="6">
        <v>1.0760000000000001</v>
      </c>
      <c r="P281" s="6">
        <v>0</v>
      </c>
      <c r="Q281" s="4" t="s">
        <v>26</v>
      </c>
      <c r="R281" s="4">
        <v>0</v>
      </c>
      <c r="S281" s="4" t="s">
        <v>227</v>
      </c>
      <c r="T281" s="4" t="s">
        <v>400</v>
      </c>
      <c r="U281" s="4">
        <v>0</v>
      </c>
      <c r="V281" s="4">
        <v>57</v>
      </c>
      <c r="W281" s="4">
        <v>31</v>
      </c>
    </row>
    <row r="282" spans="1:23" ht="11.25" customHeight="1" x14ac:dyDescent="0.3">
      <c r="A282" s="4" t="s">
        <v>21</v>
      </c>
      <c r="B282" s="4" t="s">
        <v>43</v>
      </c>
      <c r="C282" s="4" t="s">
        <v>23</v>
      </c>
      <c r="D282" s="4" t="s">
        <v>44</v>
      </c>
      <c r="E282" s="4" t="s">
        <v>52</v>
      </c>
      <c r="F282" s="4" t="s">
        <v>53</v>
      </c>
      <c r="G282" s="4" t="s">
        <v>25</v>
      </c>
      <c r="H282" s="4" t="s">
        <v>25</v>
      </c>
      <c r="I282" s="5">
        <v>44409</v>
      </c>
      <c r="J282" s="6">
        <v>0</v>
      </c>
      <c r="K282" s="6">
        <v>0</v>
      </c>
      <c r="L282" s="6">
        <v>1.0289999999999999</v>
      </c>
      <c r="M282" s="6">
        <v>1.0289999999999999</v>
      </c>
      <c r="N282" s="6">
        <v>1.0289999999999999</v>
      </c>
      <c r="O282" s="6">
        <v>1.0289999999999999</v>
      </c>
      <c r="P282" s="6">
        <v>0</v>
      </c>
      <c r="Q282" s="4" t="s">
        <v>26</v>
      </c>
      <c r="R282" s="4">
        <v>0</v>
      </c>
      <c r="S282" s="4" t="s">
        <v>228</v>
      </c>
      <c r="T282" s="4" t="s">
        <v>401</v>
      </c>
      <c r="U282" s="4">
        <v>0</v>
      </c>
      <c r="V282" s="4">
        <v>57</v>
      </c>
      <c r="W282" s="4">
        <v>31</v>
      </c>
    </row>
    <row r="283" spans="1:23" ht="11.25" customHeight="1" x14ac:dyDescent="0.3">
      <c r="A283" s="4" t="s">
        <v>21</v>
      </c>
      <c r="B283" s="4" t="s">
        <v>43</v>
      </c>
      <c r="C283" s="4" t="s">
        <v>23</v>
      </c>
      <c r="D283" s="4" t="s">
        <v>44</v>
      </c>
      <c r="E283" s="4" t="s">
        <v>52</v>
      </c>
      <c r="F283" s="4" t="s">
        <v>53</v>
      </c>
      <c r="G283" s="4" t="s">
        <v>25</v>
      </c>
      <c r="H283" s="4" t="s">
        <v>25</v>
      </c>
      <c r="I283" s="5">
        <v>44440</v>
      </c>
      <c r="J283" s="6">
        <v>0</v>
      </c>
      <c r="K283" s="6">
        <v>0</v>
      </c>
      <c r="L283" s="6">
        <v>1.3660000000000001</v>
      </c>
      <c r="M283" s="6">
        <v>1.3660000000000001</v>
      </c>
      <c r="N283" s="6">
        <v>1.3660000000000001</v>
      </c>
      <c r="O283" s="6">
        <v>1.3660000000000001</v>
      </c>
      <c r="P283" s="6">
        <v>0</v>
      </c>
      <c r="Q283" s="4" t="s">
        <v>26</v>
      </c>
      <c r="R283" s="4">
        <v>0</v>
      </c>
      <c r="S283" s="4" t="s">
        <v>229</v>
      </c>
      <c r="T283" s="4" t="s">
        <v>402</v>
      </c>
      <c r="U283" s="4">
        <v>0</v>
      </c>
      <c r="V283" s="4">
        <v>57</v>
      </c>
      <c r="W283" s="4">
        <v>31</v>
      </c>
    </row>
    <row r="284" spans="1:23" ht="11.25" customHeight="1" x14ac:dyDescent="0.3">
      <c r="A284" s="4" t="s">
        <v>21</v>
      </c>
      <c r="B284" s="4" t="s">
        <v>43</v>
      </c>
      <c r="C284" s="4" t="s">
        <v>23</v>
      </c>
      <c r="D284" s="4" t="s">
        <v>44</v>
      </c>
      <c r="E284" s="4" t="s">
        <v>52</v>
      </c>
      <c r="F284" s="4" t="s">
        <v>53</v>
      </c>
      <c r="G284" s="4" t="s">
        <v>25</v>
      </c>
      <c r="H284" s="4" t="s">
        <v>25</v>
      </c>
      <c r="I284" s="5">
        <v>44470</v>
      </c>
      <c r="J284" s="6">
        <v>0</v>
      </c>
      <c r="K284" s="6">
        <v>0</v>
      </c>
      <c r="L284" s="6">
        <v>1.696</v>
      </c>
      <c r="M284" s="6">
        <v>1.696</v>
      </c>
      <c r="N284" s="6">
        <v>1.696</v>
      </c>
      <c r="O284" s="6">
        <v>1.696</v>
      </c>
      <c r="P284" s="6">
        <v>0</v>
      </c>
      <c r="Q284" s="4" t="s">
        <v>26</v>
      </c>
      <c r="R284" s="4">
        <v>0</v>
      </c>
      <c r="S284" s="4" t="s">
        <v>230</v>
      </c>
      <c r="T284" s="4" t="s">
        <v>403</v>
      </c>
      <c r="U284" s="4">
        <v>0</v>
      </c>
      <c r="V284" s="4">
        <v>57</v>
      </c>
      <c r="W284" s="4">
        <v>31</v>
      </c>
    </row>
    <row r="285" spans="1:23" ht="11.25" customHeight="1" x14ac:dyDescent="0.3">
      <c r="A285" s="4" t="s">
        <v>21</v>
      </c>
      <c r="B285" s="4" t="s">
        <v>43</v>
      </c>
      <c r="C285" s="4" t="s">
        <v>23</v>
      </c>
      <c r="D285" s="4" t="s">
        <v>44</v>
      </c>
      <c r="E285" s="4" t="s">
        <v>52</v>
      </c>
      <c r="F285" s="4" t="s">
        <v>53</v>
      </c>
      <c r="G285" s="4" t="s">
        <v>25</v>
      </c>
      <c r="H285" s="4" t="s">
        <v>25</v>
      </c>
      <c r="I285" s="5">
        <v>44501</v>
      </c>
      <c r="J285" s="6">
        <v>0</v>
      </c>
      <c r="K285" s="6">
        <v>0</v>
      </c>
      <c r="L285" s="6">
        <v>0.5</v>
      </c>
      <c r="M285" s="6">
        <v>0.5</v>
      </c>
      <c r="N285" s="6">
        <v>0.5</v>
      </c>
      <c r="O285" s="6">
        <v>0.5</v>
      </c>
      <c r="P285" s="6">
        <v>0</v>
      </c>
      <c r="Q285" s="4" t="s">
        <v>26</v>
      </c>
      <c r="R285" s="4">
        <v>0</v>
      </c>
      <c r="S285" s="4" t="s">
        <v>231</v>
      </c>
      <c r="T285" s="4" t="s">
        <v>404</v>
      </c>
      <c r="U285" s="4">
        <v>0</v>
      </c>
      <c r="V285" s="4">
        <v>57</v>
      </c>
      <c r="W285" s="4">
        <v>31</v>
      </c>
    </row>
    <row r="286" spans="1:23" ht="11.25" customHeight="1" x14ac:dyDescent="0.3">
      <c r="A286" s="4" t="s">
        <v>21</v>
      </c>
      <c r="B286" s="4" t="s">
        <v>43</v>
      </c>
      <c r="C286" s="4" t="s">
        <v>23</v>
      </c>
      <c r="D286" s="4" t="s">
        <v>44</v>
      </c>
      <c r="E286" s="4" t="s">
        <v>52</v>
      </c>
      <c r="F286" s="4" t="s">
        <v>53</v>
      </c>
      <c r="G286" s="4" t="s">
        <v>25</v>
      </c>
      <c r="H286" s="4" t="s">
        <v>25</v>
      </c>
      <c r="I286" s="5">
        <v>44531</v>
      </c>
      <c r="J286" s="6">
        <v>0</v>
      </c>
      <c r="K286" s="6">
        <v>0</v>
      </c>
      <c r="L286" s="6">
        <v>0.373</v>
      </c>
      <c r="M286" s="6">
        <v>0.373</v>
      </c>
      <c r="N286" s="6">
        <v>0.373</v>
      </c>
      <c r="O286" s="6">
        <v>0.373</v>
      </c>
      <c r="P286" s="6">
        <v>0</v>
      </c>
      <c r="Q286" s="4" t="s">
        <v>26</v>
      </c>
      <c r="R286" s="4">
        <v>0</v>
      </c>
      <c r="S286" s="4" t="s">
        <v>232</v>
      </c>
      <c r="T286" s="4" t="s">
        <v>405</v>
      </c>
      <c r="U286" s="4">
        <v>0</v>
      </c>
      <c r="V286" s="4">
        <v>57</v>
      </c>
      <c r="W286" s="4">
        <v>31</v>
      </c>
    </row>
    <row r="287" spans="1:23" ht="11.25" customHeight="1" x14ac:dyDescent="0.3">
      <c r="A287" s="4" t="s">
        <v>21</v>
      </c>
      <c r="B287" s="4" t="s">
        <v>43</v>
      </c>
      <c r="C287" s="4" t="s">
        <v>23</v>
      </c>
      <c r="D287" s="4" t="s">
        <v>44</v>
      </c>
      <c r="E287" s="4" t="s">
        <v>52</v>
      </c>
      <c r="F287" s="4" t="s">
        <v>53</v>
      </c>
      <c r="G287" s="4" t="s">
        <v>25</v>
      </c>
      <c r="H287" s="4" t="s">
        <v>25</v>
      </c>
      <c r="I287" s="5">
        <v>44562</v>
      </c>
      <c r="J287" s="6">
        <v>0</v>
      </c>
      <c r="K287" s="6">
        <v>0</v>
      </c>
      <c r="L287" s="6">
        <v>0.52100000000000002</v>
      </c>
      <c r="M287" s="6">
        <v>0.52100000000000002</v>
      </c>
      <c r="N287" s="6">
        <v>0.52100000000000002</v>
      </c>
      <c r="O287" s="6">
        <v>0.52100000000000002</v>
      </c>
      <c r="P287" s="6">
        <v>0</v>
      </c>
      <c r="Q287" s="4" t="s">
        <v>26</v>
      </c>
      <c r="R287" s="4">
        <v>0</v>
      </c>
      <c r="S287" s="4" t="s">
        <v>233</v>
      </c>
      <c r="T287" s="4" t="s">
        <v>406</v>
      </c>
      <c r="U287" s="4">
        <v>0</v>
      </c>
      <c r="V287" s="4">
        <v>57</v>
      </c>
      <c r="W287" s="4">
        <v>31</v>
      </c>
    </row>
    <row r="288" spans="1:23" ht="11.25" customHeight="1" x14ac:dyDescent="0.3">
      <c r="A288" s="4" t="s">
        <v>21</v>
      </c>
      <c r="B288" s="4" t="s">
        <v>43</v>
      </c>
      <c r="C288" s="4" t="s">
        <v>23</v>
      </c>
      <c r="D288" s="4" t="s">
        <v>44</v>
      </c>
      <c r="E288" s="4" t="s">
        <v>52</v>
      </c>
      <c r="F288" s="4" t="s">
        <v>53</v>
      </c>
      <c r="G288" s="4" t="s">
        <v>25</v>
      </c>
      <c r="H288" s="4" t="s">
        <v>25</v>
      </c>
      <c r="I288" s="5">
        <v>44593</v>
      </c>
      <c r="J288" s="6">
        <v>0</v>
      </c>
      <c r="K288" s="6">
        <v>0</v>
      </c>
      <c r="L288" s="6">
        <v>0.45200000000000001</v>
      </c>
      <c r="M288" s="6">
        <v>0.45200000000000001</v>
      </c>
      <c r="N288" s="6">
        <v>0.45200000000000001</v>
      </c>
      <c r="O288" s="6">
        <v>0.45200000000000001</v>
      </c>
      <c r="P288" s="6">
        <v>0</v>
      </c>
      <c r="Q288" s="4" t="s">
        <v>26</v>
      </c>
      <c r="R288" s="4">
        <v>0</v>
      </c>
      <c r="S288" s="4" t="s">
        <v>234</v>
      </c>
      <c r="T288" s="4" t="s">
        <v>407</v>
      </c>
      <c r="U288" s="4">
        <v>0</v>
      </c>
      <c r="V288" s="4">
        <v>57</v>
      </c>
      <c r="W288" s="4">
        <v>31</v>
      </c>
    </row>
    <row r="289" spans="1:23" ht="11.25" customHeight="1" x14ac:dyDescent="0.3">
      <c r="A289" s="4" t="s">
        <v>21</v>
      </c>
      <c r="B289" s="4" t="s">
        <v>43</v>
      </c>
      <c r="C289" s="4" t="s">
        <v>23</v>
      </c>
      <c r="D289" s="4" t="s">
        <v>44</v>
      </c>
      <c r="E289" s="4" t="s">
        <v>52</v>
      </c>
      <c r="F289" s="4" t="s">
        <v>53</v>
      </c>
      <c r="G289" s="4" t="s">
        <v>25</v>
      </c>
      <c r="H289" s="4" t="s">
        <v>25</v>
      </c>
      <c r="I289" s="5">
        <v>44621</v>
      </c>
      <c r="J289" s="6">
        <v>0</v>
      </c>
      <c r="K289" s="6">
        <v>0</v>
      </c>
      <c r="L289" s="6">
        <v>0.59499999999999997</v>
      </c>
      <c r="M289" s="6">
        <v>0.59499999999999997</v>
      </c>
      <c r="N289" s="6">
        <v>0.59499999999999997</v>
      </c>
      <c r="O289" s="6">
        <v>0.59499999999999997</v>
      </c>
      <c r="P289" s="6">
        <v>0</v>
      </c>
      <c r="Q289" s="4" t="s">
        <v>26</v>
      </c>
      <c r="R289" s="4">
        <v>0</v>
      </c>
      <c r="S289" s="4" t="s">
        <v>235</v>
      </c>
      <c r="T289" s="4" t="s">
        <v>408</v>
      </c>
      <c r="U289" s="4">
        <v>0</v>
      </c>
      <c r="V289" s="4">
        <v>57</v>
      </c>
      <c r="W289" s="4">
        <v>31</v>
      </c>
    </row>
    <row r="290" spans="1:23" ht="11.25" customHeight="1" x14ac:dyDescent="0.3">
      <c r="A290" s="4" t="s">
        <v>21</v>
      </c>
      <c r="B290" s="4" t="s">
        <v>43</v>
      </c>
      <c r="C290" s="4" t="s">
        <v>23</v>
      </c>
      <c r="D290" s="4" t="s">
        <v>44</v>
      </c>
      <c r="E290" s="4" t="s">
        <v>52</v>
      </c>
      <c r="F290" s="4" t="s">
        <v>54</v>
      </c>
      <c r="G290" s="4" t="s">
        <v>25</v>
      </c>
      <c r="H290" s="4" t="s">
        <v>25</v>
      </c>
      <c r="I290" s="5">
        <v>44287</v>
      </c>
      <c r="J290" s="6">
        <v>0</v>
      </c>
      <c r="K290" s="6">
        <v>0</v>
      </c>
      <c r="L290" s="6">
        <v>0.125</v>
      </c>
      <c r="M290" s="6">
        <v>0.05</v>
      </c>
      <c r="N290" s="6">
        <v>0.125</v>
      </c>
      <c r="O290" s="6">
        <v>0.05</v>
      </c>
      <c r="P290" s="6">
        <v>0</v>
      </c>
      <c r="Q290" s="4" t="s">
        <v>26</v>
      </c>
      <c r="R290" s="4">
        <v>0</v>
      </c>
      <c r="S290" s="4" t="s">
        <v>224</v>
      </c>
      <c r="T290" s="4" t="s">
        <v>397</v>
      </c>
      <c r="U290" s="4">
        <v>0</v>
      </c>
      <c r="V290" s="4">
        <v>57</v>
      </c>
      <c r="W290" s="4">
        <v>31</v>
      </c>
    </row>
    <row r="291" spans="1:23" ht="11.25" customHeight="1" x14ac:dyDescent="0.3">
      <c r="A291" s="4" t="s">
        <v>21</v>
      </c>
      <c r="B291" s="4" t="s">
        <v>43</v>
      </c>
      <c r="C291" s="4" t="s">
        <v>23</v>
      </c>
      <c r="D291" s="4" t="s">
        <v>44</v>
      </c>
      <c r="E291" s="4" t="s">
        <v>52</v>
      </c>
      <c r="F291" s="4" t="s">
        <v>54</v>
      </c>
      <c r="G291" s="4" t="s">
        <v>25</v>
      </c>
      <c r="H291" s="4" t="s">
        <v>25</v>
      </c>
      <c r="I291" s="5">
        <v>44317</v>
      </c>
      <c r="J291" s="6">
        <v>0</v>
      </c>
      <c r="K291" s="6">
        <v>0</v>
      </c>
      <c r="L291" s="6">
        <v>0.152</v>
      </c>
      <c r="M291" s="6">
        <v>6.08E-2</v>
      </c>
      <c r="N291" s="6">
        <v>0.152</v>
      </c>
      <c r="O291" s="6">
        <v>6.08E-2</v>
      </c>
      <c r="P291" s="6">
        <v>0</v>
      </c>
      <c r="Q291" s="4" t="s">
        <v>26</v>
      </c>
      <c r="R291" s="4">
        <v>0</v>
      </c>
      <c r="S291" s="4" t="s">
        <v>225</v>
      </c>
      <c r="T291" s="4" t="s">
        <v>398</v>
      </c>
      <c r="U291" s="4">
        <v>0</v>
      </c>
      <c r="V291" s="4">
        <v>57</v>
      </c>
      <c r="W291" s="4">
        <v>31</v>
      </c>
    </row>
    <row r="292" spans="1:23" ht="11.25" customHeight="1" x14ac:dyDescent="0.3">
      <c r="A292" s="4" t="s">
        <v>21</v>
      </c>
      <c r="B292" s="4" t="s">
        <v>43</v>
      </c>
      <c r="C292" s="4" t="s">
        <v>23</v>
      </c>
      <c r="D292" s="4" t="s">
        <v>44</v>
      </c>
      <c r="E292" s="4" t="s">
        <v>52</v>
      </c>
      <c r="F292" s="4" t="s">
        <v>54</v>
      </c>
      <c r="G292" s="4" t="s">
        <v>25</v>
      </c>
      <c r="H292" s="4" t="s">
        <v>25</v>
      </c>
      <c r="I292" s="5">
        <v>44348</v>
      </c>
      <c r="J292" s="6">
        <v>0</v>
      </c>
      <c r="K292" s="6">
        <v>0</v>
      </c>
      <c r="L292" s="6">
        <v>4.0000000000000001E-3</v>
      </c>
      <c r="M292" s="6">
        <v>1.6000000000000001E-3</v>
      </c>
      <c r="N292" s="6">
        <v>4.0000000000000001E-3</v>
      </c>
      <c r="O292" s="6">
        <v>1.6000000000000001E-3</v>
      </c>
      <c r="P292" s="6">
        <v>0</v>
      </c>
      <c r="Q292" s="4" t="s">
        <v>26</v>
      </c>
      <c r="R292" s="4">
        <v>0</v>
      </c>
      <c r="S292" s="4" t="s">
        <v>226</v>
      </c>
      <c r="T292" s="4" t="s">
        <v>399</v>
      </c>
      <c r="U292" s="4">
        <v>0</v>
      </c>
      <c r="V292" s="4">
        <v>57</v>
      </c>
      <c r="W292" s="4">
        <v>31</v>
      </c>
    </row>
    <row r="293" spans="1:23" ht="11.25" customHeight="1" x14ac:dyDescent="0.3">
      <c r="A293" s="4" t="s">
        <v>21</v>
      </c>
      <c r="B293" s="4" t="s">
        <v>43</v>
      </c>
      <c r="C293" s="4" t="s">
        <v>23</v>
      </c>
      <c r="D293" s="4" t="s">
        <v>44</v>
      </c>
      <c r="E293" s="4" t="s">
        <v>52</v>
      </c>
      <c r="F293" s="4" t="s">
        <v>54</v>
      </c>
      <c r="G293" s="4" t="s">
        <v>25</v>
      </c>
      <c r="H293" s="4" t="s">
        <v>25</v>
      </c>
      <c r="I293" s="5">
        <v>44378</v>
      </c>
      <c r="J293" s="6">
        <v>0</v>
      </c>
      <c r="K293" s="6">
        <v>0</v>
      </c>
      <c r="L293" s="6">
        <v>3.0000000000000001E-3</v>
      </c>
      <c r="M293" s="6">
        <v>1.1999999999999999E-3</v>
      </c>
      <c r="N293" s="6">
        <v>3.0000000000000001E-3</v>
      </c>
      <c r="O293" s="6">
        <v>1.1999999999999999E-3</v>
      </c>
      <c r="P293" s="6">
        <v>0</v>
      </c>
      <c r="Q293" s="4" t="s">
        <v>26</v>
      </c>
      <c r="R293" s="4">
        <v>0</v>
      </c>
      <c r="S293" s="4" t="s">
        <v>227</v>
      </c>
      <c r="T293" s="4" t="s">
        <v>400</v>
      </c>
      <c r="U293" s="4">
        <v>0</v>
      </c>
      <c r="V293" s="4">
        <v>57</v>
      </c>
      <c r="W293" s="4">
        <v>31</v>
      </c>
    </row>
    <row r="294" spans="1:23" ht="11.25" customHeight="1" x14ac:dyDescent="0.3">
      <c r="A294" s="4" t="s">
        <v>21</v>
      </c>
      <c r="B294" s="4" t="s">
        <v>43</v>
      </c>
      <c r="C294" s="4" t="s">
        <v>23</v>
      </c>
      <c r="D294" s="4" t="s">
        <v>44</v>
      </c>
      <c r="E294" s="4" t="s">
        <v>52</v>
      </c>
      <c r="F294" s="4" t="s">
        <v>54</v>
      </c>
      <c r="G294" s="4" t="s">
        <v>25</v>
      </c>
      <c r="H294" s="4" t="s">
        <v>25</v>
      </c>
      <c r="I294" s="5">
        <v>44409</v>
      </c>
      <c r="J294" s="6">
        <v>0</v>
      </c>
      <c r="K294" s="6">
        <v>0</v>
      </c>
      <c r="L294" s="6">
        <v>0.23799999999999999</v>
      </c>
      <c r="M294" s="6">
        <v>9.5200000000000007E-2</v>
      </c>
      <c r="N294" s="6">
        <v>0.23799999999999999</v>
      </c>
      <c r="O294" s="6">
        <v>9.5200000000000007E-2</v>
      </c>
      <c r="P294" s="6">
        <v>0</v>
      </c>
      <c r="Q294" s="4" t="s">
        <v>26</v>
      </c>
      <c r="R294" s="4">
        <v>0</v>
      </c>
      <c r="S294" s="4" t="s">
        <v>228</v>
      </c>
      <c r="T294" s="4" t="s">
        <v>401</v>
      </c>
      <c r="U294" s="4">
        <v>0</v>
      </c>
      <c r="V294" s="4">
        <v>57</v>
      </c>
      <c r="W294" s="4">
        <v>31</v>
      </c>
    </row>
    <row r="295" spans="1:23" ht="11.25" customHeight="1" x14ac:dyDescent="0.3">
      <c r="A295" s="4" t="s">
        <v>21</v>
      </c>
      <c r="B295" s="4" t="s">
        <v>43</v>
      </c>
      <c r="C295" s="4" t="s">
        <v>23</v>
      </c>
      <c r="D295" s="4" t="s">
        <v>44</v>
      </c>
      <c r="E295" s="4" t="s">
        <v>52</v>
      </c>
      <c r="F295" s="4" t="s">
        <v>54</v>
      </c>
      <c r="G295" s="4" t="s">
        <v>25</v>
      </c>
      <c r="H295" s="4" t="s">
        <v>25</v>
      </c>
      <c r="I295" s="5">
        <v>44440</v>
      </c>
      <c r="J295" s="6">
        <v>0</v>
      </c>
      <c r="K295" s="6">
        <v>0</v>
      </c>
      <c r="L295" s="6">
        <v>2.9000000000000001E-2</v>
      </c>
      <c r="M295" s="6">
        <v>1.1599999999999999E-2</v>
      </c>
      <c r="N295" s="6">
        <v>2.9000000000000001E-2</v>
      </c>
      <c r="O295" s="6">
        <v>1.1599999999999999E-2</v>
      </c>
      <c r="P295" s="6">
        <v>0</v>
      </c>
      <c r="Q295" s="4" t="s">
        <v>26</v>
      </c>
      <c r="R295" s="4">
        <v>0</v>
      </c>
      <c r="S295" s="4" t="s">
        <v>229</v>
      </c>
      <c r="T295" s="4" t="s">
        <v>402</v>
      </c>
      <c r="U295" s="4">
        <v>0</v>
      </c>
      <c r="V295" s="4">
        <v>57</v>
      </c>
      <c r="W295" s="4">
        <v>31</v>
      </c>
    </row>
    <row r="296" spans="1:23" ht="11.25" customHeight="1" x14ac:dyDescent="0.3">
      <c r="A296" s="4" t="s">
        <v>21</v>
      </c>
      <c r="B296" s="4" t="s">
        <v>43</v>
      </c>
      <c r="C296" s="4" t="s">
        <v>23</v>
      </c>
      <c r="D296" s="4" t="s">
        <v>44</v>
      </c>
      <c r="E296" s="4" t="s">
        <v>52</v>
      </c>
      <c r="F296" s="4" t="s">
        <v>54</v>
      </c>
      <c r="G296" s="4" t="s">
        <v>25</v>
      </c>
      <c r="H296" s="4" t="s">
        <v>25</v>
      </c>
      <c r="I296" s="5">
        <v>44470</v>
      </c>
      <c r="J296" s="6">
        <v>0</v>
      </c>
      <c r="K296" s="6">
        <v>0</v>
      </c>
      <c r="L296" s="6">
        <v>5.8999999999999997E-2</v>
      </c>
      <c r="M296" s="6">
        <v>2.3599999999999999E-2</v>
      </c>
      <c r="N296" s="6">
        <v>5.8999999999999997E-2</v>
      </c>
      <c r="O296" s="6">
        <v>2.3599999999999999E-2</v>
      </c>
      <c r="P296" s="6">
        <v>0</v>
      </c>
      <c r="Q296" s="4" t="s">
        <v>26</v>
      </c>
      <c r="R296" s="4">
        <v>0</v>
      </c>
      <c r="S296" s="4" t="s">
        <v>230</v>
      </c>
      <c r="T296" s="4" t="s">
        <v>403</v>
      </c>
      <c r="U296" s="4">
        <v>0</v>
      </c>
      <c r="V296" s="4">
        <v>57</v>
      </c>
      <c r="W296" s="4">
        <v>31</v>
      </c>
    </row>
    <row r="297" spans="1:23" ht="11.25" customHeight="1" x14ac:dyDescent="0.3">
      <c r="A297" s="4" t="s">
        <v>21</v>
      </c>
      <c r="B297" s="4" t="s">
        <v>43</v>
      </c>
      <c r="C297" s="4" t="s">
        <v>23</v>
      </c>
      <c r="D297" s="4" t="s">
        <v>44</v>
      </c>
      <c r="E297" s="4" t="s">
        <v>52</v>
      </c>
      <c r="F297" s="4" t="s">
        <v>54</v>
      </c>
      <c r="G297" s="4" t="s">
        <v>25</v>
      </c>
      <c r="H297" s="4" t="s">
        <v>25</v>
      </c>
      <c r="I297" s="5">
        <v>44531</v>
      </c>
      <c r="J297" s="6">
        <v>0</v>
      </c>
      <c r="K297" s="6">
        <v>0</v>
      </c>
      <c r="L297" s="6">
        <v>0.621</v>
      </c>
      <c r="M297" s="6">
        <v>0.24840000000000001</v>
      </c>
      <c r="N297" s="6">
        <v>0.621</v>
      </c>
      <c r="O297" s="6">
        <v>0.24840000000000001</v>
      </c>
      <c r="P297" s="6">
        <v>0</v>
      </c>
      <c r="Q297" s="4" t="s">
        <v>26</v>
      </c>
      <c r="R297" s="4">
        <v>0</v>
      </c>
      <c r="S297" s="4" t="s">
        <v>232</v>
      </c>
      <c r="T297" s="4" t="s">
        <v>405</v>
      </c>
      <c r="U297" s="4">
        <v>0</v>
      </c>
      <c r="V297" s="4">
        <v>57</v>
      </c>
      <c r="W297" s="4">
        <v>31</v>
      </c>
    </row>
    <row r="298" spans="1:23" ht="11.25" customHeight="1" x14ac:dyDescent="0.3">
      <c r="A298" s="4" t="s">
        <v>21</v>
      </c>
      <c r="B298" s="4" t="s">
        <v>43</v>
      </c>
      <c r="C298" s="4" t="s">
        <v>23</v>
      </c>
      <c r="D298" s="4" t="s">
        <v>44</v>
      </c>
      <c r="E298" s="4" t="s">
        <v>52</v>
      </c>
      <c r="F298" s="4" t="s">
        <v>54</v>
      </c>
      <c r="G298" s="4" t="s">
        <v>25</v>
      </c>
      <c r="H298" s="4" t="s">
        <v>25</v>
      </c>
      <c r="I298" s="5">
        <v>44562</v>
      </c>
      <c r="J298" s="6">
        <v>0</v>
      </c>
      <c r="K298" s="6">
        <v>0</v>
      </c>
      <c r="L298" s="6">
        <v>5.2999999999999999E-2</v>
      </c>
      <c r="M298" s="6">
        <v>2.12E-2</v>
      </c>
      <c r="N298" s="6">
        <v>5.2999999999999999E-2</v>
      </c>
      <c r="O298" s="6">
        <v>2.12E-2</v>
      </c>
      <c r="P298" s="6">
        <v>0</v>
      </c>
      <c r="Q298" s="4" t="s">
        <v>26</v>
      </c>
      <c r="R298" s="4">
        <v>0</v>
      </c>
      <c r="S298" s="4" t="s">
        <v>233</v>
      </c>
      <c r="T298" s="4" t="s">
        <v>406</v>
      </c>
      <c r="U298" s="4">
        <v>0</v>
      </c>
      <c r="V298" s="4">
        <v>57</v>
      </c>
      <c r="W298" s="4">
        <v>31</v>
      </c>
    </row>
    <row r="299" spans="1:23" ht="11.25" customHeight="1" x14ac:dyDescent="0.3">
      <c r="A299" s="4" t="s">
        <v>21</v>
      </c>
      <c r="B299" s="4" t="s">
        <v>43</v>
      </c>
      <c r="C299" s="4" t="s">
        <v>23</v>
      </c>
      <c r="D299" s="4" t="s">
        <v>44</v>
      </c>
      <c r="E299" s="4" t="s">
        <v>52</v>
      </c>
      <c r="F299" s="4" t="s">
        <v>54</v>
      </c>
      <c r="G299" s="4" t="s">
        <v>25</v>
      </c>
      <c r="H299" s="4" t="s">
        <v>25</v>
      </c>
      <c r="I299" s="5">
        <v>44593</v>
      </c>
      <c r="J299" s="6">
        <v>0</v>
      </c>
      <c r="K299" s="6">
        <v>0</v>
      </c>
      <c r="L299" s="6">
        <v>0.80700000000000005</v>
      </c>
      <c r="M299" s="6">
        <v>0.32279999999999998</v>
      </c>
      <c r="N299" s="6">
        <v>0.80700000000000005</v>
      </c>
      <c r="O299" s="6">
        <v>0.32279999999999998</v>
      </c>
      <c r="P299" s="6">
        <v>0</v>
      </c>
      <c r="Q299" s="4" t="s">
        <v>26</v>
      </c>
      <c r="R299" s="4">
        <v>0</v>
      </c>
      <c r="S299" s="4" t="s">
        <v>234</v>
      </c>
      <c r="T299" s="4" t="s">
        <v>407</v>
      </c>
      <c r="U299" s="4">
        <v>0</v>
      </c>
      <c r="V299" s="4">
        <v>57</v>
      </c>
      <c r="W299" s="4">
        <v>31</v>
      </c>
    </row>
    <row r="300" spans="1:23" ht="11.25" customHeight="1" x14ac:dyDescent="0.3">
      <c r="A300" s="4" t="s">
        <v>21</v>
      </c>
      <c r="B300" s="4" t="s">
        <v>43</v>
      </c>
      <c r="C300" s="4" t="s">
        <v>23</v>
      </c>
      <c r="D300" s="4" t="s">
        <v>44</v>
      </c>
      <c r="E300" s="4" t="s">
        <v>52</v>
      </c>
      <c r="F300" s="4" t="s">
        <v>54</v>
      </c>
      <c r="G300" s="4" t="s">
        <v>25</v>
      </c>
      <c r="H300" s="4" t="s">
        <v>25</v>
      </c>
      <c r="I300" s="5">
        <v>44621</v>
      </c>
      <c r="J300" s="6">
        <v>0</v>
      </c>
      <c r="K300" s="6">
        <v>0</v>
      </c>
      <c r="L300" s="6">
        <v>1.63</v>
      </c>
      <c r="M300" s="6">
        <v>0.65200000000000002</v>
      </c>
      <c r="N300" s="6">
        <v>1.63</v>
      </c>
      <c r="O300" s="6">
        <v>0.65200000000000002</v>
      </c>
      <c r="P300" s="6">
        <v>0</v>
      </c>
      <c r="Q300" s="4" t="s">
        <v>26</v>
      </c>
      <c r="R300" s="4">
        <v>0</v>
      </c>
      <c r="S300" s="4" t="s">
        <v>235</v>
      </c>
      <c r="T300" s="4" t="s">
        <v>408</v>
      </c>
      <c r="U300" s="4">
        <v>0</v>
      </c>
      <c r="V300" s="4">
        <v>57</v>
      </c>
      <c r="W300" s="4">
        <v>31</v>
      </c>
    </row>
    <row r="301" spans="1:23" ht="11.25" customHeight="1" x14ac:dyDescent="0.3">
      <c r="A301" s="4" t="s">
        <v>21</v>
      </c>
      <c r="B301" s="4" t="s">
        <v>43</v>
      </c>
      <c r="C301" s="4" t="s">
        <v>23</v>
      </c>
      <c r="D301" s="4" t="s">
        <v>44</v>
      </c>
      <c r="E301" s="4" t="s">
        <v>55</v>
      </c>
      <c r="F301" s="4" t="s">
        <v>53</v>
      </c>
      <c r="G301" s="4" t="s">
        <v>25</v>
      </c>
      <c r="H301" s="4" t="s">
        <v>25</v>
      </c>
      <c r="I301" s="5">
        <v>44409</v>
      </c>
      <c r="J301" s="6">
        <v>0</v>
      </c>
      <c r="K301" s="6">
        <v>0</v>
      </c>
      <c r="L301" s="6">
        <v>5.8970000000000002</v>
      </c>
      <c r="M301" s="6">
        <v>5.8970000000000002</v>
      </c>
      <c r="N301" s="6">
        <v>5.8970000000000002</v>
      </c>
      <c r="O301" s="6">
        <v>5.8970000000000002</v>
      </c>
      <c r="P301" s="6">
        <v>0</v>
      </c>
      <c r="Q301" s="4" t="s">
        <v>26</v>
      </c>
      <c r="R301" s="4">
        <v>0</v>
      </c>
      <c r="S301" s="4" t="s">
        <v>228</v>
      </c>
      <c r="T301" s="4" t="s">
        <v>401</v>
      </c>
      <c r="U301" s="4">
        <v>0</v>
      </c>
      <c r="V301" s="4">
        <v>57</v>
      </c>
      <c r="W301" s="4">
        <v>31</v>
      </c>
    </row>
    <row r="302" spans="1:23" ht="11.25" customHeight="1" x14ac:dyDescent="0.3">
      <c r="A302" s="4" t="s">
        <v>21</v>
      </c>
      <c r="B302" s="4" t="s">
        <v>43</v>
      </c>
      <c r="C302" s="4" t="s">
        <v>23</v>
      </c>
      <c r="D302" s="4" t="s">
        <v>44</v>
      </c>
      <c r="E302" s="4" t="s">
        <v>55</v>
      </c>
      <c r="F302" s="4" t="s">
        <v>53</v>
      </c>
      <c r="G302" s="4" t="s">
        <v>25</v>
      </c>
      <c r="H302" s="4" t="s">
        <v>25</v>
      </c>
      <c r="I302" s="5">
        <v>44440</v>
      </c>
      <c r="J302" s="6">
        <v>0</v>
      </c>
      <c r="K302" s="6">
        <v>0</v>
      </c>
      <c r="L302" s="6">
        <v>6.6459999999999999</v>
      </c>
      <c r="M302" s="6">
        <v>6.6459999999999999</v>
      </c>
      <c r="N302" s="6">
        <v>6.6459999999999999</v>
      </c>
      <c r="O302" s="6">
        <v>6.6459999999999999</v>
      </c>
      <c r="P302" s="6">
        <v>0</v>
      </c>
      <c r="Q302" s="4" t="s">
        <v>26</v>
      </c>
      <c r="R302" s="4">
        <v>0</v>
      </c>
      <c r="S302" s="4" t="s">
        <v>229</v>
      </c>
      <c r="T302" s="4" t="s">
        <v>402</v>
      </c>
      <c r="U302" s="4">
        <v>0</v>
      </c>
      <c r="V302" s="4">
        <v>57</v>
      </c>
      <c r="W302" s="4">
        <v>31</v>
      </c>
    </row>
    <row r="303" spans="1:23" ht="11.25" customHeight="1" x14ac:dyDescent="0.3">
      <c r="A303" s="4" t="s">
        <v>28</v>
      </c>
      <c r="B303" s="4" t="s">
        <v>43</v>
      </c>
      <c r="C303" s="4" t="s">
        <v>23</v>
      </c>
      <c r="D303" s="4" t="s">
        <v>44</v>
      </c>
      <c r="E303" s="4" t="s">
        <v>55</v>
      </c>
      <c r="F303" s="4" t="s">
        <v>53</v>
      </c>
      <c r="G303" s="4" t="s">
        <v>25</v>
      </c>
      <c r="H303" s="4" t="s">
        <v>25</v>
      </c>
      <c r="I303" s="5">
        <v>44470</v>
      </c>
      <c r="J303" s="6">
        <v>0</v>
      </c>
      <c r="K303" s="6">
        <v>0</v>
      </c>
      <c r="L303" s="6">
        <v>4.4130000000000003</v>
      </c>
      <c r="M303" s="6">
        <v>4.4130000000000003</v>
      </c>
      <c r="N303" s="6">
        <v>4.4130000000000003</v>
      </c>
      <c r="O303" s="6">
        <v>4.4130000000000003</v>
      </c>
      <c r="P303" s="6">
        <v>0</v>
      </c>
      <c r="Q303" s="4" t="s">
        <v>26</v>
      </c>
      <c r="R303" s="4">
        <v>0</v>
      </c>
      <c r="S303" s="4" t="s">
        <v>230</v>
      </c>
      <c r="T303" s="4" t="s">
        <v>403</v>
      </c>
      <c r="U303" s="4">
        <v>0</v>
      </c>
      <c r="V303" s="4">
        <v>57</v>
      </c>
      <c r="W303" s="4">
        <v>31</v>
      </c>
    </row>
    <row r="304" spans="1:23" ht="11.25" customHeight="1" x14ac:dyDescent="0.3">
      <c r="A304" s="4" t="s">
        <v>28</v>
      </c>
      <c r="B304" s="4" t="s">
        <v>43</v>
      </c>
      <c r="C304" s="4" t="s">
        <v>23</v>
      </c>
      <c r="D304" s="4" t="s">
        <v>44</v>
      </c>
      <c r="E304" s="4" t="s">
        <v>55</v>
      </c>
      <c r="F304" s="4" t="s">
        <v>53</v>
      </c>
      <c r="G304" s="4" t="s">
        <v>25</v>
      </c>
      <c r="H304" s="4" t="s">
        <v>25</v>
      </c>
      <c r="I304" s="5">
        <v>44501</v>
      </c>
      <c r="J304" s="6">
        <v>0</v>
      </c>
      <c r="K304" s="6">
        <v>0</v>
      </c>
      <c r="L304" s="6">
        <v>0.93600000000000005</v>
      </c>
      <c r="M304" s="6">
        <v>0.93600000000000005</v>
      </c>
      <c r="N304" s="6">
        <v>0.93600000000000005</v>
      </c>
      <c r="O304" s="6">
        <v>0.93600000000000005</v>
      </c>
      <c r="P304" s="6">
        <v>0</v>
      </c>
      <c r="Q304" s="4" t="s">
        <v>26</v>
      </c>
      <c r="R304" s="4">
        <v>0</v>
      </c>
      <c r="S304" s="4" t="s">
        <v>231</v>
      </c>
      <c r="T304" s="4" t="s">
        <v>404</v>
      </c>
      <c r="U304" s="4">
        <v>0</v>
      </c>
      <c r="V304" s="4">
        <v>57</v>
      </c>
      <c r="W304" s="4">
        <v>31</v>
      </c>
    </row>
    <row r="305" spans="1:23" ht="11.25" customHeight="1" x14ac:dyDescent="0.3">
      <c r="A305" s="4" t="s">
        <v>28</v>
      </c>
      <c r="B305" s="4" t="s">
        <v>43</v>
      </c>
      <c r="C305" s="4" t="s">
        <v>23</v>
      </c>
      <c r="D305" s="4" t="s">
        <v>44</v>
      </c>
      <c r="E305" s="4" t="s">
        <v>55</v>
      </c>
      <c r="F305" s="4" t="s">
        <v>53</v>
      </c>
      <c r="G305" s="4" t="s">
        <v>25</v>
      </c>
      <c r="H305" s="4" t="s">
        <v>25</v>
      </c>
      <c r="I305" s="5">
        <v>44562</v>
      </c>
      <c r="J305" s="6">
        <v>0</v>
      </c>
      <c r="K305" s="6">
        <v>0</v>
      </c>
      <c r="L305" s="6">
        <v>0.85699999999999998</v>
      </c>
      <c r="M305" s="6">
        <v>0.85699999999999998</v>
      </c>
      <c r="N305" s="6">
        <v>0.85699999999999998</v>
      </c>
      <c r="O305" s="6">
        <v>0.85699999999999998</v>
      </c>
      <c r="P305" s="6">
        <v>0</v>
      </c>
      <c r="Q305" s="4" t="s">
        <v>26</v>
      </c>
      <c r="R305" s="4">
        <v>0</v>
      </c>
      <c r="S305" s="4" t="s">
        <v>233</v>
      </c>
      <c r="T305" s="4" t="s">
        <v>406</v>
      </c>
      <c r="U305" s="4">
        <v>0</v>
      </c>
      <c r="V305" s="4">
        <v>57</v>
      </c>
      <c r="W305" s="4">
        <v>31</v>
      </c>
    </row>
    <row r="306" spans="1:23" ht="11.25" customHeight="1" x14ac:dyDescent="0.3">
      <c r="A306" s="4" t="s">
        <v>28</v>
      </c>
      <c r="B306" s="4" t="s">
        <v>43</v>
      </c>
      <c r="C306" s="4" t="s">
        <v>23</v>
      </c>
      <c r="D306" s="4" t="s">
        <v>44</v>
      </c>
      <c r="E306" s="4" t="s">
        <v>55</v>
      </c>
      <c r="F306" s="4" t="s">
        <v>53</v>
      </c>
      <c r="G306" s="4" t="s">
        <v>25</v>
      </c>
      <c r="H306" s="4" t="s">
        <v>25</v>
      </c>
      <c r="I306" s="5">
        <v>44593</v>
      </c>
      <c r="J306" s="6">
        <v>0</v>
      </c>
      <c r="K306" s="6">
        <v>0</v>
      </c>
      <c r="L306" s="6">
        <v>0.29299999999999998</v>
      </c>
      <c r="M306" s="6">
        <v>0.29299999999999998</v>
      </c>
      <c r="N306" s="6">
        <v>0.29299999999999998</v>
      </c>
      <c r="O306" s="6">
        <v>0.29299999999999998</v>
      </c>
      <c r="P306" s="6">
        <v>0</v>
      </c>
      <c r="Q306" s="4" t="s">
        <v>26</v>
      </c>
      <c r="R306" s="4">
        <v>0</v>
      </c>
      <c r="S306" s="4" t="s">
        <v>234</v>
      </c>
      <c r="T306" s="4" t="s">
        <v>407</v>
      </c>
      <c r="U306" s="4">
        <v>0</v>
      </c>
      <c r="V306" s="4">
        <v>57</v>
      </c>
      <c r="W306" s="4">
        <v>31</v>
      </c>
    </row>
    <row r="307" spans="1:23" ht="11.25" customHeight="1" x14ac:dyDescent="0.3">
      <c r="A307" s="4" t="s">
        <v>28</v>
      </c>
      <c r="B307" s="4" t="s">
        <v>43</v>
      </c>
      <c r="C307" s="4" t="s">
        <v>23</v>
      </c>
      <c r="D307" s="4" t="s">
        <v>44</v>
      </c>
      <c r="E307" s="4" t="s">
        <v>55</v>
      </c>
      <c r="F307" s="4" t="s">
        <v>53</v>
      </c>
      <c r="G307" s="4" t="s">
        <v>25</v>
      </c>
      <c r="H307" s="4" t="s">
        <v>25</v>
      </c>
      <c r="I307" s="5">
        <v>44621</v>
      </c>
      <c r="J307" s="6">
        <v>0</v>
      </c>
      <c r="K307" s="6">
        <v>0</v>
      </c>
      <c r="L307" s="6">
        <v>7.0000000000000007E-2</v>
      </c>
      <c r="M307" s="6">
        <v>7.0000000000000007E-2</v>
      </c>
      <c r="N307" s="6">
        <v>7.0000000000000007E-2</v>
      </c>
      <c r="O307" s="6">
        <v>7.0000000000000007E-2</v>
      </c>
      <c r="P307" s="6">
        <v>0</v>
      </c>
      <c r="Q307" s="4" t="s">
        <v>26</v>
      </c>
      <c r="R307" s="4">
        <v>0</v>
      </c>
      <c r="S307" s="4" t="s">
        <v>235</v>
      </c>
      <c r="T307" s="4" t="s">
        <v>408</v>
      </c>
      <c r="U307" s="4">
        <v>0</v>
      </c>
      <c r="V307" s="4">
        <v>57</v>
      </c>
      <c r="W307" s="4">
        <v>31</v>
      </c>
    </row>
    <row r="308" spans="1:23" ht="11.25" customHeight="1" x14ac:dyDescent="0.3">
      <c r="A308" s="4" t="s">
        <v>21</v>
      </c>
      <c r="B308" s="4" t="s">
        <v>43</v>
      </c>
      <c r="C308" s="4" t="s">
        <v>23</v>
      </c>
      <c r="D308" s="4" t="s">
        <v>44</v>
      </c>
      <c r="E308" s="4" t="s">
        <v>55</v>
      </c>
      <c r="F308" s="4" t="s">
        <v>54</v>
      </c>
      <c r="G308" s="4" t="s">
        <v>25</v>
      </c>
      <c r="H308" s="4" t="s">
        <v>25</v>
      </c>
      <c r="I308" s="5">
        <v>44409</v>
      </c>
      <c r="J308" s="6">
        <v>0</v>
      </c>
      <c r="K308" s="6">
        <v>0</v>
      </c>
      <c r="L308" s="6">
        <v>2.9569999999999999</v>
      </c>
      <c r="M308" s="6">
        <v>1.1828000000000001</v>
      </c>
      <c r="N308" s="6">
        <v>2.9569999999999999</v>
      </c>
      <c r="O308" s="6">
        <v>1.1828000000000001</v>
      </c>
      <c r="P308" s="6">
        <v>0</v>
      </c>
      <c r="Q308" s="4" t="s">
        <v>26</v>
      </c>
      <c r="R308" s="4">
        <v>0</v>
      </c>
      <c r="S308" s="4" t="s">
        <v>228</v>
      </c>
      <c r="T308" s="4" t="s">
        <v>401</v>
      </c>
      <c r="U308" s="4">
        <v>0</v>
      </c>
      <c r="V308" s="4">
        <v>57</v>
      </c>
      <c r="W308" s="4">
        <v>31</v>
      </c>
    </row>
    <row r="309" spans="1:23" ht="11.25" customHeight="1" x14ac:dyDescent="0.3">
      <c r="A309" s="4" t="s">
        <v>21</v>
      </c>
      <c r="B309" s="4" t="s">
        <v>43</v>
      </c>
      <c r="C309" s="4" t="s">
        <v>23</v>
      </c>
      <c r="D309" s="4" t="s">
        <v>44</v>
      </c>
      <c r="E309" s="4" t="s">
        <v>55</v>
      </c>
      <c r="F309" s="4" t="s">
        <v>54</v>
      </c>
      <c r="G309" s="4" t="s">
        <v>25</v>
      </c>
      <c r="H309" s="4" t="s">
        <v>25</v>
      </c>
      <c r="I309" s="5">
        <v>44440</v>
      </c>
      <c r="J309" s="6">
        <v>0</v>
      </c>
      <c r="K309" s="6">
        <v>0</v>
      </c>
      <c r="L309" s="6">
        <v>2.016</v>
      </c>
      <c r="M309" s="6">
        <v>0.80640000000000001</v>
      </c>
      <c r="N309" s="6">
        <v>2.016</v>
      </c>
      <c r="O309" s="6">
        <v>0.80640000000000001</v>
      </c>
      <c r="P309" s="6">
        <v>0</v>
      </c>
      <c r="Q309" s="4" t="s">
        <v>26</v>
      </c>
      <c r="R309" s="4">
        <v>0</v>
      </c>
      <c r="S309" s="4" t="s">
        <v>229</v>
      </c>
      <c r="T309" s="4" t="s">
        <v>402</v>
      </c>
      <c r="U309" s="4">
        <v>0</v>
      </c>
      <c r="V309" s="4">
        <v>57</v>
      </c>
      <c r="W309" s="4">
        <v>31</v>
      </c>
    </row>
    <row r="310" spans="1:23" ht="11.25" customHeight="1" x14ac:dyDescent="0.3">
      <c r="A310" s="4" t="s">
        <v>28</v>
      </c>
      <c r="B310" s="4" t="s">
        <v>43</v>
      </c>
      <c r="C310" s="4" t="s">
        <v>23</v>
      </c>
      <c r="D310" s="4" t="s">
        <v>44</v>
      </c>
      <c r="E310" s="4" t="s">
        <v>55</v>
      </c>
      <c r="F310" s="4" t="s">
        <v>54</v>
      </c>
      <c r="G310" s="4" t="s">
        <v>25</v>
      </c>
      <c r="H310" s="4" t="s">
        <v>25</v>
      </c>
      <c r="I310" s="5">
        <v>44470</v>
      </c>
      <c r="J310" s="6">
        <v>0</v>
      </c>
      <c r="K310" s="6">
        <v>0</v>
      </c>
      <c r="L310" s="6">
        <v>2.2589999999999999</v>
      </c>
      <c r="M310" s="6">
        <v>2.2589999999999999</v>
      </c>
      <c r="N310" s="6">
        <v>2.2589999999999999</v>
      </c>
      <c r="O310" s="6">
        <v>2.2589999999999999</v>
      </c>
      <c r="P310" s="6">
        <v>0</v>
      </c>
      <c r="Q310" s="4" t="s">
        <v>26</v>
      </c>
      <c r="R310" s="4">
        <v>0</v>
      </c>
      <c r="S310" s="4" t="s">
        <v>230</v>
      </c>
      <c r="T310" s="4" t="s">
        <v>403</v>
      </c>
      <c r="U310" s="4">
        <v>0</v>
      </c>
      <c r="V310" s="4">
        <v>57</v>
      </c>
      <c r="W310" s="4">
        <v>31</v>
      </c>
    </row>
    <row r="311" spans="1:23" ht="11.25" customHeight="1" x14ac:dyDescent="0.3">
      <c r="A311" s="4" t="s">
        <v>28</v>
      </c>
      <c r="B311" s="4" t="s">
        <v>43</v>
      </c>
      <c r="C311" s="4" t="s">
        <v>23</v>
      </c>
      <c r="D311" s="4" t="s">
        <v>44</v>
      </c>
      <c r="E311" s="4" t="s">
        <v>55</v>
      </c>
      <c r="F311" s="4" t="s">
        <v>54</v>
      </c>
      <c r="G311" s="4" t="s">
        <v>25</v>
      </c>
      <c r="H311" s="4" t="s">
        <v>25</v>
      </c>
      <c r="I311" s="5">
        <v>44501</v>
      </c>
      <c r="J311" s="6">
        <v>0</v>
      </c>
      <c r="K311" s="6">
        <v>0</v>
      </c>
      <c r="L311" s="6">
        <v>2.1850000000000001</v>
      </c>
      <c r="M311" s="6">
        <v>2.1850000000000001</v>
      </c>
      <c r="N311" s="6">
        <v>2.1850000000000001</v>
      </c>
      <c r="O311" s="6">
        <v>2.1850000000000001</v>
      </c>
      <c r="P311" s="6">
        <v>0</v>
      </c>
      <c r="Q311" s="4" t="s">
        <v>26</v>
      </c>
      <c r="R311" s="4">
        <v>0</v>
      </c>
      <c r="S311" s="4" t="s">
        <v>231</v>
      </c>
      <c r="T311" s="4" t="s">
        <v>404</v>
      </c>
      <c r="U311" s="4">
        <v>0</v>
      </c>
      <c r="V311" s="4">
        <v>57</v>
      </c>
      <c r="W311" s="4">
        <v>31</v>
      </c>
    </row>
    <row r="312" spans="1:23" ht="11.25" customHeight="1" x14ac:dyDescent="0.3">
      <c r="A312" s="4" t="s">
        <v>28</v>
      </c>
      <c r="B312" s="4" t="s">
        <v>43</v>
      </c>
      <c r="C312" s="4" t="s">
        <v>23</v>
      </c>
      <c r="D312" s="4" t="s">
        <v>44</v>
      </c>
      <c r="E312" s="4" t="s">
        <v>55</v>
      </c>
      <c r="F312" s="4" t="s">
        <v>54</v>
      </c>
      <c r="G312" s="4" t="s">
        <v>25</v>
      </c>
      <c r="H312" s="4" t="s">
        <v>25</v>
      </c>
      <c r="I312" s="5">
        <v>44531</v>
      </c>
      <c r="J312" s="6">
        <v>0</v>
      </c>
      <c r="K312" s="6">
        <v>0</v>
      </c>
      <c r="L312" s="6">
        <v>0.78300000000000003</v>
      </c>
      <c r="M312" s="6">
        <v>0.78300000000000003</v>
      </c>
      <c r="N312" s="6">
        <v>0.78300000000000003</v>
      </c>
      <c r="O312" s="6">
        <v>0.78300000000000003</v>
      </c>
      <c r="P312" s="6">
        <v>0</v>
      </c>
      <c r="Q312" s="4" t="s">
        <v>26</v>
      </c>
      <c r="R312" s="4">
        <v>0</v>
      </c>
      <c r="S312" s="4" t="s">
        <v>232</v>
      </c>
      <c r="T312" s="4" t="s">
        <v>405</v>
      </c>
      <c r="U312" s="4">
        <v>0</v>
      </c>
      <c r="V312" s="4">
        <v>57</v>
      </c>
      <c r="W312" s="4">
        <v>31</v>
      </c>
    </row>
    <row r="313" spans="1:23" ht="11.25" customHeight="1" x14ac:dyDescent="0.3">
      <c r="A313" s="4" t="s">
        <v>28</v>
      </c>
      <c r="B313" s="4" t="s">
        <v>43</v>
      </c>
      <c r="C313" s="4" t="s">
        <v>23</v>
      </c>
      <c r="D313" s="4" t="s">
        <v>44</v>
      </c>
      <c r="E313" s="4" t="s">
        <v>55</v>
      </c>
      <c r="F313" s="4" t="s">
        <v>54</v>
      </c>
      <c r="G313" s="4" t="s">
        <v>25</v>
      </c>
      <c r="H313" s="4" t="s">
        <v>25</v>
      </c>
      <c r="I313" s="5">
        <v>44562</v>
      </c>
      <c r="J313" s="6">
        <v>0</v>
      </c>
      <c r="K313" s="6">
        <v>0</v>
      </c>
      <c r="L313" s="6">
        <v>3.4180000000000001</v>
      </c>
      <c r="M313" s="6">
        <v>3.4180000000000001</v>
      </c>
      <c r="N313" s="6">
        <v>3.4180000000000001</v>
      </c>
      <c r="O313" s="6">
        <v>3.4180000000000001</v>
      </c>
      <c r="P313" s="6">
        <v>0</v>
      </c>
      <c r="Q313" s="4" t="s">
        <v>26</v>
      </c>
      <c r="R313" s="4">
        <v>0</v>
      </c>
      <c r="S313" s="4" t="s">
        <v>233</v>
      </c>
      <c r="T313" s="4" t="s">
        <v>406</v>
      </c>
      <c r="U313" s="4">
        <v>0</v>
      </c>
      <c r="V313" s="4">
        <v>57</v>
      </c>
      <c r="W313" s="4">
        <v>31</v>
      </c>
    </row>
    <row r="314" spans="1:23" ht="11.25" customHeight="1" x14ac:dyDescent="0.3">
      <c r="A314" s="4" t="s">
        <v>28</v>
      </c>
      <c r="B314" s="4" t="s">
        <v>43</v>
      </c>
      <c r="C314" s="4" t="s">
        <v>23</v>
      </c>
      <c r="D314" s="4" t="s">
        <v>44</v>
      </c>
      <c r="E314" s="4" t="s">
        <v>55</v>
      </c>
      <c r="F314" s="4" t="s">
        <v>54</v>
      </c>
      <c r="G314" s="4" t="s">
        <v>25</v>
      </c>
      <c r="H314" s="4" t="s">
        <v>25</v>
      </c>
      <c r="I314" s="5">
        <v>44593</v>
      </c>
      <c r="J314" s="6">
        <v>0</v>
      </c>
      <c r="K314" s="6">
        <v>0</v>
      </c>
      <c r="L314" s="6">
        <v>2.7970000000000002</v>
      </c>
      <c r="M314" s="6">
        <v>2.7970000000000002</v>
      </c>
      <c r="N314" s="6">
        <v>2.7970000000000002</v>
      </c>
      <c r="O314" s="6">
        <v>2.7970000000000002</v>
      </c>
      <c r="P314" s="6">
        <v>0</v>
      </c>
      <c r="Q314" s="4" t="s">
        <v>26</v>
      </c>
      <c r="R314" s="4">
        <v>0</v>
      </c>
      <c r="S314" s="4" t="s">
        <v>234</v>
      </c>
      <c r="T314" s="4" t="s">
        <v>407</v>
      </c>
      <c r="U314" s="4">
        <v>0</v>
      </c>
      <c r="V314" s="4">
        <v>57</v>
      </c>
      <c r="W314" s="4">
        <v>31</v>
      </c>
    </row>
    <row r="315" spans="1:23" ht="11.25" customHeight="1" x14ac:dyDescent="0.3">
      <c r="A315" s="4" t="s">
        <v>28</v>
      </c>
      <c r="B315" s="4" t="s">
        <v>43</v>
      </c>
      <c r="C315" s="4" t="s">
        <v>23</v>
      </c>
      <c r="D315" s="4" t="s">
        <v>44</v>
      </c>
      <c r="E315" s="4" t="s">
        <v>55</v>
      </c>
      <c r="F315" s="4" t="s">
        <v>54</v>
      </c>
      <c r="G315" s="4" t="s">
        <v>25</v>
      </c>
      <c r="H315" s="4" t="s">
        <v>25</v>
      </c>
      <c r="I315" s="5">
        <v>44621</v>
      </c>
      <c r="J315" s="6">
        <v>0</v>
      </c>
      <c r="K315" s="6">
        <v>0</v>
      </c>
      <c r="L315" s="6">
        <v>2.8650000000000002</v>
      </c>
      <c r="M315" s="6">
        <v>2.8650000000000002</v>
      </c>
      <c r="N315" s="6">
        <v>2.8650000000000002</v>
      </c>
      <c r="O315" s="6">
        <v>2.8650000000000002</v>
      </c>
      <c r="P315" s="6">
        <v>0</v>
      </c>
      <c r="Q315" s="4" t="s">
        <v>26</v>
      </c>
      <c r="R315" s="4">
        <v>0</v>
      </c>
      <c r="S315" s="4" t="s">
        <v>235</v>
      </c>
      <c r="T315" s="4" t="s">
        <v>408</v>
      </c>
      <c r="U315" s="4">
        <v>0</v>
      </c>
      <c r="V315" s="4">
        <v>57</v>
      </c>
      <c r="W315" s="4">
        <v>31</v>
      </c>
    </row>
    <row r="316" spans="1:23" ht="11.25" customHeight="1" x14ac:dyDescent="0.3">
      <c r="A316" s="4" t="s">
        <v>21</v>
      </c>
      <c r="B316" s="4" t="s">
        <v>43</v>
      </c>
      <c r="C316" s="4" t="s">
        <v>23</v>
      </c>
      <c r="D316" s="4" t="s">
        <v>44</v>
      </c>
      <c r="E316" s="4" t="s">
        <v>25</v>
      </c>
      <c r="F316" s="4" t="s">
        <v>25</v>
      </c>
      <c r="G316" s="4" t="s">
        <v>25</v>
      </c>
      <c r="H316" s="4" t="s">
        <v>25</v>
      </c>
      <c r="I316" s="5">
        <v>44287</v>
      </c>
      <c r="J316" s="6">
        <v>0</v>
      </c>
      <c r="K316" s="6">
        <v>0</v>
      </c>
      <c r="L316" s="6">
        <v>56.527999999999999</v>
      </c>
      <c r="M316" s="6">
        <v>56.527999999999999</v>
      </c>
      <c r="N316" s="6">
        <v>56.527999999999999</v>
      </c>
      <c r="O316" s="6">
        <v>56.527999999999999</v>
      </c>
      <c r="P316" s="6">
        <v>171</v>
      </c>
      <c r="Q316" s="4" t="s">
        <v>26</v>
      </c>
      <c r="R316" s="4">
        <v>0</v>
      </c>
      <c r="S316" s="4" t="s">
        <v>224</v>
      </c>
      <c r="T316" s="4" t="s">
        <v>397</v>
      </c>
      <c r="U316" s="4">
        <v>0</v>
      </c>
      <c r="V316" s="4">
        <v>57</v>
      </c>
      <c r="W316" s="4">
        <v>31</v>
      </c>
    </row>
    <row r="317" spans="1:23" ht="11.25" customHeight="1" x14ac:dyDescent="0.3">
      <c r="A317" s="4" t="s">
        <v>28</v>
      </c>
      <c r="B317" s="4" t="s">
        <v>43</v>
      </c>
      <c r="C317" s="4" t="s">
        <v>23</v>
      </c>
      <c r="D317" s="4" t="s">
        <v>44</v>
      </c>
      <c r="E317" s="4" t="s">
        <v>25</v>
      </c>
      <c r="F317" s="4" t="s">
        <v>25</v>
      </c>
      <c r="G317" s="4" t="s">
        <v>25</v>
      </c>
      <c r="H317" s="4" t="s">
        <v>25</v>
      </c>
      <c r="I317" s="5">
        <v>44287</v>
      </c>
      <c r="J317" s="6">
        <v>0</v>
      </c>
      <c r="K317" s="6">
        <v>0</v>
      </c>
      <c r="L317" s="6">
        <v>0.1</v>
      </c>
      <c r="M317" s="6">
        <v>0.1</v>
      </c>
      <c r="N317" s="6">
        <v>0.1</v>
      </c>
      <c r="O317" s="6">
        <v>0.1</v>
      </c>
      <c r="P317" s="6">
        <v>2</v>
      </c>
      <c r="Q317" s="4" t="s">
        <v>26</v>
      </c>
      <c r="R317" s="4">
        <v>0</v>
      </c>
      <c r="S317" s="4" t="s">
        <v>224</v>
      </c>
      <c r="T317" s="4" t="s">
        <v>397</v>
      </c>
      <c r="U317" s="4">
        <v>0</v>
      </c>
      <c r="V317" s="4">
        <v>57</v>
      </c>
      <c r="W317" s="4">
        <v>31</v>
      </c>
    </row>
    <row r="318" spans="1:23" ht="11.25" customHeight="1" x14ac:dyDescent="0.3">
      <c r="A318" s="4" t="s">
        <v>21</v>
      </c>
      <c r="B318" s="4" t="s">
        <v>43</v>
      </c>
      <c r="C318" s="4" t="s">
        <v>23</v>
      </c>
      <c r="D318" s="4" t="s">
        <v>44</v>
      </c>
      <c r="E318" s="4" t="s">
        <v>25</v>
      </c>
      <c r="F318" s="4" t="s">
        <v>25</v>
      </c>
      <c r="G318" s="4" t="s">
        <v>25</v>
      </c>
      <c r="H318" s="4" t="s">
        <v>25</v>
      </c>
      <c r="I318" s="5">
        <v>44317</v>
      </c>
      <c r="J318" s="6">
        <v>0</v>
      </c>
      <c r="K318" s="6">
        <v>0</v>
      </c>
      <c r="L318" s="6">
        <v>43.643999999999998</v>
      </c>
      <c r="M318" s="6">
        <v>43.643999999999998</v>
      </c>
      <c r="N318" s="6">
        <v>43.643999999999998</v>
      </c>
      <c r="O318" s="6">
        <v>43.643999999999998</v>
      </c>
      <c r="P318" s="6">
        <v>167</v>
      </c>
      <c r="Q318" s="4" t="s">
        <v>26</v>
      </c>
      <c r="R318" s="4">
        <v>0</v>
      </c>
      <c r="S318" s="4" t="s">
        <v>225</v>
      </c>
      <c r="T318" s="4" t="s">
        <v>398</v>
      </c>
      <c r="U318" s="4">
        <v>0</v>
      </c>
      <c r="V318" s="4">
        <v>57</v>
      </c>
      <c r="W318" s="4">
        <v>31</v>
      </c>
    </row>
    <row r="319" spans="1:23" ht="11.25" customHeight="1" x14ac:dyDescent="0.3">
      <c r="A319" s="4" t="s">
        <v>27</v>
      </c>
      <c r="B319" s="4" t="s">
        <v>43</v>
      </c>
      <c r="C319" s="4" t="s">
        <v>23</v>
      </c>
      <c r="D319" s="4" t="s">
        <v>44</v>
      </c>
      <c r="E319" s="4" t="s">
        <v>25</v>
      </c>
      <c r="F319" s="4" t="s">
        <v>25</v>
      </c>
      <c r="G319" s="4" t="s">
        <v>25</v>
      </c>
      <c r="H319" s="4" t="s">
        <v>25</v>
      </c>
      <c r="I319" s="5">
        <v>44317</v>
      </c>
      <c r="J319" s="6">
        <v>0</v>
      </c>
      <c r="K319" s="6">
        <v>0</v>
      </c>
      <c r="L319" s="6">
        <v>-0.23200000000000001</v>
      </c>
      <c r="M319" s="6">
        <v>-0.23200000000000001</v>
      </c>
      <c r="N319" s="6">
        <v>-0.23200000000000001</v>
      </c>
      <c r="O319" s="6">
        <v>-0.23200000000000001</v>
      </c>
      <c r="P319" s="6">
        <v>0</v>
      </c>
      <c r="Q319" s="4" t="s">
        <v>26</v>
      </c>
      <c r="R319" s="4">
        <v>0</v>
      </c>
      <c r="S319" s="4" t="s">
        <v>225</v>
      </c>
      <c r="T319" s="4" t="s">
        <v>398</v>
      </c>
      <c r="U319" s="4">
        <v>0</v>
      </c>
      <c r="V319" s="4">
        <v>57</v>
      </c>
      <c r="W319" s="4">
        <v>31</v>
      </c>
    </row>
    <row r="320" spans="1:23" ht="11.25" customHeight="1" x14ac:dyDescent="0.3">
      <c r="A320" s="4" t="s">
        <v>28</v>
      </c>
      <c r="B320" s="4" t="s">
        <v>43</v>
      </c>
      <c r="C320" s="4" t="s">
        <v>23</v>
      </c>
      <c r="D320" s="4" t="s">
        <v>44</v>
      </c>
      <c r="E320" s="4" t="s">
        <v>25</v>
      </c>
      <c r="F320" s="4" t="s">
        <v>25</v>
      </c>
      <c r="G320" s="4" t="s">
        <v>25</v>
      </c>
      <c r="H320" s="4" t="s">
        <v>25</v>
      </c>
      <c r="I320" s="5">
        <v>44317</v>
      </c>
      <c r="J320" s="6">
        <v>0</v>
      </c>
      <c r="K320" s="6">
        <v>0</v>
      </c>
      <c r="L320" s="6">
        <v>0.246</v>
      </c>
      <c r="M320" s="6">
        <v>0.246</v>
      </c>
      <c r="N320" s="6">
        <v>0.246</v>
      </c>
      <c r="O320" s="6">
        <v>0.246</v>
      </c>
      <c r="P320" s="6">
        <v>3</v>
      </c>
      <c r="Q320" s="4" t="s">
        <v>26</v>
      </c>
      <c r="R320" s="4">
        <v>0</v>
      </c>
      <c r="S320" s="4" t="s">
        <v>225</v>
      </c>
      <c r="T320" s="4" t="s">
        <v>398</v>
      </c>
      <c r="U320" s="4">
        <v>0</v>
      </c>
      <c r="V320" s="4">
        <v>57</v>
      </c>
      <c r="W320" s="4">
        <v>31</v>
      </c>
    </row>
    <row r="321" spans="1:23" ht="11.25" customHeight="1" x14ac:dyDescent="0.3">
      <c r="A321" s="4" t="s">
        <v>21</v>
      </c>
      <c r="B321" s="4" t="s">
        <v>43</v>
      </c>
      <c r="C321" s="4" t="s">
        <v>23</v>
      </c>
      <c r="D321" s="4" t="s">
        <v>44</v>
      </c>
      <c r="E321" s="4" t="s">
        <v>25</v>
      </c>
      <c r="F321" s="4" t="s">
        <v>25</v>
      </c>
      <c r="G321" s="4" t="s">
        <v>25</v>
      </c>
      <c r="H321" s="4" t="s">
        <v>25</v>
      </c>
      <c r="I321" s="5">
        <v>44348</v>
      </c>
      <c r="J321" s="6">
        <v>0</v>
      </c>
      <c r="K321" s="6">
        <v>0</v>
      </c>
      <c r="L321" s="6">
        <v>47.582999999999998</v>
      </c>
      <c r="M321" s="6">
        <v>47.582999999999998</v>
      </c>
      <c r="N321" s="6">
        <v>47.582999999999998</v>
      </c>
      <c r="O321" s="6">
        <v>47.582999999999998</v>
      </c>
      <c r="P321" s="6">
        <v>166</v>
      </c>
      <c r="Q321" s="4" t="s">
        <v>26</v>
      </c>
      <c r="R321" s="4">
        <v>0</v>
      </c>
      <c r="S321" s="4" t="s">
        <v>226</v>
      </c>
      <c r="T321" s="4" t="s">
        <v>399</v>
      </c>
      <c r="U321" s="4">
        <v>0</v>
      </c>
      <c r="V321" s="4">
        <v>57</v>
      </c>
      <c r="W321" s="4">
        <v>31</v>
      </c>
    </row>
    <row r="322" spans="1:23" ht="11.25" customHeight="1" x14ac:dyDescent="0.3">
      <c r="A322" s="4" t="s">
        <v>28</v>
      </c>
      <c r="B322" s="4" t="s">
        <v>43</v>
      </c>
      <c r="C322" s="4" t="s">
        <v>23</v>
      </c>
      <c r="D322" s="4" t="s">
        <v>44</v>
      </c>
      <c r="E322" s="4" t="s">
        <v>25</v>
      </c>
      <c r="F322" s="4" t="s">
        <v>25</v>
      </c>
      <c r="G322" s="4" t="s">
        <v>25</v>
      </c>
      <c r="H322" s="4" t="s">
        <v>25</v>
      </c>
      <c r="I322" s="5">
        <v>44348</v>
      </c>
      <c r="J322" s="6">
        <v>0</v>
      </c>
      <c r="K322" s="6">
        <v>0</v>
      </c>
      <c r="L322" s="6">
        <v>0.34200000000000003</v>
      </c>
      <c r="M322" s="6">
        <v>0.34200000000000003</v>
      </c>
      <c r="N322" s="6">
        <v>0.34200000000000003</v>
      </c>
      <c r="O322" s="6">
        <v>0.34200000000000003</v>
      </c>
      <c r="P322" s="6">
        <v>3</v>
      </c>
      <c r="Q322" s="4" t="s">
        <v>26</v>
      </c>
      <c r="R322" s="4">
        <v>0</v>
      </c>
      <c r="S322" s="4" t="s">
        <v>226</v>
      </c>
      <c r="T322" s="4" t="s">
        <v>399</v>
      </c>
      <c r="U322" s="4">
        <v>0</v>
      </c>
      <c r="V322" s="4">
        <v>57</v>
      </c>
      <c r="W322" s="4">
        <v>31</v>
      </c>
    </row>
    <row r="323" spans="1:23" ht="11.25" customHeight="1" x14ac:dyDescent="0.3">
      <c r="A323" s="4" t="s">
        <v>21</v>
      </c>
      <c r="B323" s="4" t="s">
        <v>43</v>
      </c>
      <c r="C323" s="4" t="s">
        <v>23</v>
      </c>
      <c r="D323" s="4" t="s">
        <v>44</v>
      </c>
      <c r="E323" s="4" t="s">
        <v>25</v>
      </c>
      <c r="F323" s="4" t="s">
        <v>25</v>
      </c>
      <c r="G323" s="4" t="s">
        <v>25</v>
      </c>
      <c r="H323" s="4" t="s">
        <v>25</v>
      </c>
      <c r="I323" s="5">
        <v>44378</v>
      </c>
      <c r="J323" s="6">
        <v>0</v>
      </c>
      <c r="K323" s="6">
        <v>0</v>
      </c>
      <c r="L323" s="6">
        <v>63.924999999999997</v>
      </c>
      <c r="M323" s="6">
        <v>63.924999999999997</v>
      </c>
      <c r="N323" s="6">
        <v>63.924999999999997</v>
      </c>
      <c r="O323" s="6">
        <v>63.924999999999997</v>
      </c>
      <c r="P323" s="6">
        <v>162</v>
      </c>
      <c r="Q323" s="4" t="s">
        <v>26</v>
      </c>
      <c r="R323" s="4">
        <v>0</v>
      </c>
      <c r="S323" s="4" t="s">
        <v>227</v>
      </c>
      <c r="T323" s="4" t="s">
        <v>400</v>
      </c>
      <c r="U323" s="4">
        <v>0</v>
      </c>
      <c r="V323" s="4">
        <v>57</v>
      </c>
      <c r="W323" s="4">
        <v>31</v>
      </c>
    </row>
    <row r="324" spans="1:23" ht="11.25" customHeight="1" x14ac:dyDescent="0.3">
      <c r="A324" s="4" t="s">
        <v>28</v>
      </c>
      <c r="B324" s="4" t="s">
        <v>43</v>
      </c>
      <c r="C324" s="4" t="s">
        <v>23</v>
      </c>
      <c r="D324" s="4" t="s">
        <v>44</v>
      </c>
      <c r="E324" s="4" t="s">
        <v>25</v>
      </c>
      <c r="F324" s="4" t="s">
        <v>25</v>
      </c>
      <c r="G324" s="4" t="s">
        <v>25</v>
      </c>
      <c r="H324" s="4" t="s">
        <v>25</v>
      </c>
      <c r="I324" s="5">
        <v>44378</v>
      </c>
      <c r="J324" s="6">
        <v>0</v>
      </c>
      <c r="K324" s="6">
        <v>0</v>
      </c>
      <c r="L324" s="6">
        <v>0.58699999999999997</v>
      </c>
      <c r="M324" s="6">
        <v>0.58699999999999997</v>
      </c>
      <c r="N324" s="6">
        <v>0.58699999999999997</v>
      </c>
      <c r="O324" s="6">
        <v>0.58699999999999997</v>
      </c>
      <c r="P324" s="6">
        <v>5</v>
      </c>
      <c r="Q324" s="4" t="s">
        <v>26</v>
      </c>
      <c r="R324" s="4">
        <v>0</v>
      </c>
      <c r="S324" s="4" t="s">
        <v>227</v>
      </c>
      <c r="T324" s="4" t="s">
        <v>400</v>
      </c>
      <c r="U324" s="4">
        <v>0</v>
      </c>
      <c r="V324" s="4">
        <v>57</v>
      </c>
      <c r="W324" s="4">
        <v>31</v>
      </c>
    </row>
    <row r="325" spans="1:23" ht="11.25" customHeight="1" x14ac:dyDescent="0.3">
      <c r="A325" s="4" t="s">
        <v>21</v>
      </c>
      <c r="B325" s="4" t="s">
        <v>43</v>
      </c>
      <c r="C325" s="4" t="s">
        <v>23</v>
      </c>
      <c r="D325" s="4" t="s">
        <v>44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44409</v>
      </c>
      <c r="J325" s="6">
        <v>0</v>
      </c>
      <c r="K325" s="6">
        <v>0</v>
      </c>
      <c r="L325" s="6">
        <v>39.451999999999998</v>
      </c>
      <c r="M325" s="6">
        <v>39.451999999999998</v>
      </c>
      <c r="N325" s="6">
        <v>39.451999999999998</v>
      </c>
      <c r="O325" s="6">
        <v>39.451999999999998</v>
      </c>
      <c r="P325" s="6">
        <v>160</v>
      </c>
      <c r="Q325" s="4" t="s">
        <v>26</v>
      </c>
      <c r="R325" s="4">
        <v>0</v>
      </c>
      <c r="S325" s="4" t="s">
        <v>228</v>
      </c>
      <c r="T325" s="4" t="s">
        <v>401</v>
      </c>
      <c r="U325" s="4">
        <v>0</v>
      </c>
      <c r="V325" s="4">
        <v>57</v>
      </c>
      <c r="W325" s="4">
        <v>31</v>
      </c>
    </row>
    <row r="326" spans="1:23" ht="11.25" customHeight="1" x14ac:dyDescent="0.3">
      <c r="A326" s="4" t="s">
        <v>27</v>
      </c>
      <c r="B326" s="4" t="s">
        <v>43</v>
      </c>
      <c r="C326" s="4" t="s">
        <v>23</v>
      </c>
      <c r="D326" s="4" t="s">
        <v>44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44409</v>
      </c>
      <c r="J326" s="6">
        <v>0</v>
      </c>
      <c r="K326" s="6">
        <v>0</v>
      </c>
      <c r="L326" s="6">
        <v>-9.7000000000000003E-2</v>
      </c>
      <c r="M326" s="6">
        <v>-9.7000000000000003E-2</v>
      </c>
      <c r="N326" s="6">
        <v>-9.7000000000000003E-2</v>
      </c>
      <c r="O326" s="6">
        <v>-9.7000000000000003E-2</v>
      </c>
      <c r="P326" s="6">
        <v>0</v>
      </c>
      <c r="Q326" s="4" t="s">
        <v>26</v>
      </c>
      <c r="R326" s="4">
        <v>0</v>
      </c>
      <c r="S326" s="4" t="s">
        <v>228</v>
      </c>
      <c r="T326" s="4" t="s">
        <v>401</v>
      </c>
      <c r="U326" s="4">
        <v>0</v>
      </c>
      <c r="V326" s="4">
        <v>57</v>
      </c>
      <c r="W326" s="4">
        <v>31</v>
      </c>
    </row>
    <row r="327" spans="1:23" ht="11.25" customHeight="1" x14ac:dyDescent="0.3">
      <c r="A327" s="4" t="s">
        <v>28</v>
      </c>
      <c r="B327" s="4" t="s">
        <v>43</v>
      </c>
      <c r="C327" s="4" t="s">
        <v>23</v>
      </c>
      <c r="D327" s="4" t="s">
        <v>44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44409</v>
      </c>
      <c r="J327" s="6">
        <v>0</v>
      </c>
      <c r="K327" s="6">
        <v>0</v>
      </c>
      <c r="L327" s="6">
        <v>0.56000000000000005</v>
      </c>
      <c r="M327" s="6">
        <v>0.56000000000000005</v>
      </c>
      <c r="N327" s="6">
        <v>0.56000000000000005</v>
      </c>
      <c r="O327" s="6">
        <v>0.56000000000000005</v>
      </c>
      <c r="P327" s="6">
        <v>5</v>
      </c>
      <c r="Q327" s="4" t="s">
        <v>26</v>
      </c>
      <c r="R327" s="4">
        <v>0</v>
      </c>
      <c r="S327" s="4" t="s">
        <v>228</v>
      </c>
      <c r="T327" s="4" t="s">
        <v>401</v>
      </c>
      <c r="U327" s="4">
        <v>0</v>
      </c>
      <c r="V327" s="4">
        <v>57</v>
      </c>
      <c r="W327" s="4">
        <v>31</v>
      </c>
    </row>
    <row r="328" spans="1:23" ht="11.25" customHeight="1" x14ac:dyDescent="0.3">
      <c r="A328" s="4" t="s">
        <v>21</v>
      </c>
      <c r="B328" s="4" t="s">
        <v>43</v>
      </c>
      <c r="C328" s="4" t="s">
        <v>23</v>
      </c>
      <c r="D328" s="4" t="s">
        <v>44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44440</v>
      </c>
      <c r="J328" s="6">
        <v>0</v>
      </c>
      <c r="K328" s="6">
        <v>0</v>
      </c>
      <c r="L328" s="6">
        <v>42.475999999999999</v>
      </c>
      <c r="M328" s="6">
        <v>42.475999999999999</v>
      </c>
      <c r="N328" s="6">
        <v>42.475999999999999</v>
      </c>
      <c r="O328" s="6">
        <v>42.475999999999999</v>
      </c>
      <c r="P328" s="6">
        <v>161</v>
      </c>
      <c r="Q328" s="4" t="s">
        <v>26</v>
      </c>
      <c r="R328" s="4">
        <v>0</v>
      </c>
      <c r="S328" s="4" t="s">
        <v>229</v>
      </c>
      <c r="T328" s="4" t="s">
        <v>402</v>
      </c>
      <c r="U328" s="4">
        <v>0</v>
      </c>
      <c r="V328" s="4">
        <v>57</v>
      </c>
      <c r="W328" s="4">
        <v>31</v>
      </c>
    </row>
    <row r="329" spans="1:23" ht="11.25" customHeight="1" x14ac:dyDescent="0.3">
      <c r="A329" s="4" t="s">
        <v>27</v>
      </c>
      <c r="B329" s="4" t="s">
        <v>43</v>
      </c>
      <c r="C329" s="4" t="s">
        <v>23</v>
      </c>
      <c r="D329" s="4" t="s">
        <v>44</v>
      </c>
      <c r="E329" s="4" t="s">
        <v>25</v>
      </c>
      <c r="F329" s="4" t="s">
        <v>25</v>
      </c>
      <c r="G329" s="4" t="s">
        <v>25</v>
      </c>
      <c r="H329" s="4" t="s">
        <v>25</v>
      </c>
      <c r="I329" s="5">
        <v>44440</v>
      </c>
      <c r="J329" s="6">
        <v>0</v>
      </c>
      <c r="K329" s="6">
        <v>0</v>
      </c>
      <c r="L329" s="6">
        <v>-0.309</v>
      </c>
      <c r="M329" s="6">
        <v>-0.309</v>
      </c>
      <c r="N329" s="6">
        <v>-0.309</v>
      </c>
      <c r="O329" s="6">
        <v>-0.309</v>
      </c>
      <c r="P329" s="6">
        <v>0</v>
      </c>
      <c r="Q329" s="4" t="s">
        <v>26</v>
      </c>
      <c r="R329" s="4">
        <v>0</v>
      </c>
      <c r="S329" s="4" t="s">
        <v>229</v>
      </c>
      <c r="T329" s="4" t="s">
        <v>402</v>
      </c>
      <c r="U329" s="4">
        <v>0</v>
      </c>
      <c r="V329" s="4">
        <v>57</v>
      </c>
      <c r="W329" s="4">
        <v>31</v>
      </c>
    </row>
    <row r="330" spans="1:23" ht="11.25" customHeight="1" x14ac:dyDescent="0.3">
      <c r="A330" s="4" t="s">
        <v>28</v>
      </c>
      <c r="B330" s="4" t="s">
        <v>43</v>
      </c>
      <c r="C330" s="4" t="s">
        <v>23</v>
      </c>
      <c r="D330" s="4" t="s">
        <v>44</v>
      </c>
      <c r="E330" s="4" t="s">
        <v>25</v>
      </c>
      <c r="F330" s="4" t="s">
        <v>25</v>
      </c>
      <c r="G330" s="4" t="s">
        <v>25</v>
      </c>
      <c r="H330" s="4" t="s">
        <v>25</v>
      </c>
      <c r="I330" s="5">
        <v>44440</v>
      </c>
      <c r="J330" s="6">
        <v>0</v>
      </c>
      <c r="K330" s="6">
        <v>0</v>
      </c>
      <c r="L330" s="6">
        <v>0.45300000000000001</v>
      </c>
      <c r="M330" s="6">
        <v>0.45300000000000001</v>
      </c>
      <c r="N330" s="6">
        <v>0.45300000000000001</v>
      </c>
      <c r="O330" s="6">
        <v>0.45300000000000001</v>
      </c>
      <c r="P330" s="6">
        <v>5</v>
      </c>
      <c r="Q330" s="4" t="s">
        <v>26</v>
      </c>
      <c r="R330" s="4">
        <v>0</v>
      </c>
      <c r="S330" s="4" t="s">
        <v>229</v>
      </c>
      <c r="T330" s="4" t="s">
        <v>402</v>
      </c>
      <c r="U330" s="4">
        <v>0</v>
      </c>
      <c r="V330" s="4">
        <v>57</v>
      </c>
      <c r="W330" s="4">
        <v>31</v>
      </c>
    </row>
    <row r="331" spans="1:23" ht="11.25" customHeight="1" x14ac:dyDescent="0.3">
      <c r="A331" s="4" t="s">
        <v>21</v>
      </c>
      <c r="B331" s="4" t="s">
        <v>43</v>
      </c>
      <c r="C331" s="4" t="s">
        <v>23</v>
      </c>
      <c r="D331" s="4" t="s">
        <v>44</v>
      </c>
      <c r="E331" s="4" t="s">
        <v>25</v>
      </c>
      <c r="F331" s="4" t="s">
        <v>25</v>
      </c>
      <c r="G331" s="4" t="s">
        <v>25</v>
      </c>
      <c r="H331" s="4" t="s">
        <v>25</v>
      </c>
      <c r="I331" s="5">
        <v>44470</v>
      </c>
      <c r="J331" s="6">
        <v>0</v>
      </c>
      <c r="K331" s="6">
        <v>0</v>
      </c>
      <c r="L331" s="6">
        <v>40.125</v>
      </c>
      <c r="M331" s="6">
        <v>40.125</v>
      </c>
      <c r="N331" s="6">
        <v>40.125</v>
      </c>
      <c r="O331" s="6">
        <v>40.125</v>
      </c>
      <c r="P331" s="6">
        <v>150</v>
      </c>
      <c r="Q331" s="4" t="s">
        <v>26</v>
      </c>
      <c r="R331" s="4">
        <v>0</v>
      </c>
      <c r="S331" s="4" t="s">
        <v>230</v>
      </c>
      <c r="T331" s="4" t="s">
        <v>403</v>
      </c>
      <c r="U331" s="4">
        <v>0</v>
      </c>
      <c r="V331" s="4">
        <v>57</v>
      </c>
      <c r="W331" s="4">
        <v>31</v>
      </c>
    </row>
    <row r="332" spans="1:23" ht="11.25" customHeight="1" x14ac:dyDescent="0.3">
      <c r="A332" s="4" t="s">
        <v>28</v>
      </c>
      <c r="B332" s="4" t="s">
        <v>43</v>
      </c>
      <c r="C332" s="4" t="s">
        <v>23</v>
      </c>
      <c r="D332" s="4" t="s">
        <v>44</v>
      </c>
      <c r="E332" s="4" t="s">
        <v>25</v>
      </c>
      <c r="F332" s="4" t="s">
        <v>25</v>
      </c>
      <c r="G332" s="4" t="s">
        <v>25</v>
      </c>
      <c r="H332" s="4" t="s">
        <v>25</v>
      </c>
      <c r="I332" s="5">
        <v>44470</v>
      </c>
      <c r="J332" s="6">
        <v>0</v>
      </c>
      <c r="K332" s="6">
        <v>0</v>
      </c>
      <c r="L332" s="6">
        <v>0.55300000000000005</v>
      </c>
      <c r="M332" s="6">
        <v>0.55300000000000005</v>
      </c>
      <c r="N332" s="6">
        <v>0.55300000000000005</v>
      </c>
      <c r="O332" s="6">
        <v>0.55300000000000005</v>
      </c>
      <c r="P332" s="6">
        <v>5</v>
      </c>
      <c r="Q332" s="4" t="s">
        <v>26</v>
      </c>
      <c r="R332" s="4">
        <v>0</v>
      </c>
      <c r="S332" s="4" t="s">
        <v>230</v>
      </c>
      <c r="T332" s="4" t="s">
        <v>403</v>
      </c>
      <c r="U332" s="4">
        <v>0</v>
      </c>
      <c r="V332" s="4">
        <v>57</v>
      </c>
      <c r="W332" s="4">
        <v>31</v>
      </c>
    </row>
    <row r="333" spans="1:23" ht="11.25" customHeight="1" x14ac:dyDescent="0.3">
      <c r="A333" s="4" t="s">
        <v>21</v>
      </c>
      <c r="B333" s="4" t="s">
        <v>43</v>
      </c>
      <c r="C333" s="4" t="s">
        <v>23</v>
      </c>
      <c r="D333" s="4" t="s">
        <v>44</v>
      </c>
      <c r="E333" s="4" t="s">
        <v>25</v>
      </c>
      <c r="F333" s="4" t="s">
        <v>25</v>
      </c>
      <c r="G333" s="4" t="s">
        <v>25</v>
      </c>
      <c r="H333" s="4" t="s">
        <v>25</v>
      </c>
      <c r="I333" s="5">
        <v>44501</v>
      </c>
      <c r="J333" s="6">
        <v>0</v>
      </c>
      <c r="K333" s="6">
        <v>0</v>
      </c>
      <c r="L333" s="6">
        <v>38.409999999999997</v>
      </c>
      <c r="M333" s="6">
        <v>38.409999999999997</v>
      </c>
      <c r="N333" s="6">
        <v>38.409999999999997</v>
      </c>
      <c r="O333" s="6">
        <v>38.409999999999997</v>
      </c>
      <c r="P333" s="6">
        <v>147</v>
      </c>
      <c r="Q333" s="4" t="s">
        <v>26</v>
      </c>
      <c r="R333" s="4">
        <v>0</v>
      </c>
      <c r="S333" s="4" t="s">
        <v>231</v>
      </c>
      <c r="T333" s="4" t="s">
        <v>404</v>
      </c>
      <c r="U333" s="4">
        <v>0</v>
      </c>
      <c r="V333" s="4">
        <v>57</v>
      </c>
      <c r="W333" s="4">
        <v>31</v>
      </c>
    </row>
    <row r="334" spans="1:23" ht="11.25" customHeight="1" x14ac:dyDescent="0.3">
      <c r="A334" s="4" t="s">
        <v>28</v>
      </c>
      <c r="B334" s="4" t="s">
        <v>43</v>
      </c>
      <c r="C334" s="4" t="s">
        <v>23</v>
      </c>
      <c r="D334" s="4" t="s">
        <v>44</v>
      </c>
      <c r="E334" s="4" t="s">
        <v>25</v>
      </c>
      <c r="F334" s="4" t="s">
        <v>25</v>
      </c>
      <c r="G334" s="4" t="s">
        <v>25</v>
      </c>
      <c r="H334" s="4" t="s">
        <v>25</v>
      </c>
      <c r="I334" s="5">
        <v>44501</v>
      </c>
      <c r="J334" s="6">
        <v>0</v>
      </c>
      <c r="K334" s="6">
        <v>0</v>
      </c>
      <c r="L334" s="6">
        <v>0.52</v>
      </c>
      <c r="M334" s="6">
        <v>0.52</v>
      </c>
      <c r="N334" s="6">
        <v>0.52</v>
      </c>
      <c r="O334" s="6">
        <v>0.52</v>
      </c>
      <c r="P334" s="6">
        <v>5</v>
      </c>
      <c r="Q334" s="4" t="s">
        <v>26</v>
      </c>
      <c r="R334" s="4">
        <v>0</v>
      </c>
      <c r="S334" s="4" t="s">
        <v>231</v>
      </c>
      <c r="T334" s="4" t="s">
        <v>404</v>
      </c>
      <c r="U334" s="4">
        <v>0</v>
      </c>
      <c r="V334" s="4">
        <v>57</v>
      </c>
      <c r="W334" s="4">
        <v>31</v>
      </c>
    </row>
    <row r="335" spans="1:23" ht="11.25" customHeight="1" x14ac:dyDescent="0.3">
      <c r="A335" s="4" t="s">
        <v>21</v>
      </c>
      <c r="B335" s="4" t="s">
        <v>43</v>
      </c>
      <c r="C335" s="4" t="s">
        <v>23</v>
      </c>
      <c r="D335" s="4" t="s">
        <v>44</v>
      </c>
      <c r="E335" s="4" t="s">
        <v>25</v>
      </c>
      <c r="F335" s="4" t="s">
        <v>25</v>
      </c>
      <c r="G335" s="4" t="s">
        <v>25</v>
      </c>
      <c r="H335" s="4" t="s">
        <v>25</v>
      </c>
      <c r="I335" s="5">
        <v>44531</v>
      </c>
      <c r="J335" s="6">
        <v>0</v>
      </c>
      <c r="K335" s="6">
        <v>0</v>
      </c>
      <c r="L335" s="6">
        <v>38.148000000000003</v>
      </c>
      <c r="M335" s="6">
        <v>38.148000000000003</v>
      </c>
      <c r="N335" s="6">
        <v>38.148000000000003</v>
      </c>
      <c r="O335" s="6">
        <v>38.148000000000003</v>
      </c>
      <c r="P335" s="6">
        <v>145</v>
      </c>
      <c r="Q335" s="4" t="s">
        <v>26</v>
      </c>
      <c r="R335" s="4">
        <v>0</v>
      </c>
      <c r="S335" s="4" t="s">
        <v>232</v>
      </c>
      <c r="T335" s="4" t="s">
        <v>405</v>
      </c>
      <c r="U335" s="4">
        <v>0</v>
      </c>
      <c r="V335" s="4">
        <v>57</v>
      </c>
      <c r="W335" s="4">
        <v>31</v>
      </c>
    </row>
    <row r="336" spans="1:23" ht="11.25" customHeight="1" x14ac:dyDescent="0.3">
      <c r="A336" s="4" t="s">
        <v>28</v>
      </c>
      <c r="B336" s="4" t="s">
        <v>43</v>
      </c>
      <c r="C336" s="4" t="s">
        <v>23</v>
      </c>
      <c r="D336" s="4" t="s">
        <v>44</v>
      </c>
      <c r="E336" s="4" t="s">
        <v>25</v>
      </c>
      <c r="F336" s="4" t="s">
        <v>25</v>
      </c>
      <c r="G336" s="4" t="s">
        <v>25</v>
      </c>
      <c r="H336" s="4" t="s">
        <v>25</v>
      </c>
      <c r="I336" s="5">
        <v>44531</v>
      </c>
      <c r="J336" s="6">
        <v>0</v>
      </c>
      <c r="K336" s="6">
        <v>0</v>
      </c>
      <c r="L336" s="6">
        <v>3.2010000000000001</v>
      </c>
      <c r="M336" s="6">
        <v>3.2010000000000001</v>
      </c>
      <c r="N336" s="6">
        <v>3.2010000000000001</v>
      </c>
      <c r="O336" s="6">
        <v>3.2010000000000001</v>
      </c>
      <c r="P336" s="6">
        <v>7</v>
      </c>
      <c r="Q336" s="4" t="s">
        <v>26</v>
      </c>
      <c r="R336" s="4">
        <v>0</v>
      </c>
      <c r="S336" s="4" t="s">
        <v>232</v>
      </c>
      <c r="T336" s="4" t="s">
        <v>405</v>
      </c>
      <c r="U336" s="4">
        <v>0</v>
      </c>
      <c r="V336" s="4">
        <v>57</v>
      </c>
      <c r="W336" s="4">
        <v>31</v>
      </c>
    </row>
    <row r="337" spans="1:23" ht="11.25" customHeight="1" x14ac:dyDescent="0.3">
      <c r="A337" s="4" t="s">
        <v>21</v>
      </c>
      <c r="B337" s="4" t="s">
        <v>43</v>
      </c>
      <c r="C337" s="4" t="s">
        <v>23</v>
      </c>
      <c r="D337" s="4" t="s">
        <v>44</v>
      </c>
      <c r="E337" s="4" t="s">
        <v>25</v>
      </c>
      <c r="F337" s="4" t="s">
        <v>25</v>
      </c>
      <c r="G337" s="4" t="s">
        <v>25</v>
      </c>
      <c r="H337" s="4" t="s">
        <v>25</v>
      </c>
      <c r="I337" s="5">
        <v>44562</v>
      </c>
      <c r="J337" s="6">
        <v>0</v>
      </c>
      <c r="K337" s="6">
        <v>0</v>
      </c>
      <c r="L337" s="6">
        <v>41.704999999999998</v>
      </c>
      <c r="M337" s="6">
        <v>41.704999999999998</v>
      </c>
      <c r="N337" s="6">
        <v>41.704999999999998</v>
      </c>
      <c r="O337" s="6">
        <v>41.704999999999998</v>
      </c>
      <c r="P337" s="6">
        <v>142</v>
      </c>
      <c r="Q337" s="4" t="s">
        <v>26</v>
      </c>
      <c r="R337" s="4">
        <v>0</v>
      </c>
      <c r="S337" s="4" t="s">
        <v>233</v>
      </c>
      <c r="T337" s="4" t="s">
        <v>406</v>
      </c>
      <c r="U337" s="4">
        <v>0</v>
      </c>
      <c r="V337" s="4">
        <v>57</v>
      </c>
      <c r="W337" s="4">
        <v>31</v>
      </c>
    </row>
    <row r="338" spans="1:23" ht="11.25" customHeight="1" x14ac:dyDescent="0.3">
      <c r="A338" s="4" t="s">
        <v>28</v>
      </c>
      <c r="B338" s="4" t="s">
        <v>43</v>
      </c>
      <c r="C338" s="4" t="s">
        <v>23</v>
      </c>
      <c r="D338" s="4" t="s">
        <v>44</v>
      </c>
      <c r="E338" s="4" t="s">
        <v>25</v>
      </c>
      <c r="F338" s="4" t="s">
        <v>25</v>
      </c>
      <c r="G338" s="4" t="s">
        <v>25</v>
      </c>
      <c r="H338" s="4" t="s">
        <v>25</v>
      </c>
      <c r="I338" s="5">
        <v>44562</v>
      </c>
      <c r="J338" s="6">
        <v>0</v>
      </c>
      <c r="K338" s="6">
        <v>0</v>
      </c>
      <c r="L338" s="6">
        <v>2.4119999999999999</v>
      </c>
      <c r="M338" s="6">
        <v>2.4119999999999999</v>
      </c>
      <c r="N338" s="6">
        <v>2.4119999999999999</v>
      </c>
      <c r="O338" s="6">
        <v>2.4119999999999999</v>
      </c>
      <c r="P338" s="6">
        <v>7</v>
      </c>
      <c r="Q338" s="4" t="s">
        <v>26</v>
      </c>
      <c r="R338" s="4">
        <v>0</v>
      </c>
      <c r="S338" s="4" t="s">
        <v>233</v>
      </c>
      <c r="T338" s="4" t="s">
        <v>406</v>
      </c>
      <c r="U338" s="4">
        <v>0</v>
      </c>
      <c r="V338" s="4">
        <v>57</v>
      </c>
      <c r="W338" s="4">
        <v>31</v>
      </c>
    </row>
    <row r="339" spans="1:23" ht="11.25" customHeight="1" x14ac:dyDescent="0.3">
      <c r="A339" s="4" t="s">
        <v>21</v>
      </c>
      <c r="B339" s="4" t="s">
        <v>43</v>
      </c>
      <c r="C339" s="4" t="s">
        <v>23</v>
      </c>
      <c r="D339" s="4" t="s">
        <v>44</v>
      </c>
      <c r="E339" s="4" t="s">
        <v>25</v>
      </c>
      <c r="F339" s="4" t="s">
        <v>25</v>
      </c>
      <c r="G339" s="4" t="s">
        <v>25</v>
      </c>
      <c r="H339" s="4" t="s">
        <v>25</v>
      </c>
      <c r="I339" s="5">
        <v>44593</v>
      </c>
      <c r="J339" s="6">
        <v>0</v>
      </c>
      <c r="K339" s="6">
        <v>0</v>
      </c>
      <c r="L339" s="6">
        <v>42.475000000000001</v>
      </c>
      <c r="M339" s="6">
        <v>42.475000000000001</v>
      </c>
      <c r="N339" s="6">
        <v>42.475000000000001</v>
      </c>
      <c r="O339" s="6">
        <v>42.475000000000001</v>
      </c>
      <c r="P339" s="6">
        <v>142</v>
      </c>
      <c r="Q339" s="4" t="s">
        <v>26</v>
      </c>
      <c r="R339" s="4">
        <v>0</v>
      </c>
      <c r="S339" s="4" t="s">
        <v>234</v>
      </c>
      <c r="T339" s="4" t="s">
        <v>407</v>
      </c>
      <c r="U339" s="4">
        <v>0</v>
      </c>
      <c r="V339" s="4">
        <v>57</v>
      </c>
      <c r="W339" s="4">
        <v>31</v>
      </c>
    </row>
    <row r="340" spans="1:23" ht="11.25" customHeight="1" x14ac:dyDescent="0.3">
      <c r="A340" s="4" t="s">
        <v>28</v>
      </c>
      <c r="B340" s="4" t="s">
        <v>43</v>
      </c>
      <c r="C340" s="4" t="s">
        <v>23</v>
      </c>
      <c r="D340" s="4" t="s">
        <v>44</v>
      </c>
      <c r="E340" s="4" t="s">
        <v>25</v>
      </c>
      <c r="F340" s="4" t="s">
        <v>25</v>
      </c>
      <c r="G340" s="4" t="s">
        <v>25</v>
      </c>
      <c r="H340" s="4" t="s">
        <v>25</v>
      </c>
      <c r="I340" s="5">
        <v>44593</v>
      </c>
      <c r="J340" s="6">
        <v>0</v>
      </c>
      <c r="K340" s="6">
        <v>0</v>
      </c>
      <c r="L340" s="6">
        <v>1.849</v>
      </c>
      <c r="M340" s="6">
        <v>1.849</v>
      </c>
      <c r="N340" s="6">
        <v>1.849</v>
      </c>
      <c r="O340" s="6">
        <v>1.849</v>
      </c>
      <c r="P340" s="6">
        <v>7</v>
      </c>
      <c r="Q340" s="4" t="s">
        <v>26</v>
      </c>
      <c r="R340" s="4">
        <v>0</v>
      </c>
      <c r="S340" s="4" t="s">
        <v>234</v>
      </c>
      <c r="T340" s="4" t="s">
        <v>407</v>
      </c>
      <c r="U340" s="4">
        <v>0</v>
      </c>
      <c r="V340" s="4">
        <v>57</v>
      </c>
      <c r="W340" s="4">
        <v>31</v>
      </c>
    </row>
    <row r="341" spans="1:23" ht="11.25" customHeight="1" x14ac:dyDescent="0.3">
      <c r="A341" s="4" t="s">
        <v>21</v>
      </c>
      <c r="B341" s="4" t="s">
        <v>43</v>
      </c>
      <c r="C341" s="4" t="s">
        <v>23</v>
      </c>
      <c r="D341" s="4" t="s">
        <v>44</v>
      </c>
      <c r="E341" s="4" t="s">
        <v>25</v>
      </c>
      <c r="F341" s="4" t="s">
        <v>25</v>
      </c>
      <c r="G341" s="4" t="s">
        <v>25</v>
      </c>
      <c r="H341" s="4" t="s">
        <v>25</v>
      </c>
      <c r="I341" s="5">
        <v>44621</v>
      </c>
      <c r="J341" s="6">
        <v>0</v>
      </c>
      <c r="K341" s="6">
        <v>0</v>
      </c>
      <c r="L341" s="6">
        <v>41.295000000000002</v>
      </c>
      <c r="M341" s="6">
        <v>41.295000000000002</v>
      </c>
      <c r="N341" s="6">
        <v>41.295000000000002</v>
      </c>
      <c r="O341" s="6">
        <v>41.295000000000002</v>
      </c>
      <c r="P341" s="6">
        <v>142</v>
      </c>
      <c r="Q341" s="4" t="s">
        <v>26</v>
      </c>
      <c r="R341" s="4">
        <v>0</v>
      </c>
      <c r="S341" s="4" t="s">
        <v>235</v>
      </c>
      <c r="T341" s="4" t="s">
        <v>408</v>
      </c>
      <c r="U341" s="4">
        <v>0</v>
      </c>
      <c r="V341" s="4">
        <v>57</v>
      </c>
      <c r="W341" s="4">
        <v>31</v>
      </c>
    </row>
    <row r="342" spans="1:23" ht="11.25" customHeight="1" x14ac:dyDescent="0.3">
      <c r="A342" s="4" t="s">
        <v>28</v>
      </c>
      <c r="B342" s="4" t="s">
        <v>43</v>
      </c>
      <c r="C342" s="4" t="s">
        <v>23</v>
      </c>
      <c r="D342" s="4" t="s">
        <v>44</v>
      </c>
      <c r="E342" s="4" t="s">
        <v>25</v>
      </c>
      <c r="F342" s="4" t="s">
        <v>25</v>
      </c>
      <c r="G342" s="4" t="s">
        <v>25</v>
      </c>
      <c r="H342" s="4" t="s">
        <v>25</v>
      </c>
      <c r="I342" s="5">
        <v>44621</v>
      </c>
      <c r="J342" s="6">
        <v>0</v>
      </c>
      <c r="K342" s="6">
        <v>0</v>
      </c>
      <c r="L342" s="6">
        <v>1.4870000000000001</v>
      </c>
      <c r="M342" s="6">
        <v>1.4870000000000001</v>
      </c>
      <c r="N342" s="6">
        <v>1.4870000000000001</v>
      </c>
      <c r="O342" s="6">
        <v>1.4870000000000001</v>
      </c>
      <c r="P342" s="6">
        <v>7</v>
      </c>
      <c r="Q342" s="4" t="s">
        <v>26</v>
      </c>
      <c r="R342" s="4">
        <v>0</v>
      </c>
      <c r="S342" s="4" t="s">
        <v>235</v>
      </c>
      <c r="T342" s="4" t="s">
        <v>408</v>
      </c>
      <c r="U342" s="4">
        <v>0</v>
      </c>
      <c r="V342" s="4">
        <v>57</v>
      </c>
      <c r="W342" s="4">
        <v>31</v>
      </c>
    </row>
    <row r="343" spans="1:23" ht="11.25" customHeight="1" x14ac:dyDescent="0.3">
      <c r="A343" s="4" t="s">
        <v>21</v>
      </c>
      <c r="B343" s="4" t="s">
        <v>35</v>
      </c>
      <c r="C343" s="4" t="s">
        <v>33</v>
      </c>
      <c r="D343" s="4" t="s">
        <v>40</v>
      </c>
      <c r="E343" s="4" t="s">
        <v>25</v>
      </c>
      <c r="F343" s="4" t="s">
        <v>25</v>
      </c>
      <c r="G343" s="4" t="s">
        <v>25</v>
      </c>
      <c r="H343" s="4" t="s">
        <v>34</v>
      </c>
      <c r="I343" s="5">
        <v>44287</v>
      </c>
      <c r="J343" s="6">
        <v>0</v>
      </c>
      <c r="K343" s="6">
        <v>0</v>
      </c>
      <c r="L343" s="6">
        <v>0.22600000000000001</v>
      </c>
      <c r="M343" s="6">
        <v>0.22600000000000001</v>
      </c>
      <c r="N343" s="6">
        <v>0.22600000000000001</v>
      </c>
      <c r="O343" s="6">
        <v>0.22600000000000001</v>
      </c>
      <c r="P343" s="6">
        <v>0</v>
      </c>
      <c r="Q343" s="4" t="s">
        <v>26</v>
      </c>
      <c r="R343" s="4">
        <v>0</v>
      </c>
      <c r="S343" s="4" t="s">
        <v>236</v>
      </c>
      <c r="T343" s="4" t="s">
        <v>409</v>
      </c>
      <c r="U343" s="4">
        <v>0</v>
      </c>
      <c r="V343" s="4">
        <v>71</v>
      </c>
      <c r="W343" s="4">
        <v>45</v>
      </c>
    </row>
    <row r="344" spans="1:23" ht="11.25" customHeight="1" x14ac:dyDescent="0.3">
      <c r="A344" s="4" t="s">
        <v>21</v>
      </c>
      <c r="B344" s="4" t="s">
        <v>35</v>
      </c>
      <c r="C344" s="4" t="s">
        <v>33</v>
      </c>
      <c r="D344" s="4" t="s">
        <v>40</v>
      </c>
      <c r="E344" s="4" t="s">
        <v>25</v>
      </c>
      <c r="F344" s="4" t="s">
        <v>25</v>
      </c>
      <c r="G344" s="4" t="s">
        <v>25</v>
      </c>
      <c r="H344" s="4" t="s">
        <v>34</v>
      </c>
      <c r="I344" s="5">
        <v>44317</v>
      </c>
      <c r="J344" s="6">
        <v>0</v>
      </c>
      <c r="K344" s="6">
        <v>0</v>
      </c>
      <c r="L344" s="6">
        <v>0.23599999999999999</v>
      </c>
      <c r="M344" s="6">
        <v>0.23599999999999999</v>
      </c>
      <c r="N344" s="6">
        <v>0.23599999999999999</v>
      </c>
      <c r="O344" s="6">
        <v>0.23599999999999999</v>
      </c>
      <c r="P344" s="6">
        <v>0</v>
      </c>
      <c r="Q344" s="4" t="s">
        <v>26</v>
      </c>
      <c r="R344" s="4">
        <v>0</v>
      </c>
      <c r="S344" s="4" t="s">
        <v>237</v>
      </c>
      <c r="T344" s="4" t="s">
        <v>410</v>
      </c>
      <c r="U344" s="4">
        <v>0</v>
      </c>
      <c r="V344" s="4">
        <v>71</v>
      </c>
      <c r="W344" s="4">
        <v>45</v>
      </c>
    </row>
    <row r="345" spans="1:23" ht="11.25" customHeight="1" x14ac:dyDescent="0.3">
      <c r="A345" s="4" t="s">
        <v>21</v>
      </c>
      <c r="B345" s="4" t="s">
        <v>35</v>
      </c>
      <c r="C345" s="4" t="s">
        <v>33</v>
      </c>
      <c r="D345" s="4" t="s">
        <v>40</v>
      </c>
      <c r="E345" s="4" t="s">
        <v>25</v>
      </c>
      <c r="F345" s="4" t="s">
        <v>25</v>
      </c>
      <c r="G345" s="4" t="s">
        <v>25</v>
      </c>
      <c r="H345" s="4" t="s">
        <v>34</v>
      </c>
      <c r="I345" s="5">
        <v>44348</v>
      </c>
      <c r="J345" s="6">
        <v>0</v>
      </c>
      <c r="K345" s="6">
        <v>0</v>
      </c>
      <c r="L345" s="6">
        <v>0.35499999999999998</v>
      </c>
      <c r="M345" s="6">
        <v>0.35499999999999998</v>
      </c>
      <c r="N345" s="6">
        <v>0.35499999999999998</v>
      </c>
      <c r="O345" s="6">
        <v>0.35499999999999998</v>
      </c>
      <c r="P345" s="6">
        <v>0</v>
      </c>
      <c r="Q345" s="4" t="s">
        <v>26</v>
      </c>
      <c r="R345" s="4">
        <v>0</v>
      </c>
      <c r="S345" s="4" t="s">
        <v>238</v>
      </c>
      <c r="T345" s="4" t="s">
        <v>411</v>
      </c>
      <c r="U345" s="4">
        <v>0</v>
      </c>
      <c r="V345" s="4">
        <v>71</v>
      </c>
      <c r="W345" s="4">
        <v>45</v>
      </c>
    </row>
    <row r="346" spans="1:23" ht="11.25" customHeight="1" x14ac:dyDescent="0.3">
      <c r="A346" s="4" t="s">
        <v>21</v>
      </c>
      <c r="B346" s="4" t="s">
        <v>35</v>
      </c>
      <c r="C346" s="4" t="s">
        <v>33</v>
      </c>
      <c r="D346" s="4" t="s">
        <v>40</v>
      </c>
      <c r="E346" s="4" t="s">
        <v>25</v>
      </c>
      <c r="F346" s="4" t="s">
        <v>25</v>
      </c>
      <c r="G346" s="4" t="s">
        <v>25</v>
      </c>
      <c r="H346" s="4" t="s">
        <v>34</v>
      </c>
      <c r="I346" s="5">
        <v>44378</v>
      </c>
      <c r="J346" s="6">
        <v>0</v>
      </c>
      <c r="K346" s="6">
        <v>0</v>
      </c>
      <c r="L346" s="6">
        <v>0.16</v>
      </c>
      <c r="M346" s="6">
        <v>0.16</v>
      </c>
      <c r="N346" s="6">
        <v>0.16</v>
      </c>
      <c r="O346" s="6">
        <v>0.16</v>
      </c>
      <c r="P346" s="6">
        <v>0</v>
      </c>
      <c r="Q346" s="4" t="s">
        <v>26</v>
      </c>
      <c r="R346" s="4">
        <v>0</v>
      </c>
      <c r="S346" s="4" t="s">
        <v>239</v>
      </c>
      <c r="T346" s="4" t="s">
        <v>412</v>
      </c>
      <c r="U346" s="4">
        <v>0</v>
      </c>
      <c r="V346" s="4">
        <v>71</v>
      </c>
      <c r="W346" s="4">
        <v>45</v>
      </c>
    </row>
    <row r="347" spans="1:23" ht="11.25" customHeight="1" x14ac:dyDescent="0.3">
      <c r="A347" s="4" t="s">
        <v>21</v>
      </c>
      <c r="B347" s="4" t="s">
        <v>35</v>
      </c>
      <c r="C347" s="4" t="s">
        <v>33</v>
      </c>
      <c r="D347" s="4" t="s">
        <v>40</v>
      </c>
      <c r="E347" s="4" t="s">
        <v>25</v>
      </c>
      <c r="F347" s="4" t="s">
        <v>25</v>
      </c>
      <c r="G347" s="4" t="s">
        <v>25</v>
      </c>
      <c r="H347" s="4" t="s">
        <v>34</v>
      </c>
      <c r="I347" s="5">
        <v>44409</v>
      </c>
      <c r="J347" s="6">
        <v>0</v>
      </c>
      <c r="K347" s="6">
        <v>0</v>
      </c>
      <c r="L347" s="6">
        <v>0.20100000000000001</v>
      </c>
      <c r="M347" s="6">
        <v>0.20100000000000001</v>
      </c>
      <c r="N347" s="6">
        <v>0.20100000000000001</v>
      </c>
      <c r="O347" s="6">
        <v>0.20100000000000001</v>
      </c>
      <c r="P347" s="6">
        <v>0</v>
      </c>
      <c r="Q347" s="4" t="s">
        <v>26</v>
      </c>
      <c r="R347" s="4">
        <v>0</v>
      </c>
      <c r="S347" s="4" t="s">
        <v>240</v>
      </c>
      <c r="T347" s="4" t="s">
        <v>413</v>
      </c>
      <c r="U347" s="4">
        <v>0</v>
      </c>
      <c r="V347" s="4">
        <v>71</v>
      </c>
      <c r="W347" s="4">
        <v>45</v>
      </c>
    </row>
    <row r="348" spans="1:23" ht="11.25" customHeight="1" x14ac:dyDescent="0.3">
      <c r="A348" s="4" t="s">
        <v>21</v>
      </c>
      <c r="B348" s="4" t="s">
        <v>35</v>
      </c>
      <c r="C348" s="4" t="s">
        <v>33</v>
      </c>
      <c r="D348" s="4" t="s">
        <v>40</v>
      </c>
      <c r="E348" s="4" t="s">
        <v>25</v>
      </c>
      <c r="F348" s="4" t="s">
        <v>25</v>
      </c>
      <c r="G348" s="4" t="s">
        <v>25</v>
      </c>
      <c r="H348" s="4" t="s">
        <v>34</v>
      </c>
      <c r="I348" s="5">
        <v>44440</v>
      </c>
      <c r="J348" s="6">
        <v>0</v>
      </c>
      <c r="K348" s="6">
        <v>0</v>
      </c>
      <c r="L348" s="6">
        <v>0.20399999999999999</v>
      </c>
      <c r="M348" s="6">
        <v>0.20399999999999999</v>
      </c>
      <c r="N348" s="6">
        <v>0.20399999999999999</v>
      </c>
      <c r="O348" s="6">
        <v>0.20399999999999999</v>
      </c>
      <c r="P348" s="6">
        <v>0</v>
      </c>
      <c r="Q348" s="4" t="s">
        <v>26</v>
      </c>
      <c r="R348" s="4">
        <v>0</v>
      </c>
      <c r="S348" s="4" t="s">
        <v>241</v>
      </c>
      <c r="T348" s="4" t="s">
        <v>414</v>
      </c>
      <c r="U348" s="4">
        <v>0</v>
      </c>
      <c r="V348" s="4">
        <v>71</v>
      </c>
      <c r="W348" s="4">
        <v>45</v>
      </c>
    </row>
    <row r="349" spans="1:23" ht="11.25" customHeight="1" x14ac:dyDescent="0.3">
      <c r="A349" s="4" t="s">
        <v>21</v>
      </c>
      <c r="B349" s="4" t="s">
        <v>35</v>
      </c>
      <c r="C349" s="4" t="s">
        <v>33</v>
      </c>
      <c r="D349" s="4" t="s">
        <v>40</v>
      </c>
      <c r="E349" s="4" t="s">
        <v>25</v>
      </c>
      <c r="F349" s="4" t="s">
        <v>25</v>
      </c>
      <c r="G349" s="4" t="s">
        <v>25</v>
      </c>
      <c r="H349" s="4" t="s">
        <v>34</v>
      </c>
      <c r="I349" s="5">
        <v>44470</v>
      </c>
      <c r="J349" s="6">
        <v>0</v>
      </c>
      <c r="K349" s="6">
        <v>0</v>
      </c>
      <c r="L349" s="6">
        <v>0.19800000000000001</v>
      </c>
      <c r="M349" s="6">
        <v>0.19800000000000001</v>
      </c>
      <c r="N349" s="6">
        <v>0.19800000000000001</v>
      </c>
      <c r="O349" s="6">
        <v>0.19800000000000001</v>
      </c>
      <c r="P349" s="6">
        <v>0</v>
      </c>
      <c r="Q349" s="4" t="s">
        <v>26</v>
      </c>
      <c r="R349" s="4">
        <v>0</v>
      </c>
      <c r="S349" s="4" t="s">
        <v>242</v>
      </c>
      <c r="T349" s="4" t="s">
        <v>415</v>
      </c>
      <c r="U349" s="4">
        <v>0</v>
      </c>
      <c r="V349" s="4">
        <v>71</v>
      </c>
      <c r="W349" s="4">
        <v>45</v>
      </c>
    </row>
    <row r="350" spans="1:23" ht="11.25" customHeight="1" x14ac:dyDescent="0.3">
      <c r="A350" s="4" t="s">
        <v>21</v>
      </c>
      <c r="B350" s="4" t="s">
        <v>35</v>
      </c>
      <c r="C350" s="4" t="s">
        <v>33</v>
      </c>
      <c r="D350" s="4" t="s">
        <v>40</v>
      </c>
      <c r="E350" s="4" t="s">
        <v>25</v>
      </c>
      <c r="F350" s="4" t="s">
        <v>25</v>
      </c>
      <c r="G350" s="4" t="s">
        <v>25</v>
      </c>
      <c r="H350" s="4" t="s">
        <v>34</v>
      </c>
      <c r="I350" s="5">
        <v>44501</v>
      </c>
      <c r="J350" s="6">
        <v>0</v>
      </c>
      <c r="K350" s="6">
        <v>0</v>
      </c>
      <c r="L350" s="6">
        <v>0.182</v>
      </c>
      <c r="M350" s="6">
        <v>0.182</v>
      </c>
      <c r="N350" s="6">
        <v>0.182</v>
      </c>
      <c r="O350" s="6">
        <v>0.182</v>
      </c>
      <c r="P350" s="6">
        <v>0</v>
      </c>
      <c r="Q350" s="4" t="s">
        <v>26</v>
      </c>
      <c r="R350" s="4">
        <v>0</v>
      </c>
      <c r="S350" s="4" t="s">
        <v>243</v>
      </c>
      <c r="T350" s="4" t="s">
        <v>416</v>
      </c>
      <c r="U350" s="4">
        <v>0</v>
      </c>
      <c r="V350" s="4">
        <v>71</v>
      </c>
      <c r="W350" s="4">
        <v>45</v>
      </c>
    </row>
    <row r="351" spans="1:23" ht="11.25" customHeight="1" x14ac:dyDescent="0.3">
      <c r="A351" s="4" t="s">
        <v>21</v>
      </c>
      <c r="B351" s="4" t="s">
        <v>35</v>
      </c>
      <c r="C351" s="4" t="s">
        <v>33</v>
      </c>
      <c r="D351" s="4" t="s">
        <v>40</v>
      </c>
      <c r="E351" s="4" t="s">
        <v>25</v>
      </c>
      <c r="F351" s="4" t="s">
        <v>25</v>
      </c>
      <c r="G351" s="4" t="s">
        <v>25</v>
      </c>
      <c r="H351" s="4" t="s">
        <v>34</v>
      </c>
      <c r="I351" s="5">
        <v>44531</v>
      </c>
      <c r="J351" s="6">
        <v>0</v>
      </c>
      <c r="K351" s="6">
        <v>0</v>
      </c>
      <c r="L351" s="6">
        <v>0.21299999999999999</v>
      </c>
      <c r="M351" s="6">
        <v>0.21299999999999999</v>
      </c>
      <c r="N351" s="6">
        <v>0.21299999999999999</v>
      </c>
      <c r="O351" s="6">
        <v>0.21299999999999999</v>
      </c>
      <c r="P351" s="6">
        <v>0</v>
      </c>
      <c r="Q351" s="4" t="s">
        <v>26</v>
      </c>
      <c r="R351" s="4">
        <v>0</v>
      </c>
      <c r="S351" s="4" t="s">
        <v>244</v>
      </c>
      <c r="T351" s="4" t="s">
        <v>417</v>
      </c>
      <c r="U351" s="4">
        <v>0</v>
      </c>
      <c r="V351" s="4">
        <v>71</v>
      </c>
      <c r="W351" s="4">
        <v>45</v>
      </c>
    </row>
    <row r="352" spans="1:23" ht="11.25" customHeight="1" x14ac:dyDescent="0.3">
      <c r="A352" s="4" t="s">
        <v>21</v>
      </c>
      <c r="B352" s="4" t="s">
        <v>35</v>
      </c>
      <c r="C352" s="4" t="s">
        <v>33</v>
      </c>
      <c r="D352" s="4" t="s">
        <v>40</v>
      </c>
      <c r="E352" s="4" t="s">
        <v>25</v>
      </c>
      <c r="F352" s="4" t="s">
        <v>25</v>
      </c>
      <c r="G352" s="4" t="s">
        <v>25</v>
      </c>
      <c r="H352" s="4" t="s">
        <v>34</v>
      </c>
      <c r="I352" s="5">
        <v>44562</v>
      </c>
      <c r="J352" s="6">
        <v>0</v>
      </c>
      <c r="K352" s="6">
        <v>0</v>
      </c>
      <c r="L352" s="6">
        <v>0.308</v>
      </c>
      <c r="M352" s="6">
        <v>0.308</v>
      </c>
      <c r="N352" s="6">
        <v>0.308</v>
      </c>
      <c r="O352" s="6">
        <v>0.308</v>
      </c>
      <c r="P352" s="6">
        <v>0</v>
      </c>
      <c r="Q352" s="4" t="s">
        <v>26</v>
      </c>
      <c r="R352" s="4">
        <v>0</v>
      </c>
      <c r="S352" s="4" t="s">
        <v>245</v>
      </c>
      <c r="T352" s="4" t="s">
        <v>418</v>
      </c>
      <c r="U352" s="4">
        <v>0</v>
      </c>
      <c r="V352" s="4">
        <v>71</v>
      </c>
      <c r="W352" s="4">
        <v>45</v>
      </c>
    </row>
    <row r="353" spans="1:23" ht="11.25" customHeight="1" x14ac:dyDescent="0.3">
      <c r="A353" s="4" t="s">
        <v>21</v>
      </c>
      <c r="B353" s="4" t="s">
        <v>35</v>
      </c>
      <c r="C353" s="4" t="s">
        <v>33</v>
      </c>
      <c r="D353" s="4" t="s">
        <v>40</v>
      </c>
      <c r="E353" s="4" t="s">
        <v>25</v>
      </c>
      <c r="F353" s="4" t="s">
        <v>25</v>
      </c>
      <c r="G353" s="4" t="s">
        <v>25</v>
      </c>
      <c r="H353" s="4" t="s">
        <v>34</v>
      </c>
      <c r="I353" s="5">
        <v>44593</v>
      </c>
      <c r="J353" s="6">
        <v>0</v>
      </c>
      <c r="K353" s="6">
        <v>0</v>
      </c>
      <c r="L353" s="6">
        <v>0.27</v>
      </c>
      <c r="M353" s="6">
        <v>0.27</v>
      </c>
      <c r="N353" s="6">
        <v>0.27</v>
      </c>
      <c r="O353" s="6">
        <v>0.27</v>
      </c>
      <c r="P353" s="6">
        <v>0</v>
      </c>
      <c r="Q353" s="4" t="s">
        <v>26</v>
      </c>
      <c r="R353" s="4">
        <v>0</v>
      </c>
      <c r="S353" s="4" t="s">
        <v>246</v>
      </c>
      <c r="T353" s="4" t="s">
        <v>419</v>
      </c>
      <c r="U353" s="4">
        <v>0</v>
      </c>
      <c r="V353" s="4">
        <v>71</v>
      </c>
      <c r="W353" s="4">
        <v>45</v>
      </c>
    </row>
    <row r="354" spans="1:23" ht="11.25" customHeight="1" x14ac:dyDescent="0.3">
      <c r="A354" s="4" t="s">
        <v>21</v>
      </c>
      <c r="B354" s="4" t="s">
        <v>35</v>
      </c>
      <c r="C354" s="4" t="s">
        <v>33</v>
      </c>
      <c r="D354" s="4" t="s">
        <v>40</v>
      </c>
      <c r="E354" s="4" t="s">
        <v>25</v>
      </c>
      <c r="F354" s="4" t="s">
        <v>25</v>
      </c>
      <c r="G354" s="4" t="s">
        <v>25</v>
      </c>
      <c r="H354" s="4" t="s">
        <v>34</v>
      </c>
      <c r="I354" s="5">
        <v>44621</v>
      </c>
      <c r="J354" s="6">
        <v>0</v>
      </c>
      <c r="K354" s="6">
        <v>0</v>
      </c>
      <c r="L354" s="6">
        <v>0.27500000000000002</v>
      </c>
      <c r="M354" s="6">
        <v>0.27500000000000002</v>
      </c>
      <c r="N354" s="6">
        <v>0.27500000000000002</v>
      </c>
      <c r="O354" s="6">
        <v>0.27500000000000002</v>
      </c>
      <c r="P354" s="6">
        <v>0</v>
      </c>
      <c r="Q354" s="4" t="s">
        <v>26</v>
      </c>
      <c r="R354" s="4">
        <v>0</v>
      </c>
      <c r="S354" s="4" t="s">
        <v>247</v>
      </c>
      <c r="T354" s="4" t="s">
        <v>420</v>
      </c>
      <c r="U354" s="4">
        <v>0</v>
      </c>
      <c r="V354" s="4">
        <v>71</v>
      </c>
      <c r="W354" s="4">
        <v>45</v>
      </c>
    </row>
    <row r="355" spans="1:23" ht="11.25" customHeight="1" x14ac:dyDescent="0.3">
      <c r="A355" s="4" t="s">
        <v>21</v>
      </c>
      <c r="B355" s="4" t="s">
        <v>35</v>
      </c>
      <c r="C355" s="4" t="s">
        <v>33</v>
      </c>
      <c r="D355" s="4" t="s">
        <v>40</v>
      </c>
      <c r="E355" s="4" t="s">
        <v>25</v>
      </c>
      <c r="F355" s="4" t="s">
        <v>25</v>
      </c>
      <c r="G355" s="4" t="s">
        <v>25</v>
      </c>
      <c r="H355" s="4" t="s">
        <v>42</v>
      </c>
      <c r="I355" s="5">
        <v>44287</v>
      </c>
      <c r="J355" s="6">
        <v>0</v>
      </c>
      <c r="K355" s="6">
        <v>0</v>
      </c>
      <c r="L355" s="6">
        <v>1.4E-2</v>
      </c>
      <c r="M355" s="6">
        <v>1.4E-2</v>
      </c>
      <c r="N355" s="6">
        <v>1.4E-2</v>
      </c>
      <c r="O355" s="6">
        <v>1.4E-2</v>
      </c>
      <c r="P355" s="6">
        <v>0</v>
      </c>
      <c r="Q355" s="4" t="s">
        <v>26</v>
      </c>
      <c r="R355" s="4">
        <v>0</v>
      </c>
      <c r="S355" s="4" t="s">
        <v>248</v>
      </c>
      <c r="T355" s="4" t="s">
        <v>421</v>
      </c>
      <c r="U355" s="4">
        <v>0</v>
      </c>
      <c r="V355" s="4">
        <v>70</v>
      </c>
      <c r="W355" s="4">
        <v>39</v>
      </c>
    </row>
    <row r="356" spans="1:23" ht="11.25" customHeight="1" x14ac:dyDescent="0.3">
      <c r="A356" s="4" t="s">
        <v>21</v>
      </c>
      <c r="B356" s="4" t="s">
        <v>35</v>
      </c>
      <c r="C356" s="4" t="s">
        <v>33</v>
      </c>
      <c r="D356" s="4" t="s">
        <v>40</v>
      </c>
      <c r="E356" s="4" t="s">
        <v>25</v>
      </c>
      <c r="F356" s="4" t="s">
        <v>25</v>
      </c>
      <c r="G356" s="4" t="s">
        <v>25</v>
      </c>
      <c r="H356" s="4" t="s">
        <v>42</v>
      </c>
      <c r="I356" s="5">
        <v>44317</v>
      </c>
      <c r="J356" s="6">
        <v>0</v>
      </c>
      <c r="K356" s="6">
        <v>0</v>
      </c>
      <c r="L356" s="6">
        <v>1.7999999999999999E-2</v>
      </c>
      <c r="M356" s="6">
        <v>1.7999999999999999E-2</v>
      </c>
      <c r="N356" s="6">
        <v>1.7999999999999999E-2</v>
      </c>
      <c r="O356" s="6">
        <v>1.7999999999999999E-2</v>
      </c>
      <c r="P356" s="6">
        <v>0</v>
      </c>
      <c r="Q356" s="4" t="s">
        <v>26</v>
      </c>
      <c r="R356" s="4">
        <v>0</v>
      </c>
      <c r="S356" s="4" t="s">
        <v>249</v>
      </c>
      <c r="T356" s="4" t="s">
        <v>422</v>
      </c>
      <c r="U356" s="4">
        <v>0</v>
      </c>
      <c r="V356" s="4">
        <v>70</v>
      </c>
      <c r="W356" s="4">
        <v>39</v>
      </c>
    </row>
    <row r="357" spans="1:23" ht="11.25" customHeight="1" x14ac:dyDescent="0.3">
      <c r="A357" s="4" t="s">
        <v>21</v>
      </c>
      <c r="B357" s="4" t="s">
        <v>35</v>
      </c>
      <c r="C357" s="4" t="s">
        <v>33</v>
      </c>
      <c r="D357" s="4" t="s">
        <v>40</v>
      </c>
      <c r="E357" s="4" t="s">
        <v>25</v>
      </c>
      <c r="F357" s="4" t="s">
        <v>25</v>
      </c>
      <c r="G357" s="4" t="s">
        <v>25</v>
      </c>
      <c r="H357" s="4" t="s">
        <v>42</v>
      </c>
      <c r="I357" s="5">
        <v>44348</v>
      </c>
      <c r="J357" s="6">
        <v>0</v>
      </c>
      <c r="K357" s="6">
        <v>0</v>
      </c>
      <c r="L357" s="6">
        <v>3.6999999999999998E-2</v>
      </c>
      <c r="M357" s="6">
        <v>3.6999999999999998E-2</v>
      </c>
      <c r="N357" s="6">
        <v>3.6999999999999998E-2</v>
      </c>
      <c r="O357" s="6">
        <v>3.6999999999999998E-2</v>
      </c>
      <c r="P357" s="6">
        <v>0</v>
      </c>
      <c r="Q357" s="4" t="s">
        <v>26</v>
      </c>
      <c r="R357" s="4">
        <v>0</v>
      </c>
      <c r="S357" s="4" t="s">
        <v>250</v>
      </c>
      <c r="T357" s="4" t="s">
        <v>423</v>
      </c>
      <c r="U357" s="4">
        <v>0</v>
      </c>
      <c r="V357" s="4">
        <v>70</v>
      </c>
      <c r="W357" s="4">
        <v>39</v>
      </c>
    </row>
    <row r="358" spans="1:23" ht="11.25" customHeight="1" x14ac:dyDescent="0.3">
      <c r="A358" s="4" t="s">
        <v>21</v>
      </c>
      <c r="B358" s="4" t="s">
        <v>35</v>
      </c>
      <c r="C358" s="4" t="s">
        <v>33</v>
      </c>
      <c r="D358" s="4" t="s">
        <v>40</v>
      </c>
      <c r="E358" s="4" t="s">
        <v>25</v>
      </c>
      <c r="F358" s="4" t="s">
        <v>25</v>
      </c>
      <c r="G358" s="4" t="s">
        <v>25</v>
      </c>
      <c r="H358" s="4" t="s">
        <v>42</v>
      </c>
      <c r="I358" s="5">
        <v>44378</v>
      </c>
      <c r="J358" s="6">
        <v>0</v>
      </c>
      <c r="K358" s="6">
        <v>0</v>
      </c>
      <c r="L358" s="6">
        <v>1.4999999999999999E-2</v>
      </c>
      <c r="M358" s="6">
        <v>1.4999999999999999E-2</v>
      </c>
      <c r="N358" s="6">
        <v>1.4999999999999999E-2</v>
      </c>
      <c r="O358" s="6">
        <v>1.4999999999999999E-2</v>
      </c>
      <c r="P358" s="6">
        <v>0</v>
      </c>
      <c r="Q358" s="4" t="s">
        <v>26</v>
      </c>
      <c r="R358" s="4">
        <v>0</v>
      </c>
      <c r="S358" s="4" t="s">
        <v>251</v>
      </c>
      <c r="T358" s="4" t="s">
        <v>424</v>
      </c>
      <c r="U358" s="4">
        <v>0</v>
      </c>
      <c r="V358" s="4">
        <v>70</v>
      </c>
      <c r="W358" s="4">
        <v>39</v>
      </c>
    </row>
    <row r="359" spans="1:23" ht="11.25" customHeight="1" x14ac:dyDescent="0.3">
      <c r="A359" s="4" t="s">
        <v>21</v>
      </c>
      <c r="B359" s="4" t="s">
        <v>35</v>
      </c>
      <c r="C359" s="4" t="s">
        <v>33</v>
      </c>
      <c r="D359" s="4" t="s">
        <v>40</v>
      </c>
      <c r="E359" s="4" t="s">
        <v>25</v>
      </c>
      <c r="F359" s="4" t="s">
        <v>25</v>
      </c>
      <c r="G359" s="4" t="s">
        <v>25</v>
      </c>
      <c r="H359" s="4" t="s">
        <v>42</v>
      </c>
      <c r="I359" s="5">
        <v>44409</v>
      </c>
      <c r="J359" s="6">
        <v>0</v>
      </c>
      <c r="K359" s="6">
        <v>0</v>
      </c>
      <c r="L359" s="6">
        <v>0.02</v>
      </c>
      <c r="M359" s="6">
        <v>0.02</v>
      </c>
      <c r="N359" s="6">
        <v>0.02</v>
      </c>
      <c r="O359" s="6">
        <v>0.02</v>
      </c>
      <c r="P359" s="6">
        <v>0</v>
      </c>
      <c r="Q359" s="4" t="s">
        <v>26</v>
      </c>
      <c r="R359" s="4">
        <v>0</v>
      </c>
      <c r="S359" s="4" t="s">
        <v>252</v>
      </c>
      <c r="T359" s="4" t="s">
        <v>425</v>
      </c>
      <c r="U359" s="4">
        <v>0</v>
      </c>
      <c r="V359" s="4">
        <v>70</v>
      </c>
      <c r="W359" s="4">
        <v>39</v>
      </c>
    </row>
    <row r="360" spans="1:23" ht="11.25" customHeight="1" x14ac:dyDescent="0.3">
      <c r="A360" s="4" t="s">
        <v>21</v>
      </c>
      <c r="B360" s="4" t="s">
        <v>35</v>
      </c>
      <c r="C360" s="4" t="s">
        <v>33</v>
      </c>
      <c r="D360" s="4" t="s">
        <v>40</v>
      </c>
      <c r="E360" s="4" t="s">
        <v>25</v>
      </c>
      <c r="F360" s="4" t="s">
        <v>25</v>
      </c>
      <c r="G360" s="4" t="s">
        <v>25</v>
      </c>
      <c r="H360" s="4" t="s">
        <v>42</v>
      </c>
      <c r="I360" s="5">
        <v>44440</v>
      </c>
      <c r="J360" s="6">
        <v>0</v>
      </c>
      <c r="K360" s="6">
        <v>0</v>
      </c>
      <c r="L360" s="6">
        <v>1.9E-2</v>
      </c>
      <c r="M360" s="6">
        <v>1.9E-2</v>
      </c>
      <c r="N360" s="6">
        <v>1.9E-2</v>
      </c>
      <c r="O360" s="6">
        <v>1.9E-2</v>
      </c>
      <c r="P360" s="6">
        <v>0</v>
      </c>
      <c r="Q360" s="4" t="s">
        <v>26</v>
      </c>
      <c r="R360" s="4">
        <v>0</v>
      </c>
      <c r="S360" s="4" t="s">
        <v>253</v>
      </c>
      <c r="T360" s="4" t="s">
        <v>426</v>
      </c>
      <c r="U360" s="4">
        <v>0</v>
      </c>
      <c r="V360" s="4">
        <v>70</v>
      </c>
      <c r="W360" s="4">
        <v>39</v>
      </c>
    </row>
    <row r="361" spans="1:23" ht="11.25" customHeight="1" x14ac:dyDescent="0.3">
      <c r="A361" s="4" t="s">
        <v>21</v>
      </c>
      <c r="B361" s="4" t="s">
        <v>35</v>
      </c>
      <c r="C361" s="4" t="s">
        <v>33</v>
      </c>
      <c r="D361" s="4" t="s">
        <v>40</v>
      </c>
      <c r="E361" s="4" t="s">
        <v>25</v>
      </c>
      <c r="F361" s="4" t="s">
        <v>25</v>
      </c>
      <c r="G361" s="4" t="s">
        <v>25</v>
      </c>
      <c r="H361" s="4" t="s">
        <v>42</v>
      </c>
      <c r="I361" s="5">
        <v>44470</v>
      </c>
      <c r="J361" s="6">
        <v>0</v>
      </c>
      <c r="K361" s="6">
        <v>0</v>
      </c>
      <c r="L361" s="6">
        <v>1.7000000000000001E-2</v>
      </c>
      <c r="M361" s="6">
        <v>1.7000000000000001E-2</v>
      </c>
      <c r="N361" s="6">
        <v>1.7000000000000001E-2</v>
      </c>
      <c r="O361" s="6">
        <v>1.7000000000000001E-2</v>
      </c>
      <c r="P361" s="6">
        <v>0</v>
      </c>
      <c r="Q361" s="4" t="s">
        <v>26</v>
      </c>
      <c r="R361" s="4">
        <v>0</v>
      </c>
      <c r="S361" s="4" t="s">
        <v>254</v>
      </c>
      <c r="T361" s="4" t="s">
        <v>427</v>
      </c>
      <c r="U361" s="4">
        <v>0</v>
      </c>
      <c r="V361" s="4">
        <v>70</v>
      </c>
      <c r="W361" s="4">
        <v>39</v>
      </c>
    </row>
    <row r="362" spans="1:23" ht="11.25" customHeight="1" x14ac:dyDescent="0.3">
      <c r="A362" s="4" t="s">
        <v>21</v>
      </c>
      <c r="B362" s="4" t="s">
        <v>35</v>
      </c>
      <c r="C362" s="4" t="s">
        <v>33</v>
      </c>
      <c r="D362" s="4" t="s">
        <v>40</v>
      </c>
      <c r="E362" s="4" t="s">
        <v>25</v>
      </c>
      <c r="F362" s="4" t="s">
        <v>25</v>
      </c>
      <c r="G362" s="4" t="s">
        <v>25</v>
      </c>
      <c r="H362" s="4" t="s">
        <v>42</v>
      </c>
      <c r="I362" s="5">
        <v>44501</v>
      </c>
      <c r="J362" s="6">
        <v>0</v>
      </c>
      <c r="K362" s="6">
        <v>0</v>
      </c>
      <c r="L362" s="6">
        <v>1.6E-2</v>
      </c>
      <c r="M362" s="6">
        <v>1.6E-2</v>
      </c>
      <c r="N362" s="6">
        <v>1.6E-2</v>
      </c>
      <c r="O362" s="6">
        <v>1.6E-2</v>
      </c>
      <c r="P362" s="6">
        <v>0</v>
      </c>
      <c r="Q362" s="4" t="s">
        <v>26</v>
      </c>
      <c r="R362" s="4">
        <v>0</v>
      </c>
      <c r="S362" s="4" t="s">
        <v>255</v>
      </c>
      <c r="T362" s="4" t="s">
        <v>428</v>
      </c>
      <c r="U362" s="4">
        <v>0</v>
      </c>
      <c r="V362" s="4">
        <v>70</v>
      </c>
      <c r="W362" s="4">
        <v>39</v>
      </c>
    </row>
    <row r="363" spans="1:23" ht="11.25" customHeight="1" x14ac:dyDescent="0.3">
      <c r="A363" s="4" t="s">
        <v>21</v>
      </c>
      <c r="B363" s="4" t="s">
        <v>35</v>
      </c>
      <c r="C363" s="4" t="s">
        <v>33</v>
      </c>
      <c r="D363" s="4" t="s">
        <v>40</v>
      </c>
      <c r="E363" s="4" t="s">
        <v>25</v>
      </c>
      <c r="F363" s="4" t="s">
        <v>25</v>
      </c>
      <c r="G363" s="4" t="s">
        <v>25</v>
      </c>
      <c r="H363" s="4" t="s">
        <v>42</v>
      </c>
      <c r="I363" s="5">
        <v>44531</v>
      </c>
      <c r="J363" s="6">
        <v>0</v>
      </c>
      <c r="K363" s="6">
        <v>0</v>
      </c>
      <c r="L363" s="6">
        <v>1.7999999999999999E-2</v>
      </c>
      <c r="M363" s="6">
        <v>1.7999999999999999E-2</v>
      </c>
      <c r="N363" s="6">
        <v>1.7999999999999999E-2</v>
      </c>
      <c r="O363" s="6">
        <v>1.7999999999999999E-2</v>
      </c>
      <c r="P363" s="6">
        <v>0</v>
      </c>
      <c r="Q363" s="4" t="s">
        <v>26</v>
      </c>
      <c r="R363" s="4">
        <v>0</v>
      </c>
      <c r="S363" s="4" t="s">
        <v>256</v>
      </c>
      <c r="T363" s="4" t="s">
        <v>429</v>
      </c>
      <c r="U363" s="4">
        <v>0</v>
      </c>
      <c r="V363" s="4">
        <v>70</v>
      </c>
      <c r="W363" s="4">
        <v>39</v>
      </c>
    </row>
    <row r="364" spans="1:23" ht="11.25" customHeight="1" x14ac:dyDescent="0.3">
      <c r="A364" s="4" t="s">
        <v>21</v>
      </c>
      <c r="B364" s="4" t="s">
        <v>35</v>
      </c>
      <c r="C364" s="4" t="s">
        <v>33</v>
      </c>
      <c r="D364" s="4" t="s">
        <v>40</v>
      </c>
      <c r="E364" s="4" t="s">
        <v>25</v>
      </c>
      <c r="F364" s="4" t="s">
        <v>25</v>
      </c>
      <c r="G364" s="4" t="s">
        <v>25</v>
      </c>
      <c r="H364" s="4" t="s">
        <v>42</v>
      </c>
      <c r="I364" s="5">
        <v>44562</v>
      </c>
      <c r="J364" s="6">
        <v>0</v>
      </c>
      <c r="K364" s="6">
        <v>0</v>
      </c>
      <c r="L364" s="6">
        <v>2.5000000000000001E-2</v>
      </c>
      <c r="M364" s="6">
        <v>2.5000000000000001E-2</v>
      </c>
      <c r="N364" s="6">
        <v>2.5000000000000001E-2</v>
      </c>
      <c r="O364" s="6">
        <v>2.5000000000000001E-2</v>
      </c>
      <c r="P364" s="6">
        <v>0</v>
      </c>
      <c r="Q364" s="4" t="s">
        <v>26</v>
      </c>
      <c r="R364" s="4">
        <v>0</v>
      </c>
      <c r="S364" s="4" t="s">
        <v>257</v>
      </c>
      <c r="T364" s="4" t="s">
        <v>430</v>
      </c>
      <c r="U364" s="4">
        <v>0</v>
      </c>
      <c r="V364" s="4">
        <v>70</v>
      </c>
      <c r="W364" s="4">
        <v>39</v>
      </c>
    </row>
    <row r="365" spans="1:23" ht="11.25" customHeight="1" x14ac:dyDescent="0.3">
      <c r="A365" s="4" t="s">
        <v>21</v>
      </c>
      <c r="B365" s="4" t="s">
        <v>35</v>
      </c>
      <c r="C365" s="4" t="s">
        <v>33</v>
      </c>
      <c r="D365" s="4" t="s">
        <v>40</v>
      </c>
      <c r="E365" s="4" t="s">
        <v>25</v>
      </c>
      <c r="F365" s="4" t="s">
        <v>25</v>
      </c>
      <c r="G365" s="4" t="s">
        <v>25</v>
      </c>
      <c r="H365" s="4" t="s">
        <v>42</v>
      </c>
      <c r="I365" s="5">
        <v>44593</v>
      </c>
      <c r="J365" s="6">
        <v>0</v>
      </c>
      <c r="K365" s="6">
        <v>0</v>
      </c>
      <c r="L365" s="6">
        <v>0.02</v>
      </c>
      <c r="M365" s="6">
        <v>0.02</v>
      </c>
      <c r="N365" s="6">
        <v>0.02</v>
      </c>
      <c r="O365" s="6">
        <v>0.02</v>
      </c>
      <c r="P365" s="6">
        <v>0</v>
      </c>
      <c r="Q365" s="4" t="s">
        <v>26</v>
      </c>
      <c r="R365" s="4">
        <v>0</v>
      </c>
      <c r="S365" s="4" t="s">
        <v>258</v>
      </c>
      <c r="T365" s="4" t="s">
        <v>431</v>
      </c>
      <c r="U365" s="4">
        <v>0</v>
      </c>
      <c r="V365" s="4">
        <v>70</v>
      </c>
      <c r="W365" s="4">
        <v>39</v>
      </c>
    </row>
    <row r="366" spans="1:23" ht="11.25" customHeight="1" x14ac:dyDescent="0.3">
      <c r="A366" s="4" t="s">
        <v>21</v>
      </c>
      <c r="B366" s="4" t="s">
        <v>35</v>
      </c>
      <c r="C366" s="4" t="s">
        <v>33</v>
      </c>
      <c r="D366" s="4" t="s">
        <v>40</v>
      </c>
      <c r="E366" s="4" t="s">
        <v>25</v>
      </c>
      <c r="F366" s="4" t="s">
        <v>25</v>
      </c>
      <c r="G366" s="4" t="s">
        <v>25</v>
      </c>
      <c r="H366" s="4" t="s">
        <v>42</v>
      </c>
      <c r="I366" s="5">
        <v>44621</v>
      </c>
      <c r="J366" s="6">
        <v>0</v>
      </c>
      <c r="K366" s="6">
        <v>0</v>
      </c>
      <c r="L366" s="6">
        <v>1.9E-2</v>
      </c>
      <c r="M366" s="6">
        <v>1.9E-2</v>
      </c>
      <c r="N366" s="6">
        <v>1.9E-2</v>
      </c>
      <c r="O366" s="6">
        <v>1.9E-2</v>
      </c>
      <c r="P366" s="6">
        <v>0</v>
      </c>
      <c r="Q366" s="4" t="s">
        <v>26</v>
      </c>
      <c r="R366" s="4">
        <v>0</v>
      </c>
      <c r="S366" s="4" t="s">
        <v>259</v>
      </c>
      <c r="T366" s="4" t="s">
        <v>432</v>
      </c>
      <c r="U366" s="4">
        <v>0</v>
      </c>
      <c r="V366" s="4">
        <v>70</v>
      </c>
      <c r="W366" s="4">
        <v>39</v>
      </c>
    </row>
    <row r="367" spans="1:23" ht="11.25" customHeight="1" x14ac:dyDescent="0.3">
      <c r="A367" s="4" t="s">
        <v>21</v>
      </c>
      <c r="B367" s="4" t="s">
        <v>35</v>
      </c>
      <c r="C367" s="4" t="s">
        <v>33</v>
      </c>
      <c r="D367" s="4" t="s">
        <v>40</v>
      </c>
      <c r="E367" s="4" t="s">
        <v>25</v>
      </c>
      <c r="F367" s="4" t="s">
        <v>25</v>
      </c>
      <c r="G367" s="4" t="s">
        <v>25</v>
      </c>
      <c r="H367" s="4" t="s">
        <v>39</v>
      </c>
      <c r="I367" s="5">
        <v>44287</v>
      </c>
      <c r="J367" s="6">
        <v>0</v>
      </c>
      <c r="K367" s="6">
        <v>0</v>
      </c>
      <c r="L367" s="6">
        <v>2.1999999999999999E-2</v>
      </c>
      <c r="M367" s="6">
        <v>2.1999999999999999E-2</v>
      </c>
      <c r="N367" s="6">
        <v>2.1999999999999999E-2</v>
      </c>
      <c r="O367" s="6">
        <v>2.1999999999999999E-2</v>
      </c>
      <c r="P367" s="6">
        <v>0</v>
      </c>
      <c r="Q367" s="4" t="s">
        <v>26</v>
      </c>
      <c r="R367" s="4">
        <v>0</v>
      </c>
      <c r="S367" s="4" t="s">
        <v>260</v>
      </c>
      <c r="T367" s="4" t="s">
        <v>433</v>
      </c>
      <c r="U367" s="4">
        <v>0</v>
      </c>
      <c r="V367" s="4">
        <v>65</v>
      </c>
      <c r="W367" s="4">
        <v>38</v>
      </c>
    </row>
    <row r="368" spans="1:23" ht="11.25" customHeight="1" x14ac:dyDescent="0.3">
      <c r="A368" s="4" t="s">
        <v>21</v>
      </c>
      <c r="B368" s="4" t="s">
        <v>35</v>
      </c>
      <c r="C368" s="4" t="s">
        <v>33</v>
      </c>
      <c r="D368" s="4" t="s">
        <v>40</v>
      </c>
      <c r="E368" s="4" t="s">
        <v>25</v>
      </c>
      <c r="F368" s="4" t="s">
        <v>25</v>
      </c>
      <c r="G368" s="4" t="s">
        <v>25</v>
      </c>
      <c r="H368" s="4" t="s">
        <v>39</v>
      </c>
      <c r="I368" s="5">
        <v>44317</v>
      </c>
      <c r="J368" s="6">
        <v>0</v>
      </c>
      <c r="K368" s="6">
        <v>0</v>
      </c>
      <c r="L368" s="6">
        <v>2.7E-2</v>
      </c>
      <c r="M368" s="6">
        <v>2.7E-2</v>
      </c>
      <c r="N368" s="6">
        <v>2.7E-2</v>
      </c>
      <c r="O368" s="6">
        <v>2.7E-2</v>
      </c>
      <c r="P368" s="6">
        <v>0</v>
      </c>
      <c r="Q368" s="4" t="s">
        <v>26</v>
      </c>
      <c r="R368" s="4">
        <v>0</v>
      </c>
      <c r="S368" s="4" t="s">
        <v>261</v>
      </c>
      <c r="T368" s="4" t="s">
        <v>434</v>
      </c>
      <c r="U368" s="4">
        <v>0</v>
      </c>
      <c r="V368" s="4">
        <v>65</v>
      </c>
      <c r="W368" s="4">
        <v>38</v>
      </c>
    </row>
    <row r="369" spans="1:23" ht="11.25" customHeight="1" x14ac:dyDescent="0.3">
      <c r="A369" s="4" t="s">
        <v>21</v>
      </c>
      <c r="B369" s="4" t="s">
        <v>35</v>
      </c>
      <c r="C369" s="4" t="s">
        <v>33</v>
      </c>
      <c r="D369" s="4" t="s">
        <v>40</v>
      </c>
      <c r="E369" s="4" t="s">
        <v>25</v>
      </c>
      <c r="F369" s="4" t="s">
        <v>25</v>
      </c>
      <c r="G369" s="4" t="s">
        <v>25</v>
      </c>
      <c r="H369" s="4" t="s">
        <v>39</v>
      </c>
      <c r="I369" s="5">
        <v>44348</v>
      </c>
      <c r="J369" s="6">
        <v>0</v>
      </c>
      <c r="K369" s="6">
        <v>0</v>
      </c>
      <c r="L369" s="6">
        <v>5.3999999999999999E-2</v>
      </c>
      <c r="M369" s="6">
        <v>5.3999999999999999E-2</v>
      </c>
      <c r="N369" s="6">
        <v>5.3999999999999999E-2</v>
      </c>
      <c r="O369" s="6">
        <v>5.3999999999999999E-2</v>
      </c>
      <c r="P369" s="6">
        <v>0</v>
      </c>
      <c r="Q369" s="4" t="s">
        <v>26</v>
      </c>
      <c r="R369" s="4">
        <v>0</v>
      </c>
      <c r="S369" s="4" t="s">
        <v>262</v>
      </c>
      <c r="T369" s="4" t="s">
        <v>435</v>
      </c>
      <c r="U369" s="4">
        <v>0</v>
      </c>
      <c r="V369" s="4">
        <v>65</v>
      </c>
      <c r="W369" s="4">
        <v>38</v>
      </c>
    </row>
    <row r="370" spans="1:23" ht="11.25" customHeight="1" x14ac:dyDescent="0.3">
      <c r="A370" s="4" t="s">
        <v>21</v>
      </c>
      <c r="B370" s="4" t="s">
        <v>35</v>
      </c>
      <c r="C370" s="4" t="s">
        <v>33</v>
      </c>
      <c r="D370" s="4" t="s">
        <v>40</v>
      </c>
      <c r="E370" s="4" t="s">
        <v>25</v>
      </c>
      <c r="F370" s="4" t="s">
        <v>25</v>
      </c>
      <c r="G370" s="4" t="s">
        <v>25</v>
      </c>
      <c r="H370" s="4" t="s">
        <v>39</v>
      </c>
      <c r="I370" s="5">
        <v>44378</v>
      </c>
      <c r="J370" s="6">
        <v>0</v>
      </c>
      <c r="K370" s="6">
        <v>0</v>
      </c>
      <c r="L370" s="6">
        <v>0.02</v>
      </c>
      <c r="M370" s="6">
        <v>0.02</v>
      </c>
      <c r="N370" s="6">
        <v>0.02</v>
      </c>
      <c r="O370" s="6">
        <v>0.02</v>
      </c>
      <c r="P370" s="6">
        <v>0</v>
      </c>
      <c r="Q370" s="4" t="s">
        <v>26</v>
      </c>
      <c r="R370" s="4">
        <v>0</v>
      </c>
      <c r="S370" s="4" t="s">
        <v>263</v>
      </c>
      <c r="T370" s="4" t="s">
        <v>436</v>
      </c>
      <c r="U370" s="4">
        <v>0</v>
      </c>
      <c r="V370" s="4">
        <v>65</v>
      </c>
      <c r="W370" s="4">
        <v>38</v>
      </c>
    </row>
    <row r="371" spans="1:23" ht="11.25" customHeight="1" x14ac:dyDescent="0.3">
      <c r="A371" s="4" t="s">
        <v>21</v>
      </c>
      <c r="B371" s="4" t="s">
        <v>35</v>
      </c>
      <c r="C371" s="4" t="s">
        <v>33</v>
      </c>
      <c r="D371" s="4" t="s">
        <v>40</v>
      </c>
      <c r="E371" s="4" t="s">
        <v>25</v>
      </c>
      <c r="F371" s="4" t="s">
        <v>25</v>
      </c>
      <c r="G371" s="4" t="s">
        <v>25</v>
      </c>
      <c r="H371" s="4" t="s">
        <v>39</v>
      </c>
      <c r="I371" s="5">
        <v>44409</v>
      </c>
      <c r="J371" s="6">
        <v>0</v>
      </c>
      <c r="K371" s="6">
        <v>0</v>
      </c>
      <c r="L371" s="6">
        <v>3.4000000000000002E-2</v>
      </c>
      <c r="M371" s="6">
        <v>3.4000000000000002E-2</v>
      </c>
      <c r="N371" s="6">
        <v>3.4000000000000002E-2</v>
      </c>
      <c r="O371" s="6">
        <v>3.4000000000000002E-2</v>
      </c>
      <c r="P371" s="6">
        <v>0</v>
      </c>
      <c r="Q371" s="4" t="s">
        <v>26</v>
      </c>
      <c r="R371" s="4">
        <v>0</v>
      </c>
      <c r="S371" s="4" t="s">
        <v>264</v>
      </c>
      <c r="T371" s="4" t="s">
        <v>437</v>
      </c>
      <c r="U371" s="4">
        <v>0</v>
      </c>
      <c r="V371" s="4">
        <v>65</v>
      </c>
      <c r="W371" s="4">
        <v>38</v>
      </c>
    </row>
    <row r="372" spans="1:23" ht="11.25" customHeight="1" x14ac:dyDescent="0.3">
      <c r="A372" s="4" t="s">
        <v>21</v>
      </c>
      <c r="B372" s="4" t="s">
        <v>35</v>
      </c>
      <c r="C372" s="4" t="s">
        <v>33</v>
      </c>
      <c r="D372" s="4" t="s">
        <v>40</v>
      </c>
      <c r="E372" s="4" t="s">
        <v>25</v>
      </c>
      <c r="F372" s="4" t="s">
        <v>25</v>
      </c>
      <c r="G372" s="4" t="s">
        <v>25</v>
      </c>
      <c r="H372" s="4" t="s">
        <v>39</v>
      </c>
      <c r="I372" s="5">
        <v>44440</v>
      </c>
      <c r="J372" s="6">
        <v>0</v>
      </c>
      <c r="K372" s="6">
        <v>0</v>
      </c>
      <c r="L372" s="6">
        <v>3.6999999999999998E-2</v>
      </c>
      <c r="M372" s="6">
        <v>3.6999999999999998E-2</v>
      </c>
      <c r="N372" s="6">
        <v>3.6999999999999998E-2</v>
      </c>
      <c r="O372" s="6">
        <v>3.6999999999999998E-2</v>
      </c>
      <c r="P372" s="6">
        <v>0</v>
      </c>
      <c r="Q372" s="4" t="s">
        <v>26</v>
      </c>
      <c r="R372" s="4">
        <v>0</v>
      </c>
      <c r="S372" s="4" t="s">
        <v>265</v>
      </c>
      <c r="T372" s="4" t="s">
        <v>438</v>
      </c>
      <c r="U372" s="4">
        <v>0</v>
      </c>
      <c r="V372" s="4">
        <v>65</v>
      </c>
      <c r="W372" s="4">
        <v>38</v>
      </c>
    </row>
    <row r="373" spans="1:23" ht="11.25" customHeight="1" x14ac:dyDescent="0.3">
      <c r="A373" s="4" t="s">
        <v>21</v>
      </c>
      <c r="B373" s="4" t="s">
        <v>35</v>
      </c>
      <c r="C373" s="4" t="s">
        <v>33</v>
      </c>
      <c r="D373" s="4" t="s">
        <v>40</v>
      </c>
      <c r="E373" s="4" t="s">
        <v>25</v>
      </c>
      <c r="F373" s="4" t="s">
        <v>25</v>
      </c>
      <c r="G373" s="4" t="s">
        <v>25</v>
      </c>
      <c r="H373" s="4" t="s">
        <v>39</v>
      </c>
      <c r="I373" s="5">
        <v>44470</v>
      </c>
      <c r="J373" s="6">
        <v>0</v>
      </c>
      <c r="K373" s="6">
        <v>0</v>
      </c>
      <c r="L373" s="6">
        <v>3.1E-2</v>
      </c>
      <c r="M373" s="6">
        <v>3.1E-2</v>
      </c>
      <c r="N373" s="6">
        <v>3.1E-2</v>
      </c>
      <c r="O373" s="6">
        <v>3.1E-2</v>
      </c>
      <c r="P373" s="6">
        <v>0</v>
      </c>
      <c r="Q373" s="4" t="s">
        <v>26</v>
      </c>
      <c r="R373" s="4">
        <v>0</v>
      </c>
      <c r="S373" s="4" t="s">
        <v>266</v>
      </c>
      <c r="T373" s="4" t="s">
        <v>439</v>
      </c>
      <c r="U373" s="4">
        <v>0</v>
      </c>
      <c r="V373" s="4">
        <v>65</v>
      </c>
      <c r="W373" s="4">
        <v>38</v>
      </c>
    </row>
    <row r="374" spans="1:23" ht="11.25" customHeight="1" x14ac:dyDescent="0.3">
      <c r="A374" s="4" t="s">
        <v>21</v>
      </c>
      <c r="B374" s="4" t="s">
        <v>35</v>
      </c>
      <c r="C374" s="4" t="s">
        <v>33</v>
      </c>
      <c r="D374" s="4" t="s">
        <v>40</v>
      </c>
      <c r="E374" s="4" t="s">
        <v>25</v>
      </c>
      <c r="F374" s="4" t="s">
        <v>25</v>
      </c>
      <c r="G374" s="4" t="s">
        <v>25</v>
      </c>
      <c r="H374" s="4" t="s">
        <v>39</v>
      </c>
      <c r="I374" s="5">
        <v>44501</v>
      </c>
      <c r="J374" s="6">
        <v>0</v>
      </c>
      <c r="K374" s="6">
        <v>0</v>
      </c>
      <c r="L374" s="6">
        <v>2.7E-2</v>
      </c>
      <c r="M374" s="6">
        <v>2.7E-2</v>
      </c>
      <c r="N374" s="6">
        <v>2.7E-2</v>
      </c>
      <c r="O374" s="6">
        <v>2.7E-2</v>
      </c>
      <c r="P374" s="6">
        <v>0</v>
      </c>
      <c r="Q374" s="4" t="s">
        <v>26</v>
      </c>
      <c r="R374" s="4">
        <v>0</v>
      </c>
      <c r="S374" s="4" t="s">
        <v>267</v>
      </c>
      <c r="T374" s="4" t="s">
        <v>440</v>
      </c>
      <c r="U374" s="4">
        <v>0</v>
      </c>
      <c r="V374" s="4">
        <v>65</v>
      </c>
      <c r="W374" s="4">
        <v>38</v>
      </c>
    </row>
    <row r="375" spans="1:23" ht="11.25" customHeight="1" x14ac:dyDescent="0.3">
      <c r="A375" s="4" t="s">
        <v>21</v>
      </c>
      <c r="B375" s="4" t="s">
        <v>35</v>
      </c>
      <c r="C375" s="4" t="s">
        <v>33</v>
      </c>
      <c r="D375" s="4" t="s">
        <v>40</v>
      </c>
      <c r="E375" s="4" t="s">
        <v>25</v>
      </c>
      <c r="F375" s="4" t="s">
        <v>25</v>
      </c>
      <c r="G375" s="4" t="s">
        <v>25</v>
      </c>
      <c r="H375" s="4" t="s">
        <v>39</v>
      </c>
      <c r="I375" s="5">
        <v>44531</v>
      </c>
      <c r="J375" s="6">
        <v>0</v>
      </c>
      <c r="K375" s="6">
        <v>0</v>
      </c>
      <c r="L375" s="6">
        <v>3.3000000000000002E-2</v>
      </c>
      <c r="M375" s="6">
        <v>3.3000000000000002E-2</v>
      </c>
      <c r="N375" s="6">
        <v>3.3000000000000002E-2</v>
      </c>
      <c r="O375" s="6">
        <v>3.3000000000000002E-2</v>
      </c>
      <c r="P375" s="6">
        <v>0</v>
      </c>
      <c r="Q375" s="4" t="s">
        <v>26</v>
      </c>
      <c r="R375" s="4">
        <v>0</v>
      </c>
      <c r="S375" s="4" t="s">
        <v>268</v>
      </c>
      <c r="T375" s="4" t="s">
        <v>441</v>
      </c>
      <c r="U375" s="4">
        <v>0</v>
      </c>
      <c r="V375" s="4">
        <v>65</v>
      </c>
      <c r="W375" s="4">
        <v>38</v>
      </c>
    </row>
    <row r="376" spans="1:23" ht="11.25" customHeight="1" x14ac:dyDescent="0.3">
      <c r="A376" s="4" t="s">
        <v>21</v>
      </c>
      <c r="B376" s="4" t="s">
        <v>35</v>
      </c>
      <c r="C376" s="4" t="s">
        <v>33</v>
      </c>
      <c r="D376" s="4" t="s">
        <v>40</v>
      </c>
      <c r="E376" s="4" t="s">
        <v>25</v>
      </c>
      <c r="F376" s="4" t="s">
        <v>25</v>
      </c>
      <c r="G376" s="4" t="s">
        <v>25</v>
      </c>
      <c r="H376" s="4" t="s">
        <v>39</v>
      </c>
      <c r="I376" s="5">
        <v>44562</v>
      </c>
      <c r="J376" s="6">
        <v>0</v>
      </c>
      <c r="K376" s="6">
        <v>0</v>
      </c>
      <c r="L376" s="6">
        <v>4.4999999999999998E-2</v>
      </c>
      <c r="M376" s="6">
        <v>4.4999999999999998E-2</v>
      </c>
      <c r="N376" s="6">
        <v>4.4999999999999998E-2</v>
      </c>
      <c r="O376" s="6">
        <v>4.4999999999999998E-2</v>
      </c>
      <c r="P376" s="6">
        <v>0</v>
      </c>
      <c r="Q376" s="4" t="s">
        <v>26</v>
      </c>
      <c r="R376" s="4">
        <v>0</v>
      </c>
      <c r="S376" s="4" t="s">
        <v>269</v>
      </c>
      <c r="T376" s="4" t="s">
        <v>442</v>
      </c>
      <c r="U376" s="4">
        <v>0</v>
      </c>
      <c r="V376" s="4">
        <v>65</v>
      </c>
      <c r="W376" s="4">
        <v>38</v>
      </c>
    </row>
    <row r="377" spans="1:23" ht="11.25" customHeight="1" x14ac:dyDescent="0.3">
      <c r="A377" s="4" t="s">
        <v>21</v>
      </c>
      <c r="B377" s="4" t="s">
        <v>35</v>
      </c>
      <c r="C377" s="4" t="s">
        <v>33</v>
      </c>
      <c r="D377" s="4" t="s">
        <v>40</v>
      </c>
      <c r="E377" s="4" t="s">
        <v>25</v>
      </c>
      <c r="F377" s="4" t="s">
        <v>25</v>
      </c>
      <c r="G377" s="4" t="s">
        <v>25</v>
      </c>
      <c r="H377" s="4" t="s">
        <v>39</v>
      </c>
      <c r="I377" s="5">
        <v>44593</v>
      </c>
      <c r="J377" s="6">
        <v>0</v>
      </c>
      <c r="K377" s="6">
        <v>0</v>
      </c>
      <c r="L377" s="6">
        <v>0.03</v>
      </c>
      <c r="M377" s="6">
        <v>0.03</v>
      </c>
      <c r="N377" s="6">
        <v>0.03</v>
      </c>
      <c r="O377" s="6">
        <v>0.03</v>
      </c>
      <c r="P377" s="6">
        <v>0</v>
      </c>
      <c r="Q377" s="4" t="s">
        <v>26</v>
      </c>
      <c r="R377" s="4">
        <v>0</v>
      </c>
      <c r="S377" s="4" t="s">
        <v>270</v>
      </c>
      <c r="T377" s="4" t="s">
        <v>443</v>
      </c>
      <c r="U377" s="4">
        <v>0</v>
      </c>
      <c r="V377" s="4">
        <v>65</v>
      </c>
      <c r="W377" s="4">
        <v>38</v>
      </c>
    </row>
    <row r="378" spans="1:23" ht="11.25" customHeight="1" x14ac:dyDescent="0.3">
      <c r="A378" s="4" t="s">
        <v>21</v>
      </c>
      <c r="B378" s="4" t="s">
        <v>35</v>
      </c>
      <c r="C378" s="4" t="s">
        <v>33</v>
      </c>
      <c r="D378" s="4" t="s">
        <v>40</v>
      </c>
      <c r="E378" s="4" t="s">
        <v>25</v>
      </c>
      <c r="F378" s="4" t="s">
        <v>25</v>
      </c>
      <c r="G378" s="4" t="s">
        <v>25</v>
      </c>
      <c r="H378" s="4" t="s">
        <v>39</v>
      </c>
      <c r="I378" s="5">
        <v>44621</v>
      </c>
      <c r="J378" s="6">
        <v>0</v>
      </c>
      <c r="K378" s="6">
        <v>0</v>
      </c>
      <c r="L378" s="6">
        <v>2.9000000000000001E-2</v>
      </c>
      <c r="M378" s="6">
        <v>2.9000000000000001E-2</v>
      </c>
      <c r="N378" s="6">
        <v>2.9000000000000001E-2</v>
      </c>
      <c r="O378" s="6">
        <v>2.9000000000000001E-2</v>
      </c>
      <c r="P378" s="6">
        <v>0</v>
      </c>
      <c r="Q378" s="4" t="s">
        <v>26</v>
      </c>
      <c r="R378" s="4">
        <v>0</v>
      </c>
      <c r="S378" s="4" t="s">
        <v>271</v>
      </c>
      <c r="T378" s="4" t="s">
        <v>444</v>
      </c>
      <c r="U378" s="4">
        <v>0</v>
      </c>
      <c r="V378" s="4">
        <v>65</v>
      </c>
      <c r="W378" s="4">
        <v>38</v>
      </c>
    </row>
    <row r="379" spans="1:23" ht="11.25" customHeight="1" x14ac:dyDescent="0.3">
      <c r="A379" s="4" t="s">
        <v>21</v>
      </c>
      <c r="B379" s="4" t="s">
        <v>35</v>
      </c>
      <c r="C379" s="4" t="s">
        <v>23</v>
      </c>
      <c r="D379" s="4" t="s">
        <v>40</v>
      </c>
      <c r="E379" s="4" t="s">
        <v>25</v>
      </c>
      <c r="F379" s="4" t="s">
        <v>25</v>
      </c>
      <c r="G379" s="4" t="s">
        <v>25</v>
      </c>
      <c r="H379" s="4" t="s">
        <v>25</v>
      </c>
      <c r="I379" s="5">
        <v>44287</v>
      </c>
      <c r="J379" s="6">
        <v>0</v>
      </c>
      <c r="K379" s="6">
        <v>0</v>
      </c>
      <c r="L379" s="6">
        <v>114.044</v>
      </c>
      <c r="M379" s="6">
        <v>114.044</v>
      </c>
      <c r="N379" s="6">
        <v>114.044</v>
      </c>
      <c r="O379" s="6">
        <v>114.044</v>
      </c>
      <c r="P379" s="6">
        <v>231</v>
      </c>
      <c r="Q379" s="4" t="s">
        <v>26</v>
      </c>
      <c r="R379" s="4">
        <v>0</v>
      </c>
      <c r="S379" s="4" t="s">
        <v>272</v>
      </c>
      <c r="T379" s="4" t="s">
        <v>445</v>
      </c>
      <c r="U379" s="4">
        <v>0</v>
      </c>
      <c r="V379" s="4">
        <v>17</v>
      </c>
      <c r="W379" s="4">
        <v>46</v>
      </c>
    </row>
    <row r="380" spans="1:23" ht="11.25" customHeight="1" x14ac:dyDescent="0.3">
      <c r="A380" s="4" t="s">
        <v>28</v>
      </c>
      <c r="B380" s="4" t="s">
        <v>35</v>
      </c>
      <c r="C380" s="4" t="s">
        <v>23</v>
      </c>
      <c r="D380" s="4" t="s">
        <v>40</v>
      </c>
      <c r="E380" s="4" t="s">
        <v>25</v>
      </c>
      <c r="F380" s="4" t="s">
        <v>25</v>
      </c>
      <c r="G380" s="4" t="s">
        <v>25</v>
      </c>
      <c r="H380" s="4" t="s">
        <v>25</v>
      </c>
      <c r="I380" s="5">
        <v>44287</v>
      </c>
      <c r="J380" s="6">
        <v>0</v>
      </c>
      <c r="K380" s="6">
        <v>0</v>
      </c>
      <c r="L380" s="6">
        <v>0.55000000000000004</v>
      </c>
      <c r="M380" s="6">
        <v>0.55000000000000004</v>
      </c>
      <c r="N380" s="6">
        <v>0.55000000000000004</v>
      </c>
      <c r="O380" s="6">
        <v>0.55000000000000004</v>
      </c>
      <c r="P380" s="6">
        <v>6</v>
      </c>
      <c r="Q380" s="4" t="s">
        <v>26</v>
      </c>
      <c r="R380" s="4">
        <v>0</v>
      </c>
      <c r="S380" s="4" t="s">
        <v>272</v>
      </c>
      <c r="T380" s="4" t="s">
        <v>445</v>
      </c>
      <c r="U380" s="4">
        <v>0</v>
      </c>
      <c r="V380" s="4">
        <v>17</v>
      </c>
      <c r="W380" s="4">
        <v>46</v>
      </c>
    </row>
    <row r="381" spans="1:23" ht="11.25" customHeight="1" x14ac:dyDescent="0.3">
      <c r="A381" s="4" t="s">
        <v>21</v>
      </c>
      <c r="B381" s="4" t="s">
        <v>35</v>
      </c>
      <c r="C381" s="4" t="s">
        <v>23</v>
      </c>
      <c r="D381" s="4" t="s">
        <v>40</v>
      </c>
      <c r="E381" s="4" t="s">
        <v>25</v>
      </c>
      <c r="F381" s="4" t="s">
        <v>25</v>
      </c>
      <c r="G381" s="4" t="s">
        <v>25</v>
      </c>
      <c r="H381" s="4" t="s">
        <v>25</v>
      </c>
      <c r="I381" s="5">
        <v>44317</v>
      </c>
      <c r="J381" s="6">
        <v>0</v>
      </c>
      <c r="K381" s="6">
        <v>0</v>
      </c>
      <c r="L381" s="6">
        <v>88.447000000000003</v>
      </c>
      <c r="M381" s="6">
        <v>88.447000000000003</v>
      </c>
      <c r="N381" s="6">
        <v>88.447000000000003</v>
      </c>
      <c r="O381" s="6">
        <v>88.447000000000003</v>
      </c>
      <c r="P381" s="6">
        <v>232</v>
      </c>
      <c r="Q381" s="4" t="s">
        <v>26</v>
      </c>
      <c r="R381" s="4">
        <v>0</v>
      </c>
      <c r="S381" s="4" t="s">
        <v>273</v>
      </c>
      <c r="T381" s="4" t="s">
        <v>446</v>
      </c>
      <c r="U381" s="4">
        <v>0</v>
      </c>
      <c r="V381" s="4">
        <v>17</v>
      </c>
      <c r="W381" s="4">
        <v>46</v>
      </c>
    </row>
    <row r="382" spans="1:23" ht="11.25" customHeight="1" x14ac:dyDescent="0.3">
      <c r="A382" s="4" t="s">
        <v>28</v>
      </c>
      <c r="B382" s="4" t="s">
        <v>35</v>
      </c>
      <c r="C382" s="4" t="s">
        <v>23</v>
      </c>
      <c r="D382" s="4" t="s">
        <v>40</v>
      </c>
      <c r="E382" s="4" t="s">
        <v>25</v>
      </c>
      <c r="F382" s="4" t="s">
        <v>25</v>
      </c>
      <c r="G382" s="4" t="s">
        <v>25</v>
      </c>
      <c r="H382" s="4" t="s">
        <v>25</v>
      </c>
      <c r="I382" s="5">
        <v>44317</v>
      </c>
      <c r="J382" s="6">
        <v>0</v>
      </c>
      <c r="K382" s="6">
        <v>0</v>
      </c>
      <c r="L382" s="6">
        <v>0.68600000000000005</v>
      </c>
      <c r="M382" s="6">
        <v>0.68600000000000005</v>
      </c>
      <c r="N382" s="6">
        <v>0.68600000000000005</v>
      </c>
      <c r="O382" s="6">
        <v>0.68600000000000005</v>
      </c>
      <c r="P382" s="6">
        <v>6</v>
      </c>
      <c r="Q382" s="4" t="s">
        <v>26</v>
      </c>
      <c r="R382" s="4">
        <v>0</v>
      </c>
      <c r="S382" s="4" t="s">
        <v>273</v>
      </c>
      <c r="T382" s="4" t="s">
        <v>446</v>
      </c>
      <c r="U382" s="4">
        <v>0</v>
      </c>
      <c r="V382" s="4">
        <v>17</v>
      </c>
      <c r="W382" s="4">
        <v>46</v>
      </c>
    </row>
    <row r="383" spans="1:23" ht="11.25" customHeight="1" x14ac:dyDescent="0.3">
      <c r="A383" s="4" t="s">
        <v>21</v>
      </c>
      <c r="B383" s="4" t="s">
        <v>35</v>
      </c>
      <c r="C383" s="4" t="s">
        <v>23</v>
      </c>
      <c r="D383" s="4" t="s">
        <v>40</v>
      </c>
      <c r="E383" s="4" t="s">
        <v>25</v>
      </c>
      <c r="F383" s="4" t="s">
        <v>25</v>
      </c>
      <c r="G383" s="4" t="s">
        <v>25</v>
      </c>
      <c r="H383" s="4" t="s">
        <v>25</v>
      </c>
      <c r="I383" s="5">
        <v>44348</v>
      </c>
      <c r="J383" s="6">
        <v>0</v>
      </c>
      <c r="K383" s="6">
        <v>0</v>
      </c>
      <c r="L383" s="6">
        <v>106.11</v>
      </c>
      <c r="M383" s="6">
        <v>106.11</v>
      </c>
      <c r="N383" s="6">
        <v>106.11</v>
      </c>
      <c r="O383" s="6">
        <v>106.11</v>
      </c>
      <c r="P383" s="6">
        <v>236</v>
      </c>
      <c r="Q383" s="4" t="s">
        <v>26</v>
      </c>
      <c r="R383" s="4">
        <v>0</v>
      </c>
      <c r="S383" s="4" t="s">
        <v>274</v>
      </c>
      <c r="T383" s="4" t="s">
        <v>447</v>
      </c>
      <c r="U383" s="4">
        <v>0</v>
      </c>
      <c r="V383" s="4">
        <v>17</v>
      </c>
      <c r="W383" s="4">
        <v>46</v>
      </c>
    </row>
    <row r="384" spans="1:23" ht="11.25" customHeight="1" x14ac:dyDescent="0.3">
      <c r="A384" s="4" t="s">
        <v>28</v>
      </c>
      <c r="B384" s="4" t="s">
        <v>35</v>
      </c>
      <c r="C384" s="4" t="s">
        <v>23</v>
      </c>
      <c r="D384" s="4" t="s">
        <v>40</v>
      </c>
      <c r="E384" s="4" t="s">
        <v>25</v>
      </c>
      <c r="F384" s="4" t="s">
        <v>25</v>
      </c>
      <c r="G384" s="4" t="s">
        <v>25</v>
      </c>
      <c r="H384" s="4" t="s">
        <v>25</v>
      </c>
      <c r="I384" s="5">
        <v>44348</v>
      </c>
      <c r="J384" s="6">
        <v>0</v>
      </c>
      <c r="K384" s="6">
        <v>0</v>
      </c>
      <c r="L384" s="6">
        <v>0.82799999999999996</v>
      </c>
      <c r="M384" s="6">
        <v>0.82799999999999996</v>
      </c>
      <c r="N384" s="6">
        <v>0.82799999999999996</v>
      </c>
      <c r="O384" s="6">
        <v>0.82799999999999996</v>
      </c>
      <c r="P384" s="6">
        <v>6</v>
      </c>
      <c r="Q384" s="4" t="s">
        <v>26</v>
      </c>
      <c r="R384" s="4">
        <v>0</v>
      </c>
      <c r="S384" s="4" t="s">
        <v>274</v>
      </c>
      <c r="T384" s="4" t="s">
        <v>447</v>
      </c>
      <c r="U384" s="4">
        <v>0</v>
      </c>
      <c r="V384" s="4">
        <v>17</v>
      </c>
      <c r="W384" s="4">
        <v>46</v>
      </c>
    </row>
    <row r="385" spans="1:23" ht="11.25" customHeight="1" x14ac:dyDescent="0.3">
      <c r="A385" s="4" t="s">
        <v>21</v>
      </c>
      <c r="B385" s="4" t="s">
        <v>35</v>
      </c>
      <c r="C385" s="4" t="s">
        <v>23</v>
      </c>
      <c r="D385" s="4" t="s">
        <v>40</v>
      </c>
      <c r="E385" s="4" t="s">
        <v>25</v>
      </c>
      <c r="F385" s="4" t="s">
        <v>25</v>
      </c>
      <c r="G385" s="4" t="s">
        <v>25</v>
      </c>
      <c r="H385" s="4" t="s">
        <v>25</v>
      </c>
      <c r="I385" s="5">
        <v>44378</v>
      </c>
      <c r="J385" s="6">
        <v>0</v>
      </c>
      <c r="K385" s="6">
        <v>0</v>
      </c>
      <c r="L385" s="6">
        <v>94.671000000000006</v>
      </c>
      <c r="M385" s="6">
        <v>94.671000000000006</v>
      </c>
      <c r="N385" s="6">
        <v>94.671000000000006</v>
      </c>
      <c r="O385" s="6">
        <v>94.671000000000006</v>
      </c>
      <c r="P385" s="6">
        <v>233</v>
      </c>
      <c r="Q385" s="4" t="s">
        <v>26</v>
      </c>
      <c r="R385" s="4">
        <v>0</v>
      </c>
      <c r="S385" s="4" t="s">
        <v>275</v>
      </c>
      <c r="T385" s="4" t="s">
        <v>448</v>
      </c>
      <c r="U385" s="4">
        <v>0</v>
      </c>
      <c r="V385" s="4">
        <v>17</v>
      </c>
      <c r="W385" s="4">
        <v>46</v>
      </c>
    </row>
    <row r="386" spans="1:23" ht="11.25" customHeight="1" x14ac:dyDescent="0.3">
      <c r="A386" s="4" t="s">
        <v>28</v>
      </c>
      <c r="B386" s="4" t="s">
        <v>35</v>
      </c>
      <c r="C386" s="4" t="s">
        <v>23</v>
      </c>
      <c r="D386" s="4" t="s">
        <v>40</v>
      </c>
      <c r="E386" s="4" t="s">
        <v>25</v>
      </c>
      <c r="F386" s="4" t="s">
        <v>25</v>
      </c>
      <c r="G386" s="4" t="s">
        <v>25</v>
      </c>
      <c r="H386" s="4" t="s">
        <v>25</v>
      </c>
      <c r="I386" s="5">
        <v>44378</v>
      </c>
      <c r="J386" s="6">
        <v>0</v>
      </c>
      <c r="K386" s="6">
        <v>0</v>
      </c>
      <c r="L386" s="6">
        <v>0.69599999999999995</v>
      </c>
      <c r="M386" s="6">
        <v>0.69599999999999995</v>
      </c>
      <c r="N386" s="6">
        <v>0.69599999999999995</v>
      </c>
      <c r="O386" s="6">
        <v>0.69599999999999995</v>
      </c>
      <c r="P386" s="6">
        <v>6</v>
      </c>
      <c r="Q386" s="4" t="s">
        <v>26</v>
      </c>
      <c r="R386" s="4">
        <v>0</v>
      </c>
      <c r="S386" s="4" t="s">
        <v>275</v>
      </c>
      <c r="T386" s="4" t="s">
        <v>448</v>
      </c>
      <c r="U386" s="4">
        <v>0</v>
      </c>
      <c r="V386" s="4">
        <v>17</v>
      </c>
      <c r="W386" s="4">
        <v>46</v>
      </c>
    </row>
    <row r="387" spans="1:23" ht="11.25" customHeight="1" x14ac:dyDescent="0.3">
      <c r="A387" s="4" t="s">
        <v>21</v>
      </c>
      <c r="B387" s="4" t="s">
        <v>35</v>
      </c>
      <c r="C387" s="4" t="s">
        <v>23</v>
      </c>
      <c r="D387" s="4" t="s">
        <v>40</v>
      </c>
      <c r="E387" s="4" t="s">
        <v>25</v>
      </c>
      <c r="F387" s="4" t="s">
        <v>25</v>
      </c>
      <c r="G387" s="4" t="s">
        <v>25</v>
      </c>
      <c r="H387" s="4" t="s">
        <v>25</v>
      </c>
      <c r="I387" s="5">
        <v>44409</v>
      </c>
      <c r="J387" s="6">
        <v>0</v>
      </c>
      <c r="K387" s="6">
        <v>0</v>
      </c>
      <c r="L387" s="6">
        <v>92.972999999999999</v>
      </c>
      <c r="M387" s="6">
        <v>92.972999999999999</v>
      </c>
      <c r="N387" s="6">
        <v>92.972999999999999</v>
      </c>
      <c r="O387" s="6">
        <v>92.972999999999999</v>
      </c>
      <c r="P387" s="6">
        <v>234</v>
      </c>
      <c r="Q387" s="4" t="s">
        <v>26</v>
      </c>
      <c r="R387" s="4">
        <v>0</v>
      </c>
      <c r="S387" s="4" t="s">
        <v>276</v>
      </c>
      <c r="T387" s="4" t="s">
        <v>449</v>
      </c>
      <c r="U387" s="4">
        <v>0</v>
      </c>
      <c r="V387" s="4">
        <v>17</v>
      </c>
      <c r="W387" s="4">
        <v>46</v>
      </c>
    </row>
    <row r="388" spans="1:23" ht="11.25" customHeight="1" x14ac:dyDescent="0.3">
      <c r="A388" s="4" t="s">
        <v>28</v>
      </c>
      <c r="B388" s="4" t="s">
        <v>35</v>
      </c>
      <c r="C388" s="4" t="s">
        <v>23</v>
      </c>
      <c r="D388" s="4" t="s">
        <v>40</v>
      </c>
      <c r="E388" s="4" t="s">
        <v>25</v>
      </c>
      <c r="F388" s="4" t="s">
        <v>25</v>
      </c>
      <c r="G388" s="4" t="s">
        <v>25</v>
      </c>
      <c r="H388" s="4" t="s">
        <v>25</v>
      </c>
      <c r="I388" s="5">
        <v>44409</v>
      </c>
      <c r="J388" s="6">
        <v>0</v>
      </c>
      <c r="K388" s="6">
        <v>0</v>
      </c>
      <c r="L388" s="6">
        <v>0.66</v>
      </c>
      <c r="M388" s="6">
        <v>0.66</v>
      </c>
      <c r="N388" s="6">
        <v>0.66</v>
      </c>
      <c r="O388" s="6">
        <v>0.66</v>
      </c>
      <c r="P388" s="6">
        <v>6</v>
      </c>
      <c r="Q388" s="4" t="s">
        <v>26</v>
      </c>
      <c r="R388" s="4">
        <v>0</v>
      </c>
      <c r="S388" s="4" t="s">
        <v>276</v>
      </c>
      <c r="T388" s="4" t="s">
        <v>449</v>
      </c>
      <c r="U388" s="4">
        <v>0</v>
      </c>
      <c r="V388" s="4">
        <v>17</v>
      </c>
      <c r="W388" s="4">
        <v>46</v>
      </c>
    </row>
    <row r="389" spans="1:23" ht="11.25" customHeight="1" x14ac:dyDescent="0.3">
      <c r="A389" s="4" t="s">
        <v>21</v>
      </c>
      <c r="B389" s="4" t="s">
        <v>35</v>
      </c>
      <c r="C389" s="4" t="s">
        <v>23</v>
      </c>
      <c r="D389" s="4" t="s">
        <v>40</v>
      </c>
      <c r="E389" s="4" t="s">
        <v>25</v>
      </c>
      <c r="F389" s="4" t="s">
        <v>25</v>
      </c>
      <c r="G389" s="4" t="s">
        <v>25</v>
      </c>
      <c r="H389" s="4" t="s">
        <v>25</v>
      </c>
      <c r="I389" s="5">
        <v>44440</v>
      </c>
      <c r="J389" s="6">
        <v>0</v>
      </c>
      <c r="K389" s="6">
        <v>0</v>
      </c>
      <c r="L389" s="6">
        <v>97.465000000000003</v>
      </c>
      <c r="M389" s="6">
        <v>97.465000000000003</v>
      </c>
      <c r="N389" s="6">
        <v>97.465000000000003</v>
      </c>
      <c r="O389" s="6">
        <v>97.465000000000003</v>
      </c>
      <c r="P389" s="6">
        <v>236</v>
      </c>
      <c r="Q389" s="4" t="s">
        <v>26</v>
      </c>
      <c r="R389" s="4">
        <v>0</v>
      </c>
      <c r="S389" s="4" t="s">
        <v>277</v>
      </c>
      <c r="T389" s="4" t="s">
        <v>450</v>
      </c>
      <c r="U389" s="4">
        <v>0</v>
      </c>
      <c r="V389" s="4">
        <v>17</v>
      </c>
      <c r="W389" s="4">
        <v>46</v>
      </c>
    </row>
    <row r="390" spans="1:23" ht="11.25" customHeight="1" x14ac:dyDescent="0.3">
      <c r="A390" s="4" t="s">
        <v>28</v>
      </c>
      <c r="B390" s="4" t="s">
        <v>35</v>
      </c>
      <c r="C390" s="4" t="s">
        <v>23</v>
      </c>
      <c r="D390" s="4" t="s">
        <v>40</v>
      </c>
      <c r="E390" s="4" t="s">
        <v>25</v>
      </c>
      <c r="F390" s="4" t="s">
        <v>25</v>
      </c>
      <c r="G390" s="4" t="s">
        <v>25</v>
      </c>
      <c r="H390" s="4" t="s">
        <v>25</v>
      </c>
      <c r="I390" s="5">
        <v>44440</v>
      </c>
      <c r="J390" s="6">
        <v>0</v>
      </c>
      <c r="K390" s="6">
        <v>0</v>
      </c>
      <c r="L390" s="6">
        <v>1.004</v>
      </c>
      <c r="M390" s="6">
        <v>1.004</v>
      </c>
      <c r="N390" s="6">
        <v>1.004</v>
      </c>
      <c r="O390" s="6">
        <v>1.004</v>
      </c>
      <c r="P390" s="6">
        <v>7</v>
      </c>
      <c r="Q390" s="4" t="s">
        <v>26</v>
      </c>
      <c r="R390" s="4">
        <v>0</v>
      </c>
      <c r="S390" s="4" t="s">
        <v>277</v>
      </c>
      <c r="T390" s="4" t="s">
        <v>450</v>
      </c>
      <c r="U390" s="4">
        <v>0</v>
      </c>
      <c r="V390" s="4">
        <v>17</v>
      </c>
      <c r="W390" s="4">
        <v>46</v>
      </c>
    </row>
    <row r="391" spans="1:23" ht="11.25" customHeight="1" x14ac:dyDescent="0.3">
      <c r="A391" s="4" t="s">
        <v>21</v>
      </c>
      <c r="B391" s="4" t="s">
        <v>35</v>
      </c>
      <c r="C391" s="4" t="s">
        <v>23</v>
      </c>
      <c r="D391" s="4" t="s">
        <v>40</v>
      </c>
      <c r="E391" s="4" t="s">
        <v>25</v>
      </c>
      <c r="F391" s="4" t="s">
        <v>25</v>
      </c>
      <c r="G391" s="4" t="s">
        <v>25</v>
      </c>
      <c r="H391" s="4" t="s">
        <v>25</v>
      </c>
      <c r="I391" s="5">
        <v>44470</v>
      </c>
      <c r="J391" s="6">
        <v>0</v>
      </c>
      <c r="K391" s="6">
        <v>0</v>
      </c>
      <c r="L391" s="6">
        <v>102.13800000000001</v>
      </c>
      <c r="M391" s="6">
        <v>102.13800000000001</v>
      </c>
      <c r="N391" s="6">
        <v>102.13800000000001</v>
      </c>
      <c r="O391" s="6">
        <v>102.13800000000001</v>
      </c>
      <c r="P391" s="6">
        <v>237</v>
      </c>
      <c r="Q391" s="4" t="s">
        <v>26</v>
      </c>
      <c r="R391" s="4">
        <v>0</v>
      </c>
      <c r="S391" s="4" t="s">
        <v>278</v>
      </c>
      <c r="T391" s="4" t="s">
        <v>451</v>
      </c>
      <c r="U391" s="4">
        <v>0</v>
      </c>
      <c r="V391" s="4">
        <v>17</v>
      </c>
      <c r="W391" s="4">
        <v>46</v>
      </c>
    </row>
    <row r="392" spans="1:23" ht="11.25" customHeight="1" x14ac:dyDescent="0.3">
      <c r="A392" s="4" t="s">
        <v>28</v>
      </c>
      <c r="B392" s="4" t="s">
        <v>35</v>
      </c>
      <c r="C392" s="4" t="s">
        <v>23</v>
      </c>
      <c r="D392" s="4" t="s">
        <v>40</v>
      </c>
      <c r="E392" s="4" t="s">
        <v>25</v>
      </c>
      <c r="F392" s="4" t="s">
        <v>25</v>
      </c>
      <c r="G392" s="4" t="s">
        <v>25</v>
      </c>
      <c r="H392" s="4" t="s">
        <v>25</v>
      </c>
      <c r="I392" s="5">
        <v>44470</v>
      </c>
      <c r="J392" s="6">
        <v>0</v>
      </c>
      <c r="K392" s="6">
        <v>0</v>
      </c>
      <c r="L392" s="6">
        <v>0.91300000000000003</v>
      </c>
      <c r="M392" s="6">
        <v>0.91300000000000003</v>
      </c>
      <c r="N392" s="6">
        <v>0.91300000000000003</v>
      </c>
      <c r="O392" s="6">
        <v>0.91300000000000003</v>
      </c>
      <c r="P392" s="6">
        <v>7</v>
      </c>
      <c r="Q392" s="4" t="s">
        <v>26</v>
      </c>
      <c r="R392" s="4">
        <v>0</v>
      </c>
      <c r="S392" s="4" t="s">
        <v>278</v>
      </c>
      <c r="T392" s="4" t="s">
        <v>451</v>
      </c>
      <c r="U392" s="4">
        <v>0</v>
      </c>
      <c r="V392" s="4">
        <v>17</v>
      </c>
      <c r="W392" s="4">
        <v>46</v>
      </c>
    </row>
    <row r="393" spans="1:23" ht="11.25" customHeight="1" x14ac:dyDescent="0.3">
      <c r="A393" s="4" t="s">
        <v>21</v>
      </c>
      <c r="B393" s="4" t="s">
        <v>35</v>
      </c>
      <c r="C393" s="4" t="s">
        <v>23</v>
      </c>
      <c r="D393" s="4" t="s">
        <v>40</v>
      </c>
      <c r="E393" s="4" t="s">
        <v>25</v>
      </c>
      <c r="F393" s="4" t="s">
        <v>25</v>
      </c>
      <c r="G393" s="4" t="s">
        <v>25</v>
      </c>
      <c r="H393" s="4" t="s">
        <v>25</v>
      </c>
      <c r="I393" s="5">
        <v>44501</v>
      </c>
      <c r="J393" s="6">
        <v>0</v>
      </c>
      <c r="K393" s="6">
        <v>0</v>
      </c>
      <c r="L393" s="6">
        <v>98.225999999999999</v>
      </c>
      <c r="M393" s="6">
        <v>98.225999999999999</v>
      </c>
      <c r="N393" s="6">
        <v>98.225999999999999</v>
      </c>
      <c r="O393" s="6">
        <v>98.225999999999999</v>
      </c>
      <c r="P393" s="6">
        <v>238</v>
      </c>
      <c r="Q393" s="4" t="s">
        <v>26</v>
      </c>
      <c r="R393" s="4">
        <v>0</v>
      </c>
      <c r="S393" s="4" t="s">
        <v>279</v>
      </c>
      <c r="T393" s="4" t="s">
        <v>452</v>
      </c>
      <c r="U393" s="4">
        <v>0</v>
      </c>
      <c r="V393" s="4">
        <v>17</v>
      </c>
      <c r="W393" s="4">
        <v>46</v>
      </c>
    </row>
    <row r="394" spans="1:23" ht="11.25" customHeight="1" x14ac:dyDescent="0.3">
      <c r="A394" s="4" t="s">
        <v>28</v>
      </c>
      <c r="B394" s="4" t="s">
        <v>35</v>
      </c>
      <c r="C394" s="4" t="s">
        <v>23</v>
      </c>
      <c r="D394" s="4" t="s">
        <v>40</v>
      </c>
      <c r="E394" s="4" t="s">
        <v>25</v>
      </c>
      <c r="F394" s="4" t="s">
        <v>25</v>
      </c>
      <c r="G394" s="4" t="s">
        <v>25</v>
      </c>
      <c r="H394" s="4" t="s">
        <v>25</v>
      </c>
      <c r="I394" s="5">
        <v>44501</v>
      </c>
      <c r="J394" s="6">
        <v>0</v>
      </c>
      <c r="K394" s="6">
        <v>0</v>
      </c>
      <c r="L394" s="6">
        <v>0.94199999999999995</v>
      </c>
      <c r="M394" s="6">
        <v>0.94199999999999995</v>
      </c>
      <c r="N394" s="6">
        <v>0.94199999999999995</v>
      </c>
      <c r="O394" s="6">
        <v>0.94199999999999995</v>
      </c>
      <c r="P394" s="6">
        <v>7</v>
      </c>
      <c r="Q394" s="4" t="s">
        <v>26</v>
      </c>
      <c r="R394" s="4">
        <v>0</v>
      </c>
      <c r="S394" s="4" t="s">
        <v>279</v>
      </c>
      <c r="T394" s="4" t="s">
        <v>452</v>
      </c>
      <c r="U394" s="4">
        <v>0</v>
      </c>
      <c r="V394" s="4">
        <v>17</v>
      </c>
      <c r="W394" s="4">
        <v>46</v>
      </c>
    </row>
    <row r="395" spans="1:23" ht="11.25" customHeight="1" x14ac:dyDescent="0.3">
      <c r="A395" s="4" t="s">
        <v>21</v>
      </c>
      <c r="B395" s="4" t="s">
        <v>35</v>
      </c>
      <c r="C395" s="4" t="s">
        <v>23</v>
      </c>
      <c r="D395" s="4" t="s">
        <v>40</v>
      </c>
      <c r="E395" s="4" t="s">
        <v>25</v>
      </c>
      <c r="F395" s="4" t="s">
        <v>25</v>
      </c>
      <c r="G395" s="4" t="s">
        <v>25</v>
      </c>
      <c r="H395" s="4" t="s">
        <v>25</v>
      </c>
      <c r="I395" s="5">
        <v>44531</v>
      </c>
      <c r="J395" s="6">
        <v>0</v>
      </c>
      <c r="K395" s="6">
        <v>0</v>
      </c>
      <c r="L395" s="6">
        <v>108.366</v>
      </c>
      <c r="M395" s="6">
        <v>108.366</v>
      </c>
      <c r="N395" s="6">
        <v>108.366</v>
      </c>
      <c r="O395" s="6">
        <v>108.366</v>
      </c>
      <c r="P395" s="6">
        <v>237</v>
      </c>
      <c r="Q395" s="4" t="s">
        <v>26</v>
      </c>
      <c r="R395" s="4">
        <v>0</v>
      </c>
      <c r="S395" s="4" t="s">
        <v>280</v>
      </c>
      <c r="T395" s="4" t="s">
        <v>453</v>
      </c>
      <c r="U395" s="4">
        <v>0</v>
      </c>
      <c r="V395" s="4">
        <v>17</v>
      </c>
      <c r="W395" s="4">
        <v>46</v>
      </c>
    </row>
    <row r="396" spans="1:23" ht="11.25" customHeight="1" x14ac:dyDescent="0.3">
      <c r="A396" s="4" t="s">
        <v>28</v>
      </c>
      <c r="B396" s="4" t="s">
        <v>35</v>
      </c>
      <c r="C396" s="4" t="s">
        <v>23</v>
      </c>
      <c r="D396" s="4" t="s">
        <v>40</v>
      </c>
      <c r="E396" s="4" t="s">
        <v>25</v>
      </c>
      <c r="F396" s="4" t="s">
        <v>25</v>
      </c>
      <c r="G396" s="4" t="s">
        <v>25</v>
      </c>
      <c r="H396" s="4" t="s">
        <v>25</v>
      </c>
      <c r="I396" s="5">
        <v>44531</v>
      </c>
      <c r="J396" s="6">
        <v>0</v>
      </c>
      <c r="K396" s="6">
        <v>0</v>
      </c>
      <c r="L396" s="6">
        <v>1.165</v>
      </c>
      <c r="M396" s="6">
        <v>1.165</v>
      </c>
      <c r="N396" s="6">
        <v>1.165</v>
      </c>
      <c r="O396" s="6">
        <v>1.165</v>
      </c>
      <c r="P396" s="6">
        <v>7</v>
      </c>
      <c r="Q396" s="4" t="s">
        <v>26</v>
      </c>
      <c r="R396" s="4">
        <v>0</v>
      </c>
      <c r="S396" s="4" t="s">
        <v>280</v>
      </c>
      <c r="T396" s="4" t="s">
        <v>453</v>
      </c>
      <c r="U396" s="4">
        <v>0</v>
      </c>
      <c r="V396" s="4">
        <v>17</v>
      </c>
      <c r="W396" s="4">
        <v>46</v>
      </c>
    </row>
    <row r="397" spans="1:23" ht="11.25" customHeight="1" x14ac:dyDescent="0.3">
      <c r="A397" s="4" t="s">
        <v>21</v>
      </c>
      <c r="B397" s="4" t="s">
        <v>35</v>
      </c>
      <c r="C397" s="4" t="s">
        <v>23</v>
      </c>
      <c r="D397" s="4" t="s">
        <v>40</v>
      </c>
      <c r="E397" s="4" t="s">
        <v>25</v>
      </c>
      <c r="F397" s="4" t="s">
        <v>25</v>
      </c>
      <c r="G397" s="4" t="s">
        <v>25</v>
      </c>
      <c r="H397" s="4" t="s">
        <v>25</v>
      </c>
      <c r="I397" s="5">
        <v>44562</v>
      </c>
      <c r="J397" s="6">
        <v>0</v>
      </c>
      <c r="K397" s="6">
        <v>0</v>
      </c>
      <c r="L397" s="6">
        <v>130.41300000000001</v>
      </c>
      <c r="M397" s="6">
        <v>130.41300000000001</v>
      </c>
      <c r="N397" s="6">
        <v>130.41300000000001</v>
      </c>
      <c r="O397" s="6">
        <v>130.41300000000001</v>
      </c>
      <c r="P397" s="6">
        <v>239</v>
      </c>
      <c r="Q397" s="4" t="s">
        <v>26</v>
      </c>
      <c r="R397" s="4">
        <v>0</v>
      </c>
      <c r="S397" s="4" t="s">
        <v>281</v>
      </c>
      <c r="T397" s="4" t="s">
        <v>454</v>
      </c>
      <c r="U397" s="4">
        <v>0</v>
      </c>
      <c r="V397" s="4">
        <v>17</v>
      </c>
      <c r="W397" s="4">
        <v>46</v>
      </c>
    </row>
    <row r="398" spans="1:23" ht="11.25" customHeight="1" x14ac:dyDescent="0.3">
      <c r="A398" s="4" t="s">
        <v>27</v>
      </c>
      <c r="B398" s="4" t="s">
        <v>35</v>
      </c>
      <c r="C398" s="4" t="s">
        <v>23</v>
      </c>
      <c r="D398" s="4" t="s">
        <v>40</v>
      </c>
      <c r="E398" s="4" t="s">
        <v>25</v>
      </c>
      <c r="F398" s="4" t="s">
        <v>25</v>
      </c>
      <c r="G398" s="4" t="s">
        <v>25</v>
      </c>
      <c r="H398" s="4" t="s">
        <v>25</v>
      </c>
      <c r="I398" s="5">
        <v>44562</v>
      </c>
      <c r="J398" s="6">
        <v>0</v>
      </c>
      <c r="K398" s="6">
        <v>0</v>
      </c>
      <c r="L398" s="6">
        <v>-0.35799999999999998</v>
      </c>
      <c r="M398" s="6">
        <v>-0.35799999999999998</v>
      </c>
      <c r="N398" s="6">
        <v>-0.35799999999999998</v>
      </c>
      <c r="O398" s="6">
        <v>-0.35799999999999998</v>
      </c>
      <c r="P398" s="6">
        <v>0</v>
      </c>
      <c r="Q398" s="4" t="s">
        <v>26</v>
      </c>
      <c r="R398" s="4">
        <v>0</v>
      </c>
      <c r="S398" s="4" t="s">
        <v>281</v>
      </c>
      <c r="T398" s="4" t="s">
        <v>454</v>
      </c>
      <c r="U398" s="4">
        <v>0</v>
      </c>
      <c r="V398" s="4">
        <v>17</v>
      </c>
      <c r="W398" s="4">
        <v>46</v>
      </c>
    </row>
    <row r="399" spans="1:23" ht="11.25" customHeight="1" x14ac:dyDescent="0.3">
      <c r="A399" s="4" t="s">
        <v>28</v>
      </c>
      <c r="B399" s="4" t="s">
        <v>35</v>
      </c>
      <c r="C399" s="4" t="s">
        <v>23</v>
      </c>
      <c r="D399" s="4" t="s">
        <v>40</v>
      </c>
      <c r="E399" s="4" t="s">
        <v>25</v>
      </c>
      <c r="F399" s="4" t="s">
        <v>25</v>
      </c>
      <c r="G399" s="4" t="s">
        <v>25</v>
      </c>
      <c r="H399" s="4" t="s">
        <v>25</v>
      </c>
      <c r="I399" s="5">
        <v>44562</v>
      </c>
      <c r="J399" s="6">
        <v>0</v>
      </c>
      <c r="K399" s="6">
        <v>0</v>
      </c>
      <c r="L399" s="6">
        <v>1.49</v>
      </c>
      <c r="M399" s="6">
        <v>1.49</v>
      </c>
      <c r="N399" s="6">
        <v>1.49</v>
      </c>
      <c r="O399" s="6">
        <v>1.49</v>
      </c>
      <c r="P399" s="6">
        <v>7</v>
      </c>
      <c r="Q399" s="4" t="s">
        <v>26</v>
      </c>
      <c r="R399" s="4">
        <v>0</v>
      </c>
      <c r="S399" s="4" t="s">
        <v>281</v>
      </c>
      <c r="T399" s="4" t="s">
        <v>454</v>
      </c>
      <c r="U399" s="4">
        <v>0</v>
      </c>
      <c r="V399" s="4">
        <v>17</v>
      </c>
      <c r="W399" s="4">
        <v>46</v>
      </c>
    </row>
    <row r="400" spans="1:23" ht="11.25" customHeight="1" x14ac:dyDescent="0.3">
      <c r="A400" s="4" t="s">
        <v>21</v>
      </c>
      <c r="B400" s="4" t="s">
        <v>35</v>
      </c>
      <c r="C400" s="4" t="s">
        <v>23</v>
      </c>
      <c r="D400" s="4" t="s">
        <v>40</v>
      </c>
      <c r="E400" s="4" t="s">
        <v>25</v>
      </c>
      <c r="F400" s="4" t="s">
        <v>25</v>
      </c>
      <c r="G400" s="4" t="s">
        <v>25</v>
      </c>
      <c r="H400" s="4" t="s">
        <v>25</v>
      </c>
      <c r="I400" s="5">
        <v>44593</v>
      </c>
      <c r="J400" s="6">
        <v>0</v>
      </c>
      <c r="K400" s="6">
        <v>0</v>
      </c>
      <c r="L400" s="6">
        <v>119.22199999999999</v>
      </c>
      <c r="M400" s="6">
        <v>119.22199999999999</v>
      </c>
      <c r="N400" s="6">
        <v>119.22199999999999</v>
      </c>
      <c r="O400" s="6">
        <v>119.22199999999999</v>
      </c>
      <c r="P400" s="6">
        <v>239</v>
      </c>
      <c r="Q400" s="4" t="s">
        <v>26</v>
      </c>
      <c r="R400" s="4">
        <v>0</v>
      </c>
      <c r="S400" s="4" t="s">
        <v>282</v>
      </c>
      <c r="T400" s="4" t="s">
        <v>455</v>
      </c>
      <c r="U400" s="4">
        <v>0</v>
      </c>
      <c r="V400" s="4">
        <v>17</v>
      </c>
      <c r="W400" s="4">
        <v>46</v>
      </c>
    </row>
    <row r="401" spans="1:23" ht="11.25" customHeight="1" x14ac:dyDescent="0.3">
      <c r="A401" s="4" t="s">
        <v>28</v>
      </c>
      <c r="B401" s="4" t="s">
        <v>35</v>
      </c>
      <c r="C401" s="4" t="s">
        <v>23</v>
      </c>
      <c r="D401" s="4" t="s">
        <v>40</v>
      </c>
      <c r="E401" s="4" t="s">
        <v>25</v>
      </c>
      <c r="F401" s="4" t="s">
        <v>25</v>
      </c>
      <c r="G401" s="4" t="s">
        <v>25</v>
      </c>
      <c r="H401" s="4" t="s">
        <v>25</v>
      </c>
      <c r="I401" s="5">
        <v>44593</v>
      </c>
      <c r="J401" s="6">
        <v>0</v>
      </c>
      <c r="K401" s="6">
        <v>0</v>
      </c>
      <c r="L401" s="6">
        <v>2.5470000000000002</v>
      </c>
      <c r="M401" s="6">
        <v>2.5470000000000002</v>
      </c>
      <c r="N401" s="6">
        <v>2.5470000000000002</v>
      </c>
      <c r="O401" s="6">
        <v>2.5470000000000002</v>
      </c>
      <c r="P401" s="6">
        <v>7</v>
      </c>
      <c r="Q401" s="4" t="s">
        <v>26</v>
      </c>
      <c r="R401" s="4">
        <v>0</v>
      </c>
      <c r="S401" s="4" t="s">
        <v>282</v>
      </c>
      <c r="T401" s="4" t="s">
        <v>455</v>
      </c>
      <c r="U401" s="4">
        <v>0</v>
      </c>
      <c r="V401" s="4">
        <v>17</v>
      </c>
      <c r="W401" s="4">
        <v>46</v>
      </c>
    </row>
    <row r="402" spans="1:23" ht="11.25" customHeight="1" x14ac:dyDescent="0.3">
      <c r="A402" s="4" t="s">
        <v>21</v>
      </c>
      <c r="B402" s="4" t="s">
        <v>35</v>
      </c>
      <c r="C402" s="4" t="s">
        <v>23</v>
      </c>
      <c r="D402" s="4" t="s">
        <v>40</v>
      </c>
      <c r="E402" s="4" t="s">
        <v>25</v>
      </c>
      <c r="F402" s="4" t="s">
        <v>25</v>
      </c>
      <c r="G402" s="4" t="s">
        <v>25</v>
      </c>
      <c r="H402" s="4" t="s">
        <v>25</v>
      </c>
      <c r="I402" s="5">
        <v>44621</v>
      </c>
      <c r="J402" s="6">
        <v>0</v>
      </c>
      <c r="K402" s="6">
        <v>0</v>
      </c>
      <c r="L402" s="6">
        <v>124.955</v>
      </c>
      <c r="M402" s="6">
        <v>124.955</v>
      </c>
      <c r="N402" s="6">
        <v>124.955</v>
      </c>
      <c r="O402" s="6">
        <v>124.955</v>
      </c>
      <c r="P402" s="6">
        <v>238</v>
      </c>
      <c r="Q402" s="4" t="s">
        <v>26</v>
      </c>
      <c r="R402" s="4">
        <v>0</v>
      </c>
      <c r="S402" s="4" t="s">
        <v>283</v>
      </c>
      <c r="T402" s="4" t="s">
        <v>456</v>
      </c>
      <c r="U402" s="4">
        <v>0</v>
      </c>
      <c r="V402" s="4">
        <v>17</v>
      </c>
      <c r="W402" s="4">
        <v>46</v>
      </c>
    </row>
    <row r="403" spans="1:23" ht="11.25" customHeight="1" x14ac:dyDescent="0.3">
      <c r="A403" s="4" t="s">
        <v>28</v>
      </c>
      <c r="B403" s="4" t="s">
        <v>35</v>
      </c>
      <c r="C403" s="4" t="s">
        <v>23</v>
      </c>
      <c r="D403" s="4" t="s">
        <v>40</v>
      </c>
      <c r="E403" s="4" t="s">
        <v>25</v>
      </c>
      <c r="F403" s="4" t="s">
        <v>25</v>
      </c>
      <c r="G403" s="4" t="s">
        <v>25</v>
      </c>
      <c r="H403" s="4" t="s">
        <v>25</v>
      </c>
      <c r="I403" s="5">
        <v>44621</v>
      </c>
      <c r="J403" s="6">
        <v>0</v>
      </c>
      <c r="K403" s="6">
        <v>0</v>
      </c>
      <c r="L403" s="6">
        <v>3.899</v>
      </c>
      <c r="M403" s="6">
        <v>3.899</v>
      </c>
      <c r="N403" s="6">
        <v>3.899</v>
      </c>
      <c r="O403" s="6">
        <v>3.899</v>
      </c>
      <c r="P403" s="6">
        <v>7</v>
      </c>
      <c r="Q403" s="4" t="s">
        <v>26</v>
      </c>
      <c r="R403" s="4">
        <v>0</v>
      </c>
      <c r="S403" s="4" t="s">
        <v>283</v>
      </c>
      <c r="T403" s="4" t="s">
        <v>456</v>
      </c>
      <c r="U403" s="4">
        <v>0</v>
      </c>
      <c r="V403" s="4">
        <v>17</v>
      </c>
      <c r="W403" s="4">
        <v>46</v>
      </c>
    </row>
    <row r="404" spans="1:23" ht="11.25" customHeight="1" x14ac:dyDescent="0.3">
      <c r="A404" s="4" t="s">
        <v>21</v>
      </c>
      <c r="B404" s="4" t="s">
        <v>35</v>
      </c>
      <c r="C404" s="4" t="s">
        <v>23</v>
      </c>
      <c r="D404" s="4" t="s">
        <v>51</v>
      </c>
      <c r="E404" s="4" t="s">
        <v>25</v>
      </c>
      <c r="F404" s="4" t="s">
        <v>25</v>
      </c>
      <c r="G404" s="4" t="s">
        <v>25</v>
      </c>
      <c r="H404" s="4" t="s">
        <v>25</v>
      </c>
      <c r="I404" s="5">
        <v>44287</v>
      </c>
      <c r="J404" s="6">
        <v>0</v>
      </c>
      <c r="K404" s="6">
        <v>0</v>
      </c>
      <c r="L404" s="6">
        <v>3.5999999999999997E-2</v>
      </c>
      <c r="M404" s="6">
        <v>3.5999999999999997E-2</v>
      </c>
      <c r="N404" s="6">
        <v>3.5999999999999997E-2</v>
      </c>
      <c r="O404" s="6">
        <v>3.5999999999999997E-2</v>
      </c>
      <c r="P404" s="6">
        <v>1</v>
      </c>
      <c r="Q404" s="4" t="s">
        <v>26</v>
      </c>
      <c r="R404" s="4">
        <v>0</v>
      </c>
      <c r="S404" s="4" t="s">
        <v>272</v>
      </c>
      <c r="T404" s="4" t="s">
        <v>445</v>
      </c>
      <c r="U404" s="4">
        <v>0</v>
      </c>
      <c r="V404" s="4">
        <v>17</v>
      </c>
      <c r="W404" s="4">
        <v>46</v>
      </c>
    </row>
    <row r="405" spans="1:23" ht="11.25" customHeight="1" x14ac:dyDescent="0.3">
      <c r="A405" s="4" t="s">
        <v>21</v>
      </c>
      <c r="B405" s="4" t="s">
        <v>35</v>
      </c>
      <c r="C405" s="4" t="s">
        <v>23</v>
      </c>
      <c r="D405" s="4" t="s">
        <v>51</v>
      </c>
      <c r="E405" s="4" t="s">
        <v>25</v>
      </c>
      <c r="F405" s="4" t="s">
        <v>25</v>
      </c>
      <c r="G405" s="4" t="s">
        <v>25</v>
      </c>
      <c r="H405" s="4" t="s">
        <v>25</v>
      </c>
      <c r="I405" s="5">
        <v>44317</v>
      </c>
      <c r="J405" s="6">
        <v>0</v>
      </c>
      <c r="K405" s="6">
        <v>0</v>
      </c>
      <c r="L405" s="6">
        <v>3.1E-2</v>
      </c>
      <c r="M405" s="6">
        <v>3.1E-2</v>
      </c>
      <c r="N405" s="6">
        <v>3.1E-2</v>
      </c>
      <c r="O405" s="6">
        <v>3.1E-2</v>
      </c>
      <c r="P405" s="6">
        <v>1</v>
      </c>
      <c r="Q405" s="4" t="s">
        <v>26</v>
      </c>
      <c r="R405" s="4">
        <v>0</v>
      </c>
      <c r="S405" s="4" t="s">
        <v>273</v>
      </c>
      <c r="T405" s="4" t="s">
        <v>446</v>
      </c>
      <c r="U405" s="4">
        <v>0</v>
      </c>
      <c r="V405" s="4">
        <v>17</v>
      </c>
      <c r="W405" s="4">
        <v>46</v>
      </c>
    </row>
    <row r="406" spans="1:23" ht="11.25" customHeight="1" x14ac:dyDescent="0.3">
      <c r="A406" s="4" t="s">
        <v>21</v>
      </c>
      <c r="B406" s="4" t="s">
        <v>35</v>
      </c>
      <c r="C406" s="4" t="s">
        <v>23</v>
      </c>
      <c r="D406" s="4" t="s">
        <v>51</v>
      </c>
      <c r="E406" s="4" t="s">
        <v>25</v>
      </c>
      <c r="F406" s="4" t="s">
        <v>25</v>
      </c>
      <c r="G406" s="4" t="s">
        <v>25</v>
      </c>
      <c r="H406" s="4" t="s">
        <v>25</v>
      </c>
      <c r="I406" s="5">
        <v>44348</v>
      </c>
      <c r="J406" s="6">
        <v>0</v>
      </c>
      <c r="K406" s="6">
        <v>0</v>
      </c>
      <c r="L406" s="6">
        <v>3.5000000000000003E-2</v>
      </c>
      <c r="M406" s="6">
        <v>3.5000000000000003E-2</v>
      </c>
      <c r="N406" s="6">
        <v>3.5000000000000003E-2</v>
      </c>
      <c r="O406" s="6">
        <v>3.5000000000000003E-2</v>
      </c>
      <c r="P406" s="6">
        <v>1</v>
      </c>
      <c r="Q406" s="4" t="s">
        <v>26</v>
      </c>
      <c r="R406" s="4">
        <v>0</v>
      </c>
      <c r="S406" s="4" t="s">
        <v>274</v>
      </c>
      <c r="T406" s="4" t="s">
        <v>447</v>
      </c>
      <c r="U406" s="4">
        <v>0</v>
      </c>
      <c r="V406" s="4">
        <v>17</v>
      </c>
      <c r="W406" s="4">
        <v>46</v>
      </c>
    </row>
    <row r="407" spans="1:23" ht="11.25" customHeight="1" x14ac:dyDescent="0.3">
      <c r="A407" s="4" t="s">
        <v>21</v>
      </c>
      <c r="B407" s="4" t="s">
        <v>35</v>
      </c>
      <c r="C407" s="4" t="s">
        <v>23</v>
      </c>
      <c r="D407" s="4" t="s">
        <v>51</v>
      </c>
      <c r="E407" s="4" t="s">
        <v>25</v>
      </c>
      <c r="F407" s="4" t="s">
        <v>25</v>
      </c>
      <c r="G407" s="4" t="s">
        <v>25</v>
      </c>
      <c r="H407" s="4" t="s">
        <v>25</v>
      </c>
      <c r="I407" s="5">
        <v>44378</v>
      </c>
      <c r="J407" s="6">
        <v>0</v>
      </c>
      <c r="K407" s="6">
        <v>0</v>
      </c>
      <c r="L407" s="6">
        <v>0.03</v>
      </c>
      <c r="M407" s="6">
        <v>0.03</v>
      </c>
      <c r="N407" s="6">
        <v>0.03</v>
      </c>
      <c r="O407" s="6">
        <v>0.03</v>
      </c>
      <c r="P407" s="6">
        <v>1</v>
      </c>
      <c r="Q407" s="4" t="s">
        <v>26</v>
      </c>
      <c r="R407" s="4">
        <v>0</v>
      </c>
      <c r="S407" s="4" t="s">
        <v>275</v>
      </c>
      <c r="T407" s="4" t="s">
        <v>448</v>
      </c>
      <c r="U407" s="4">
        <v>0</v>
      </c>
      <c r="V407" s="4">
        <v>17</v>
      </c>
      <c r="W407" s="4">
        <v>46</v>
      </c>
    </row>
    <row r="408" spans="1:23" ht="11.25" customHeight="1" x14ac:dyDescent="0.3">
      <c r="A408" s="4" t="s">
        <v>21</v>
      </c>
      <c r="B408" s="4" t="s">
        <v>35</v>
      </c>
      <c r="C408" s="4" t="s">
        <v>23</v>
      </c>
      <c r="D408" s="4" t="s">
        <v>51</v>
      </c>
      <c r="E408" s="4" t="s">
        <v>25</v>
      </c>
      <c r="F408" s="4" t="s">
        <v>25</v>
      </c>
      <c r="G408" s="4" t="s">
        <v>25</v>
      </c>
      <c r="H408" s="4" t="s">
        <v>25</v>
      </c>
      <c r="I408" s="5">
        <v>44409</v>
      </c>
      <c r="J408" s="6">
        <v>0</v>
      </c>
      <c r="K408" s="6">
        <v>0</v>
      </c>
      <c r="L408" s="6">
        <v>3.2000000000000001E-2</v>
      </c>
      <c r="M408" s="6">
        <v>3.2000000000000001E-2</v>
      </c>
      <c r="N408" s="6">
        <v>3.2000000000000001E-2</v>
      </c>
      <c r="O408" s="6">
        <v>3.2000000000000001E-2</v>
      </c>
      <c r="P408" s="6">
        <v>1</v>
      </c>
      <c r="Q408" s="4" t="s">
        <v>26</v>
      </c>
      <c r="R408" s="4">
        <v>0</v>
      </c>
      <c r="S408" s="4" t="s">
        <v>276</v>
      </c>
      <c r="T408" s="4" t="s">
        <v>449</v>
      </c>
      <c r="U408" s="4">
        <v>0</v>
      </c>
      <c r="V408" s="4">
        <v>17</v>
      </c>
      <c r="W408" s="4">
        <v>46</v>
      </c>
    </row>
    <row r="409" spans="1:23" ht="11.25" customHeight="1" x14ac:dyDescent="0.3">
      <c r="A409" s="4" t="s">
        <v>21</v>
      </c>
      <c r="B409" s="4" t="s">
        <v>35</v>
      </c>
      <c r="C409" s="4" t="s">
        <v>23</v>
      </c>
      <c r="D409" s="4" t="s">
        <v>51</v>
      </c>
      <c r="E409" s="4" t="s">
        <v>25</v>
      </c>
      <c r="F409" s="4" t="s">
        <v>25</v>
      </c>
      <c r="G409" s="4" t="s">
        <v>25</v>
      </c>
      <c r="H409" s="4" t="s">
        <v>25</v>
      </c>
      <c r="I409" s="5">
        <v>44440</v>
      </c>
      <c r="J409" s="6">
        <v>0</v>
      </c>
      <c r="K409" s="6">
        <v>0</v>
      </c>
      <c r="L409" s="6">
        <v>3.3000000000000002E-2</v>
      </c>
      <c r="M409" s="6">
        <v>3.3000000000000002E-2</v>
      </c>
      <c r="N409" s="6">
        <v>3.3000000000000002E-2</v>
      </c>
      <c r="O409" s="6">
        <v>3.3000000000000002E-2</v>
      </c>
      <c r="P409" s="6">
        <v>1</v>
      </c>
      <c r="Q409" s="4" t="s">
        <v>26</v>
      </c>
      <c r="R409" s="4">
        <v>0</v>
      </c>
      <c r="S409" s="4" t="s">
        <v>277</v>
      </c>
      <c r="T409" s="4" t="s">
        <v>450</v>
      </c>
      <c r="U409" s="4">
        <v>0</v>
      </c>
      <c r="V409" s="4">
        <v>17</v>
      </c>
      <c r="W409" s="4">
        <v>46</v>
      </c>
    </row>
    <row r="410" spans="1:23" ht="11.25" customHeight="1" x14ac:dyDescent="0.3">
      <c r="A410" s="4" t="s">
        <v>21</v>
      </c>
      <c r="B410" s="4" t="s">
        <v>35</v>
      </c>
      <c r="C410" s="4" t="s">
        <v>23</v>
      </c>
      <c r="D410" s="4" t="s">
        <v>51</v>
      </c>
      <c r="E410" s="4" t="s">
        <v>25</v>
      </c>
      <c r="F410" s="4" t="s">
        <v>25</v>
      </c>
      <c r="G410" s="4" t="s">
        <v>25</v>
      </c>
      <c r="H410" s="4" t="s">
        <v>25</v>
      </c>
      <c r="I410" s="5">
        <v>44470</v>
      </c>
      <c r="J410" s="6">
        <v>0</v>
      </c>
      <c r="K410" s="6">
        <v>0</v>
      </c>
      <c r="L410" s="6">
        <v>3.1E-2</v>
      </c>
      <c r="M410" s="6">
        <v>3.1E-2</v>
      </c>
      <c r="N410" s="6">
        <v>3.1E-2</v>
      </c>
      <c r="O410" s="6">
        <v>3.1E-2</v>
      </c>
      <c r="P410" s="6">
        <v>1</v>
      </c>
      <c r="Q410" s="4" t="s">
        <v>26</v>
      </c>
      <c r="R410" s="4">
        <v>0</v>
      </c>
      <c r="S410" s="4" t="s">
        <v>278</v>
      </c>
      <c r="T410" s="4" t="s">
        <v>451</v>
      </c>
      <c r="U410" s="4">
        <v>0</v>
      </c>
      <c r="V410" s="4">
        <v>17</v>
      </c>
      <c r="W410" s="4">
        <v>46</v>
      </c>
    </row>
    <row r="411" spans="1:23" ht="11.25" customHeight="1" x14ac:dyDescent="0.3">
      <c r="A411" s="4" t="s">
        <v>21</v>
      </c>
      <c r="B411" s="4" t="s">
        <v>35</v>
      </c>
      <c r="C411" s="4" t="s">
        <v>23</v>
      </c>
      <c r="D411" s="4" t="s">
        <v>51</v>
      </c>
      <c r="E411" s="4" t="s">
        <v>25</v>
      </c>
      <c r="F411" s="4" t="s">
        <v>25</v>
      </c>
      <c r="G411" s="4" t="s">
        <v>25</v>
      </c>
      <c r="H411" s="4" t="s">
        <v>25</v>
      </c>
      <c r="I411" s="5">
        <v>44501</v>
      </c>
      <c r="J411" s="6">
        <v>0</v>
      </c>
      <c r="K411" s="6">
        <v>0</v>
      </c>
      <c r="L411" s="6">
        <v>0.03</v>
      </c>
      <c r="M411" s="6">
        <v>0.03</v>
      </c>
      <c r="N411" s="6">
        <v>0.03</v>
      </c>
      <c r="O411" s="6">
        <v>0.03</v>
      </c>
      <c r="P411" s="6">
        <v>1</v>
      </c>
      <c r="Q411" s="4" t="s">
        <v>26</v>
      </c>
      <c r="R411" s="4">
        <v>0</v>
      </c>
      <c r="S411" s="4" t="s">
        <v>279</v>
      </c>
      <c r="T411" s="4" t="s">
        <v>452</v>
      </c>
      <c r="U411" s="4">
        <v>0</v>
      </c>
      <c r="V411" s="4">
        <v>17</v>
      </c>
      <c r="W411" s="4">
        <v>46</v>
      </c>
    </row>
    <row r="412" spans="1:23" ht="11.25" customHeight="1" x14ac:dyDescent="0.3">
      <c r="A412" s="4" t="s">
        <v>21</v>
      </c>
      <c r="B412" s="4" t="s">
        <v>35</v>
      </c>
      <c r="C412" s="4" t="s">
        <v>23</v>
      </c>
      <c r="D412" s="4" t="s">
        <v>51</v>
      </c>
      <c r="E412" s="4" t="s">
        <v>25</v>
      </c>
      <c r="F412" s="4" t="s">
        <v>25</v>
      </c>
      <c r="G412" s="4" t="s">
        <v>25</v>
      </c>
      <c r="H412" s="4" t="s">
        <v>25</v>
      </c>
      <c r="I412" s="5">
        <v>44531</v>
      </c>
      <c r="J412" s="6">
        <v>0</v>
      </c>
      <c r="K412" s="6">
        <v>0</v>
      </c>
      <c r="L412" s="6">
        <v>0.03</v>
      </c>
      <c r="M412" s="6">
        <v>0.03</v>
      </c>
      <c r="N412" s="6">
        <v>0.03</v>
      </c>
      <c r="O412" s="6">
        <v>0.03</v>
      </c>
      <c r="P412" s="6">
        <v>1</v>
      </c>
      <c r="Q412" s="4" t="s">
        <v>26</v>
      </c>
      <c r="R412" s="4">
        <v>0</v>
      </c>
      <c r="S412" s="4" t="s">
        <v>280</v>
      </c>
      <c r="T412" s="4" t="s">
        <v>453</v>
      </c>
      <c r="U412" s="4">
        <v>0</v>
      </c>
      <c r="V412" s="4">
        <v>17</v>
      </c>
      <c r="W412" s="4">
        <v>46</v>
      </c>
    </row>
    <row r="413" spans="1:23" ht="11.25" customHeight="1" x14ac:dyDescent="0.3">
      <c r="A413" s="4" t="s">
        <v>21</v>
      </c>
      <c r="B413" s="4" t="s">
        <v>35</v>
      </c>
      <c r="C413" s="4" t="s">
        <v>23</v>
      </c>
      <c r="D413" s="4" t="s">
        <v>51</v>
      </c>
      <c r="E413" s="4" t="s">
        <v>25</v>
      </c>
      <c r="F413" s="4" t="s">
        <v>25</v>
      </c>
      <c r="G413" s="4" t="s">
        <v>25</v>
      </c>
      <c r="H413" s="4" t="s">
        <v>25</v>
      </c>
      <c r="I413" s="5">
        <v>44562</v>
      </c>
      <c r="J413" s="6">
        <v>0</v>
      </c>
      <c r="K413" s="6">
        <v>0</v>
      </c>
      <c r="L413" s="6">
        <v>0.03</v>
      </c>
      <c r="M413" s="6">
        <v>0.03</v>
      </c>
      <c r="N413" s="6">
        <v>0.03</v>
      </c>
      <c r="O413" s="6">
        <v>0.03</v>
      </c>
      <c r="P413" s="6">
        <v>1</v>
      </c>
      <c r="Q413" s="4" t="s">
        <v>26</v>
      </c>
      <c r="R413" s="4">
        <v>0</v>
      </c>
      <c r="S413" s="4" t="s">
        <v>281</v>
      </c>
      <c r="T413" s="4" t="s">
        <v>454</v>
      </c>
      <c r="U413" s="4">
        <v>0</v>
      </c>
      <c r="V413" s="4">
        <v>17</v>
      </c>
      <c r="W413" s="4">
        <v>46</v>
      </c>
    </row>
    <row r="414" spans="1:23" ht="11.25" customHeight="1" x14ac:dyDescent="0.3">
      <c r="A414" s="4" t="s">
        <v>21</v>
      </c>
      <c r="B414" s="4" t="s">
        <v>35</v>
      </c>
      <c r="C414" s="4" t="s">
        <v>23</v>
      </c>
      <c r="D414" s="4" t="s">
        <v>51</v>
      </c>
      <c r="E414" s="4" t="s">
        <v>25</v>
      </c>
      <c r="F414" s="4" t="s">
        <v>25</v>
      </c>
      <c r="G414" s="4" t="s">
        <v>25</v>
      </c>
      <c r="H414" s="4" t="s">
        <v>25</v>
      </c>
      <c r="I414" s="5">
        <v>44593</v>
      </c>
      <c r="J414" s="6">
        <v>0</v>
      </c>
      <c r="K414" s="6">
        <v>0</v>
      </c>
      <c r="L414" s="6">
        <v>0.03</v>
      </c>
      <c r="M414" s="6">
        <v>0.03</v>
      </c>
      <c r="N414" s="6">
        <v>0.03</v>
      </c>
      <c r="O414" s="6">
        <v>0.03</v>
      </c>
      <c r="P414" s="6">
        <v>1</v>
      </c>
      <c r="Q414" s="4" t="s">
        <v>26</v>
      </c>
      <c r="R414" s="4">
        <v>0</v>
      </c>
      <c r="S414" s="4" t="s">
        <v>282</v>
      </c>
      <c r="T414" s="4" t="s">
        <v>455</v>
      </c>
      <c r="U414" s="4">
        <v>0</v>
      </c>
      <c r="V414" s="4">
        <v>17</v>
      </c>
      <c r="W414" s="4">
        <v>46</v>
      </c>
    </row>
    <row r="415" spans="1:23" ht="11.25" customHeight="1" x14ac:dyDescent="0.3">
      <c r="A415" s="4" t="s">
        <v>21</v>
      </c>
      <c r="B415" s="4" t="s">
        <v>35</v>
      </c>
      <c r="C415" s="4" t="s">
        <v>23</v>
      </c>
      <c r="D415" s="4" t="s">
        <v>51</v>
      </c>
      <c r="E415" s="4" t="s">
        <v>25</v>
      </c>
      <c r="F415" s="4" t="s">
        <v>25</v>
      </c>
      <c r="G415" s="4" t="s">
        <v>25</v>
      </c>
      <c r="H415" s="4" t="s">
        <v>25</v>
      </c>
      <c r="I415" s="5">
        <v>44621</v>
      </c>
      <c r="J415" s="6">
        <v>0</v>
      </c>
      <c r="K415" s="6">
        <v>0</v>
      </c>
      <c r="L415" s="6">
        <v>0.03</v>
      </c>
      <c r="M415" s="6">
        <v>0.03</v>
      </c>
      <c r="N415" s="6">
        <v>0.03</v>
      </c>
      <c r="O415" s="6">
        <v>0.03</v>
      </c>
      <c r="P415" s="6">
        <v>1</v>
      </c>
      <c r="Q415" s="4" t="s">
        <v>26</v>
      </c>
      <c r="R415" s="4">
        <v>0</v>
      </c>
      <c r="S415" s="4" t="s">
        <v>283</v>
      </c>
      <c r="T415" s="4" t="s">
        <v>456</v>
      </c>
      <c r="U415" s="4">
        <v>0</v>
      </c>
      <c r="V415" s="4">
        <v>17</v>
      </c>
      <c r="W415" s="4">
        <v>46</v>
      </c>
    </row>
    <row r="416" spans="1:23" ht="11.25" customHeight="1" x14ac:dyDescent="0.3">
      <c r="A416" s="4" t="s">
        <v>21</v>
      </c>
      <c r="B416" s="4" t="s">
        <v>35</v>
      </c>
      <c r="C416" s="4" t="s">
        <v>23</v>
      </c>
      <c r="D416" s="4" t="s">
        <v>36</v>
      </c>
      <c r="E416" s="4" t="s">
        <v>25</v>
      </c>
      <c r="F416" s="4" t="s">
        <v>25</v>
      </c>
      <c r="G416" s="4" t="s">
        <v>25</v>
      </c>
      <c r="H416" s="4" t="s">
        <v>25</v>
      </c>
      <c r="I416" s="5">
        <v>44287</v>
      </c>
      <c r="J416" s="6">
        <v>0</v>
      </c>
      <c r="K416" s="6">
        <v>0</v>
      </c>
      <c r="L416" s="6">
        <v>6.56</v>
      </c>
      <c r="M416" s="6">
        <v>6.56</v>
      </c>
      <c r="N416" s="6">
        <v>6.56</v>
      </c>
      <c r="O416" s="6">
        <v>6.56</v>
      </c>
      <c r="P416" s="6">
        <v>9</v>
      </c>
      <c r="Q416" s="4" t="s">
        <v>26</v>
      </c>
      <c r="R416" s="4">
        <v>0</v>
      </c>
      <c r="S416" s="4" t="s">
        <v>272</v>
      </c>
      <c r="T416" s="4" t="s">
        <v>445</v>
      </c>
      <c r="U416" s="4">
        <v>0</v>
      </c>
      <c r="V416" s="4">
        <v>17</v>
      </c>
      <c r="W416" s="4">
        <v>46</v>
      </c>
    </row>
    <row r="417" spans="1:23" ht="11.25" customHeight="1" x14ac:dyDescent="0.3">
      <c r="A417" s="4" t="s">
        <v>28</v>
      </c>
      <c r="B417" s="4" t="s">
        <v>35</v>
      </c>
      <c r="C417" s="4" t="s">
        <v>23</v>
      </c>
      <c r="D417" s="4" t="s">
        <v>36</v>
      </c>
      <c r="E417" s="4" t="s">
        <v>25</v>
      </c>
      <c r="F417" s="4" t="s">
        <v>25</v>
      </c>
      <c r="G417" s="4" t="s">
        <v>25</v>
      </c>
      <c r="H417" s="4" t="s">
        <v>25</v>
      </c>
      <c r="I417" s="5">
        <v>44287</v>
      </c>
      <c r="J417" s="6">
        <v>0</v>
      </c>
      <c r="K417" s="6">
        <v>0</v>
      </c>
      <c r="L417" s="6">
        <v>0.1</v>
      </c>
      <c r="M417" s="6">
        <v>0.1</v>
      </c>
      <c r="N417" s="6">
        <v>0.1</v>
      </c>
      <c r="O417" s="6">
        <v>0.1</v>
      </c>
      <c r="P417" s="6">
        <v>1</v>
      </c>
      <c r="Q417" s="4" t="s">
        <v>26</v>
      </c>
      <c r="R417" s="4">
        <v>0</v>
      </c>
      <c r="S417" s="4" t="s">
        <v>272</v>
      </c>
      <c r="T417" s="4" t="s">
        <v>445</v>
      </c>
      <c r="U417" s="4">
        <v>0</v>
      </c>
      <c r="V417" s="4">
        <v>17</v>
      </c>
      <c r="W417" s="4">
        <v>46</v>
      </c>
    </row>
    <row r="418" spans="1:23" ht="11.25" customHeight="1" x14ac:dyDescent="0.3">
      <c r="A418" s="4" t="s">
        <v>21</v>
      </c>
      <c r="B418" s="4" t="s">
        <v>35</v>
      </c>
      <c r="C418" s="4" t="s">
        <v>23</v>
      </c>
      <c r="D418" s="4" t="s">
        <v>36</v>
      </c>
      <c r="E418" s="4" t="s">
        <v>25</v>
      </c>
      <c r="F418" s="4" t="s">
        <v>25</v>
      </c>
      <c r="G418" s="4" t="s">
        <v>25</v>
      </c>
      <c r="H418" s="4" t="s">
        <v>25</v>
      </c>
      <c r="I418" s="5">
        <v>44317</v>
      </c>
      <c r="J418" s="6">
        <v>0</v>
      </c>
      <c r="K418" s="6">
        <v>0</v>
      </c>
      <c r="L418" s="6">
        <v>4.6980000000000004</v>
      </c>
      <c r="M418" s="6">
        <v>4.6980000000000004</v>
      </c>
      <c r="N418" s="6">
        <v>4.6980000000000004</v>
      </c>
      <c r="O418" s="6">
        <v>4.6980000000000004</v>
      </c>
      <c r="P418" s="6">
        <v>9</v>
      </c>
      <c r="Q418" s="4" t="s">
        <v>26</v>
      </c>
      <c r="R418" s="4">
        <v>0</v>
      </c>
      <c r="S418" s="4" t="s">
        <v>273</v>
      </c>
      <c r="T418" s="4" t="s">
        <v>446</v>
      </c>
      <c r="U418" s="4">
        <v>0</v>
      </c>
      <c r="V418" s="4">
        <v>17</v>
      </c>
      <c r="W418" s="4">
        <v>46</v>
      </c>
    </row>
    <row r="419" spans="1:23" ht="11.25" customHeight="1" x14ac:dyDescent="0.3">
      <c r="A419" s="4" t="s">
        <v>28</v>
      </c>
      <c r="B419" s="4" t="s">
        <v>35</v>
      </c>
      <c r="C419" s="4" t="s">
        <v>23</v>
      </c>
      <c r="D419" s="4" t="s">
        <v>36</v>
      </c>
      <c r="E419" s="4" t="s">
        <v>25</v>
      </c>
      <c r="F419" s="4" t="s">
        <v>25</v>
      </c>
      <c r="G419" s="4" t="s">
        <v>25</v>
      </c>
      <c r="H419" s="4" t="s">
        <v>25</v>
      </c>
      <c r="I419" s="5">
        <v>44317</v>
      </c>
      <c r="J419" s="6">
        <v>0</v>
      </c>
      <c r="K419" s="6">
        <v>0</v>
      </c>
      <c r="L419" s="6">
        <v>0.65300000000000002</v>
      </c>
      <c r="M419" s="6">
        <v>0.65300000000000002</v>
      </c>
      <c r="N419" s="6">
        <v>0.65300000000000002</v>
      </c>
      <c r="O419" s="6">
        <v>0.65300000000000002</v>
      </c>
      <c r="P419" s="6">
        <v>1</v>
      </c>
      <c r="Q419" s="4" t="s">
        <v>26</v>
      </c>
      <c r="R419" s="4">
        <v>0</v>
      </c>
      <c r="S419" s="4" t="s">
        <v>273</v>
      </c>
      <c r="T419" s="4" t="s">
        <v>446</v>
      </c>
      <c r="U419" s="4">
        <v>0</v>
      </c>
      <c r="V419" s="4">
        <v>17</v>
      </c>
      <c r="W419" s="4">
        <v>46</v>
      </c>
    </row>
    <row r="420" spans="1:23" ht="11.25" customHeight="1" x14ac:dyDescent="0.3">
      <c r="A420" s="4" t="s">
        <v>21</v>
      </c>
      <c r="B420" s="4" t="s">
        <v>35</v>
      </c>
      <c r="C420" s="4" t="s">
        <v>23</v>
      </c>
      <c r="D420" s="4" t="s">
        <v>36</v>
      </c>
      <c r="E420" s="4" t="s">
        <v>25</v>
      </c>
      <c r="F420" s="4" t="s">
        <v>25</v>
      </c>
      <c r="G420" s="4" t="s">
        <v>25</v>
      </c>
      <c r="H420" s="4" t="s">
        <v>25</v>
      </c>
      <c r="I420" s="5">
        <v>44348</v>
      </c>
      <c r="J420" s="6">
        <v>0</v>
      </c>
      <c r="K420" s="6">
        <v>0</v>
      </c>
      <c r="L420" s="6">
        <v>4.03</v>
      </c>
      <c r="M420" s="6">
        <v>4.03</v>
      </c>
      <c r="N420" s="6">
        <v>4.03</v>
      </c>
      <c r="O420" s="6">
        <v>4.03</v>
      </c>
      <c r="P420" s="6">
        <v>9</v>
      </c>
      <c r="Q420" s="4" t="s">
        <v>26</v>
      </c>
      <c r="R420" s="4">
        <v>0</v>
      </c>
      <c r="S420" s="4" t="s">
        <v>274</v>
      </c>
      <c r="T420" s="4" t="s">
        <v>447</v>
      </c>
      <c r="U420" s="4">
        <v>0</v>
      </c>
      <c r="V420" s="4">
        <v>17</v>
      </c>
      <c r="W420" s="4">
        <v>46</v>
      </c>
    </row>
    <row r="421" spans="1:23" ht="11.25" customHeight="1" x14ac:dyDescent="0.3">
      <c r="A421" s="4" t="s">
        <v>28</v>
      </c>
      <c r="B421" s="4" t="s">
        <v>35</v>
      </c>
      <c r="C421" s="4" t="s">
        <v>23</v>
      </c>
      <c r="D421" s="4" t="s">
        <v>36</v>
      </c>
      <c r="E421" s="4" t="s">
        <v>25</v>
      </c>
      <c r="F421" s="4" t="s">
        <v>25</v>
      </c>
      <c r="G421" s="4" t="s">
        <v>25</v>
      </c>
      <c r="H421" s="4" t="s">
        <v>25</v>
      </c>
      <c r="I421" s="5">
        <v>44348</v>
      </c>
      <c r="J421" s="6">
        <v>0</v>
      </c>
      <c r="K421" s="6">
        <v>0</v>
      </c>
      <c r="L421" s="6">
        <v>0.79400000000000004</v>
      </c>
      <c r="M421" s="6">
        <v>0.79400000000000004</v>
      </c>
      <c r="N421" s="6">
        <v>0.79400000000000004</v>
      </c>
      <c r="O421" s="6">
        <v>0.79400000000000004</v>
      </c>
      <c r="P421" s="6">
        <v>1</v>
      </c>
      <c r="Q421" s="4" t="s">
        <v>26</v>
      </c>
      <c r="R421" s="4">
        <v>0</v>
      </c>
      <c r="S421" s="4" t="s">
        <v>274</v>
      </c>
      <c r="T421" s="4" t="s">
        <v>447</v>
      </c>
      <c r="U421" s="4">
        <v>0</v>
      </c>
      <c r="V421" s="4">
        <v>17</v>
      </c>
      <c r="W421" s="4">
        <v>46</v>
      </c>
    </row>
    <row r="422" spans="1:23" ht="11.25" customHeight="1" x14ac:dyDescent="0.3">
      <c r="A422" s="4" t="s">
        <v>21</v>
      </c>
      <c r="B422" s="4" t="s">
        <v>35</v>
      </c>
      <c r="C422" s="4" t="s">
        <v>23</v>
      </c>
      <c r="D422" s="4" t="s">
        <v>36</v>
      </c>
      <c r="E422" s="4" t="s">
        <v>25</v>
      </c>
      <c r="F422" s="4" t="s">
        <v>25</v>
      </c>
      <c r="G422" s="4" t="s">
        <v>25</v>
      </c>
      <c r="H422" s="4" t="s">
        <v>25</v>
      </c>
      <c r="I422" s="5">
        <v>44378</v>
      </c>
      <c r="J422" s="6">
        <v>0</v>
      </c>
      <c r="K422" s="6">
        <v>0</v>
      </c>
      <c r="L422" s="6">
        <v>3.4969999999999999</v>
      </c>
      <c r="M422" s="6">
        <v>3.4969999999999999</v>
      </c>
      <c r="N422" s="6">
        <v>3.4969999999999999</v>
      </c>
      <c r="O422" s="6">
        <v>3.4969999999999999</v>
      </c>
      <c r="P422" s="6">
        <v>9</v>
      </c>
      <c r="Q422" s="4" t="s">
        <v>26</v>
      </c>
      <c r="R422" s="4">
        <v>0</v>
      </c>
      <c r="S422" s="4" t="s">
        <v>275</v>
      </c>
      <c r="T422" s="4" t="s">
        <v>448</v>
      </c>
      <c r="U422" s="4">
        <v>0</v>
      </c>
      <c r="V422" s="4">
        <v>17</v>
      </c>
      <c r="W422" s="4">
        <v>46</v>
      </c>
    </row>
    <row r="423" spans="1:23" ht="11.25" customHeight="1" x14ac:dyDescent="0.3">
      <c r="A423" s="4" t="s">
        <v>28</v>
      </c>
      <c r="B423" s="4" t="s">
        <v>35</v>
      </c>
      <c r="C423" s="4" t="s">
        <v>23</v>
      </c>
      <c r="D423" s="4" t="s">
        <v>36</v>
      </c>
      <c r="E423" s="4" t="s">
        <v>25</v>
      </c>
      <c r="F423" s="4" t="s">
        <v>25</v>
      </c>
      <c r="G423" s="4" t="s">
        <v>25</v>
      </c>
      <c r="H423" s="4" t="s">
        <v>25</v>
      </c>
      <c r="I423" s="5">
        <v>44378</v>
      </c>
      <c r="J423" s="6">
        <v>0</v>
      </c>
      <c r="K423" s="6">
        <v>0</v>
      </c>
      <c r="L423" s="6">
        <v>0.55800000000000005</v>
      </c>
      <c r="M423" s="6">
        <v>0.55800000000000005</v>
      </c>
      <c r="N423" s="6">
        <v>0.55800000000000005</v>
      </c>
      <c r="O423" s="6">
        <v>0.55800000000000005</v>
      </c>
      <c r="P423" s="6">
        <v>1</v>
      </c>
      <c r="Q423" s="4" t="s">
        <v>26</v>
      </c>
      <c r="R423" s="4">
        <v>0</v>
      </c>
      <c r="S423" s="4" t="s">
        <v>275</v>
      </c>
      <c r="T423" s="4" t="s">
        <v>448</v>
      </c>
      <c r="U423" s="4">
        <v>0</v>
      </c>
      <c r="V423" s="4">
        <v>17</v>
      </c>
      <c r="W423" s="4">
        <v>46</v>
      </c>
    </row>
    <row r="424" spans="1:23" ht="11.25" customHeight="1" x14ac:dyDescent="0.3">
      <c r="A424" s="4" t="s">
        <v>21</v>
      </c>
      <c r="B424" s="4" t="s">
        <v>35</v>
      </c>
      <c r="C424" s="4" t="s">
        <v>23</v>
      </c>
      <c r="D424" s="4" t="s">
        <v>36</v>
      </c>
      <c r="E424" s="4" t="s">
        <v>25</v>
      </c>
      <c r="F424" s="4" t="s">
        <v>25</v>
      </c>
      <c r="G424" s="4" t="s">
        <v>25</v>
      </c>
      <c r="H424" s="4" t="s">
        <v>25</v>
      </c>
      <c r="I424" s="5">
        <v>44409</v>
      </c>
      <c r="J424" s="6">
        <v>0</v>
      </c>
      <c r="K424" s="6">
        <v>0</v>
      </c>
      <c r="L424" s="6">
        <v>4.8650000000000002</v>
      </c>
      <c r="M424" s="6">
        <v>4.8650000000000002</v>
      </c>
      <c r="N424" s="6">
        <v>4.8650000000000002</v>
      </c>
      <c r="O424" s="6">
        <v>4.8650000000000002</v>
      </c>
      <c r="P424" s="6">
        <v>9</v>
      </c>
      <c r="Q424" s="4" t="s">
        <v>26</v>
      </c>
      <c r="R424" s="4">
        <v>0</v>
      </c>
      <c r="S424" s="4" t="s">
        <v>276</v>
      </c>
      <c r="T424" s="4" t="s">
        <v>449</v>
      </c>
      <c r="U424" s="4">
        <v>0</v>
      </c>
      <c r="V424" s="4">
        <v>17</v>
      </c>
      <c r="W424" s="4">
        <v>46</v>
      </c>
    </row>
    <row r="425" spans="1:23" ht="11.25" customHeight="1" x14ac:dyDescent="0.3">
      <c r="A425" s="4" t="s">
        <v>28</v>
      </c>
      <c r="B425" s="4" t="s">
        <v>35</v>
      </c>
      <c r="C425" s="4" t="s">
        <v>23</v>
      </c>
      <c r="D425" s="4" t="s">
        <v>36</v>
      </c>
      <c r="E425" s="4" t="s">
        <v>25</v>
      </c>
      <c r="F425" s="4" t="s">
        <v>25</v>
      </c>
      <c r="G425" s="4" t="s">
        <v>25</v>
      </c>
      <c r="H425" s="4" t="s">
        <v>25</v>
      </c>
      <c r="I425" s="5">
        <v>44409</v>
      </c>
      <c r="J425" s="6">
        <v>0</v>
      </c>
      <c r="K425" s="6">
        <v>0</v>
      </c>
      <c r="L425" s="6">
        <v>0.13200000000000001</v>
      </c>
      <c r="M425" s="6">
        <v>0.13200000000000001</v>
      </c>
      <c r="N425" s="6">
        <v>0.13200000000000001</v>
      </c>
      <c r="O425" s="6">
        <v>0.13200000000000001</v>
      </c>
      <c r="P425" s="6">
        <v>1</v>
      </c>
      <c r="Q425" s="4" t="s">
        <v>26</v>
      </c>
      <c r="R425" s="4">
        <v>0</v>
      </c>
      <c r="S425" s="4" t="s">
        <v>276</v>
      </c>
      <c r="T425" s="4" t="s">
        <v>449</v>
      </c>
      <c r="U425" s="4">
        <v>0</v>
      </c>
      <c r="V425" s="4">
        <v>17</v>
      </c>
      <c r="W425" s="4">
        <v>46</v>
      </c>
    </row>
    <row r="426" spans="1:23" ht="11.25" customHeight="1" x14ac:dyDescent="0.3">
      <c r="A426" s="4" t="s">
        <v>21</v>
      </c>
      <c r="B426" s="4" t="s">
        <v>35</v>
      </c>
      <c r="C426" s="4" t="s">
        <v>23</v>
      </c>
      <c r="D426" s="4" t="s">
        <v>36</v>
      </c>
      <c r="E426" s="4" t="s">
        <v>25</v>
      </c>
      <c r="F426" s="4" t="s">
        <v>25</v>
      </c>
      <c r="G426" s="4" t="s">
        <v>25</v>
      </c>
      <c r="H426" s="4" t="s">
        <v>25</v>
      </c>
      <c r="I426" s="5">
        <v>44440</v>
      </c>
      <c r="J426" s="6">
        <v>0</v>
      </c>
      <c r="K426" s="6">
        <v>0</v>
      </c>
      <c r="L426" s="6">
        <v>5.9859999999999998</v>
      </c>
      <c r="M426" s="6">
        <v>5.9859999999999998</v>
      </c>
      <c r="N426" s="6">
        <v>5.9859999999999998</v>
      </c>
      <c r="O426" s="6">
        <v>5.9859999999999998</v>
      </c>
      <c r="P426" s="6">
        <v>9</v>
      </c>
      <c r="Q426" s="4" t="s">
        <v>26</v>
      </c>
      <c r="R426" s="4">
        <v>0</v>
      </c>
      <c r="S426" s="4" t="s">
        <v>277</v>
      </c>
      <c r="T426" s="4" t="s">
        <v>450</v>
      </c>
      <c r="U426" s="4">
        <v>0</v>
      </c>
      <c r="V426" s="4">
        <v>17</v>
      </c>
      <c r="W426" s="4">
        <v>46</v>
      </c>
    </row>
    <row r="427" spans="1:23" ht="11.25" customHeight="1" x14ac:dyDescent="0.3">
      <c r="A427" s="4" t="s">
        <v>28</v>
      </c>
      <c r="B427" s="4" t="s">
        <v>35</v>
      </c>
      <c r="C427" s="4" t="s">
        <v>23</v>
      </c>
      <c r="D427" s="4" t="s">
        <v>36</v>
      </c>
      <c r="E427" s="4" t="s">
        <v>25</v>
      </c>
      <c r="F427" s="4" t="s">
        <v>25</v>
      </c>
      <c r="G427" s="4" t="s">
        <v>25</v>
      </c>
      <c r="H427" s="4" t="s">
        <v>25</v>
      </c>
      <c r="I427" s="5">
        <v>44440</v>
      </c>
      <c r="J427" s="6">
        <v>0</v>
      </c>
      <c r="K427" s="6">
        <v>0</v>
      </c>
      <c r="L427" s="6">
        <v>0.1</v>
      </c>
      <c r="M427" s="6">
        <v>0.1</v>
      </c>
      <c r="N427" s="6">
        <v>0.1</v>
      </c>
      <c r="O427" s="6">
        <v>0.1</v>
      </c>
      <c r="P427" s="6">
        <v>1</v>
      </c>
      <c r="Q427" s="4" t="s">
        <v>26</v>
      </c>
      <c r="R427" s="4">
        <v>0</v>
      </c>
      <c r="S427" s="4" t="s">
        <v>277</v>
      </c>
      <c r="T427" s="4" t="s">
        <v>450</v>
      </c>
      <c r="U427" s="4">
        <v>0</v>
      </c>
      <c r="V427" s="4">
        <v>17</v>
      </c>
      <c r="W427" s="4">
        <v>46</v>
      </c>
    </row>
    <row r="428" spans="1:23" ht="11.25" customHeight="1" x14ac:dyDescent="0.3">
      <c r="A428" s="4" t="s">
        <v>21</v>
      </c>
      <c r="B428" s="4" t="s">
        <v>35</v>
      </c>
      <c r="C428" s="4" t="s">
        <v>23</v>
      </c>
      <c r="D428" s="4" t="s">
        <v>36</v>
      </c>
      <c r="E428" s="4" t="s">
        <v>25</v>
      </c>
      <c r="F428" s="4" t="s">
        <v>25</v>
      </c>
      <c r="G428" s="4" t="s">
        <v>25</v>
      </c>
      <c r="H428" s="4" t="s">
        <v>25</v>
      </c>
      <c r="I428" s="5">
        <v>44470</v>
      </c>
      <c r="J428" s="6">
        <v>0</v>
      </c>
      <c r="K428" s="6">
        <v>0</v>
      </c>
      <c r="L428" s="6">
        <v>5.6470000000000002</v>
      </c>
      <c r="M428" s="6">
        <v>5.6470000000000002</v>
      </c>
      <c r="N428" s="6">
        <v>5.6470000000000002</v>
      </c>
      <c r="O428" s="6">
        <v>5.6470000000000002</v>
      </c>
      <c r="P428" s="6">
        <v>9</v>
      </c>
      <c r="Q428" s="4" t="s">
        <v>26</v>
      </c>
      <c r="R428" s="4">
        <v>0</v>
      </c>
      <c r="S428" s="4" t="s">
        <v>278</v>
      </c>
      <c r="T428" s="4" t="s">
        <v>451</v>
      </c>
      <c r="U428" s="4">
        <v>0</v>
      </c>
      <c r="V428" s="4">
        <v>17</v>
      </c>
      <c r="W428" s="4">
        <v>46</v>
      </c>
    </row>
    <row r="429" spans="1:23" ht="11.25" customHeight="1" x14ac:dyDescent="0.3">
      <c r="A429" s="4" t="s">
        <v>28</v>
      </c>
      <c r="B429" s="4" t="s">
        <v>35</v>
      </c>
      <c r="C429" s="4" t="s">
        <v>23</v>
      </c>
      <c r="D429" s="4" t="s">
        <v>36</v>
      </c>
      <c r="E429" s="4" t="s">
        <v>25</v>
      </c>
      <c r="F429" s="4" t="s">
        <v>25</v>
      </c>
      <c r="G429" s="4" t="s">
        <v>25</v>
      </c>
      <c r="H429" s="4" t="s">
        <v>25</v>
      </c>
      <c r="I429" s="5">
        <v>44470</v>
      </c>
      <c r="J429" s="6">
        <v>0</v>
      </c>
      <c r="K429" s="6">
        <v>0</v>
      </c>
      <c r="L429" s="6">
        <v>0.43099999999999999</v>
      </c>
      <c r="M429" s="6">
        <v>0.43099999999999999</v>
      </c>
      <c r="N429" s="6">
        <v>0.43099999999999999</v>
      </c>
      <c r="O429" s="6">
        <v>0.43099999999999999</v>
      </c>
      <c r="P429" s="6">
        <v>1</v>
      </c>
      <c r="Q429" s="4" t="s">
        <v>26</v>
      </c>
      <c r="R429" s="4">
        <v>0</v>
      </c>
      <c r="S429" s="4" t="s">
        <v>278</v>
      </c>
      <c r="T429" s="4" t="s">
        <v>451</v>
      </c>
      <c r="U429" s="4">
        <v>0</v>
      </c>
      <c r="V429" s="4">
        <v>17</v>
      </c>
      <c r="W429" s="4">
        <v>46</v>
      </c>
    </row>
    <row r="430" spans="1:23" ht="11.25" customHeight="1" x14ac:dyDescent="0.3">
      <c r="A430" s="4" t="s">
        <v>21</v>
      </c>
      <c r="B430" s="4" t="s">
        <v>35</v>
      </c>
      <c r="C430" s="4" t="s">
        <v>23</v>
      </c>
      <c r="D430" s="4" t="s">
        <v>36</v>
      </c>
      <c r="E430" s="4" t="s">
        <v>25</v>
      </c>
      <c r="F430" s="4" t="s">
        <v>25</v>
      </c>
      <c r="G430" s="4" t="s">
        <v>25</v>
      </c>
      <c r="H430" s="4" t="s">
        <v>25</v>
      </c>
      <c r="I430" s="5">
        <v>44501</v>
      </c>
      <c r="J430" s="6">
        <v>0</v>
      </c>
      <c r="K430" s="6">
        <v>0</v>
      </c>
      <c r="L430" s="6">
        <v>5.8319999999999999</v>
      </c>
      <c r="M430" s="6">
        <v>5.8319999999999999</v>
      </c>
      <c r="N430" s="6">
        <v>5.8319999999999999</v>
      </c>
      <c r="O430" s="6">
        <v>5.8319999999999999</v>
      </c>
      <c r="P430" s="6">
        <v>9</v>
      </c>
      <c r="Q430" s="4" t="s">
        <v>26</v>
      </c>
      <c r="R430" s="4">
        <v>0</v>
      </c>
      <c r="S430" s="4" t="s">
        <v>279</v>
      </c>
      <c r="T430" s="4" t="s">
        <v>452</v>
      </c>
      <c r="U430" s="4">
        <v>0</v>
      </c>
      <c r="V430" s="4">
        <v>17</v>
      </c>
      <c r="W430" s="4">
        <v>46</v>
      </c>
    </row>
    <row r="431" spans="1:23" ht="11.25" customHeight="1" x14ac:dyDescent="0.3">
      <c r="A431" s="4" t="s">
        <v>28</v>
      </c>
      <c r="B431" s="4" t="s">
        <v>35</v>
      </c>
      <c r="C431" s="4" t="s">
        <v>23</v>
      </c>
      <c r="D431" s="4" t="s">
        <v>36</v>
      </c>
      <c r="E431" s="4" t="s">
        <v>25</v>
      </c>
      <c r="F431" s="4" t="s">
        <v>25</v>
      </c>
      <c r="G431" s="4" t="s">
        <v>25</v>
      </c>
      <c r="H431" s="4" t="s">
        <v>25</v>
      </c>
      <c r="I431" s="5">
        <v>44501</v>
      </c>
      <c r="J431" s="6">
        <v>0</v>
      </c>
      <c r="K431" s="6">
        <v>0</v>
      </c>
      <c r="L431" s="6">
        <v>0.54100000000000004</v>
      </c>
      <c r="M431" s="6">
        <v>0.54100000000000004</v>
      </c>
      <c r="N431" s="6">
        <v>0.54100000000000004</v>
      </c>
      <c r="O431" s="6">
        <v>0.54100000000000004</v>
      </c>
      <c r="P431" s="6">
        <v>1</v>
      </c>
      <c r="Q431" s="4" t="s">
        <v>26</v>
      </c>
      <c r="R431" s="4">
        <v>0</v>
      </c>
      <c r="S431" s="4" t="s">
        <v>279</v>
      </c>
      <c r="T431" s="4" t="s">
        <v>452</v>
      </c>
      <c r="U431" s="4">
        <v>0</v>
      </c>
      <c r="V431" s="4">
        <v>17</v>
      </c>
      <c r="W431" s="4">
        <v>46</v>
      </c>
    </row>
    <row r="432" spans="1:23" ht="11.25" customHeight="1" x14ac:dyDescent="0.3">
      <c r="A432" s="4" t="s">
        <v>21</v>
      </c>
      <c r="B432" s="4" t="s">
        <v>35</v>
      </c>
      <c r="C432" s="4" t="s">
        <v>23</v>
      </c>
      <c r="D432" s="4" t="s">
        <v>36</v>
      </c>
      <c r="E432" s="4" t="s">
        <v>25</v>
      </c>
      <c r="F432" s="4" t="s">
        <v>25</v>
      </c>
      <c r="G432" s="4" t="s">
        <v>25</v>
      </c>
      <c r="H432" s="4" t="s">
        <v>25</v>
      </c>
      <c r="I432" s="5">
        <v>44531</v>
      </c>
      <c r="J432" s="6">
        <v>0</v>
      </c>
      <c r="K432" s="6">
        <v>0</v>
      </c>
      <c r="L432" s="6">
        <v>7.0010000000000003</v>
      </c>
      <c r="M432" s="6">
        <v>7.0010000000000003</v>
      </c>
      <c r="N432" s="6">
        <v>7.0010000000000003</v>
      </c>
      <c r="O432" s="6">
        <v>7.0010000000000003</v>
      </c>
      <c r="P432" s="6">
        <v>10</v>
      </c>
      <c r="Q432" s="4" t="s">
        <v>26</v>
      </c>
      <c r="R432" s="4">
        <v>0</v>
      </c>
      <c r="S432" s="4" t="s">
        <v>280</v>
      </c>
      <c r="T432" s="4" t="s">
        <v>453</v>
      </c>
      <c r="U432" s="4">
        <v>0</v>
      </c>
      <c r="V432" s="4">
        <v>17</v>
      </c>
      <c r="W432" s="4">
        <v>46</v>
      </c>
    </row>
    <row r="433" spans="1:23" ht="11.25" customHeight="1" x14ac:dyDescent="0.3">
      <c r="A433" s="4" t="s">
        <v>28</v>
      </c>
      <c r="B433" s="4" t="s">
        <v>35</v>
      </c>
      <c r="C433" s="4" t="s">
        <v>23</v>
      </c>
      <c r="D433" s="4" t="s">
        <v>36</v>
      </c>
      <c r="E433" s="4" t="s">
        <v>25</v>
      </c>
      <c r="F433" s="4" t="s">
        <v>25</v>
      </c>
      <c r="G433" s="4" t="s">
        <v>25</v>
      </c>
      <c r="H433" s="4" t="s">
        <v>25</v>
      </c>
      <c r="I433" s="5">
        <v>44531</v>
      </c>
      <c r="J433" s="6">
        <v>0</v>
      </c>
      <c r="K433" s="6">
        <v>0</v>
      </c>
      <c r="L433" s="6">
        <v>0.1</v>
      </c>
      <c r="M433" s="6">
        <v>0.1</v>
      </c>
      <c r="N433" s="6">
        <v>0.1</v>
      </c>
      <c r="O433" s="6">
        <v>0.1</v>
      </c>
      <c r="P433" s="6">
        <v>1</v>
      </c>
      <c r="Q433" s="4" t="s">
        <v>26</v>
      </c>
      <c r="R433" s="4">
        <v>0</v>
      </c>
      <c r="S433" s="4" t="s">
        <v>280</v>
      </c>
      <c r="T433" s="4" t="s">
        <v>453</v>
      </c>
      <c r="U433" s="4">
        <v>0</v>
      </c>
      <c r="V433" s="4">
        <v>17</v>
      </c>
      <c r="W433" s="4">
        <v>46</v>
      </c>
    </row>
    <row r="434" spans="1:23" ht="11.25" customHeight="1" x14ac:dyDescent="0.3">
      <c r="A434" s="4" t="s">
        <v>21</v>
      </c>
      <c r="B434" s="4" t="s">
        <v>35</v>
      </c>
      <c r="C434" s="4" t="s">
        <v>23</v>
      </c>
      <c r="D434" s="4" t="s">
        <v>36</v>
      </c>
      <c r="E434" s="4" t="s">
        <v>25</v>
      </c>
      <c r="F434" s="4" t="s">
        <v>25</v>
      </c>
      <c r="G434" s="4" t="s">
        <v>25</v>
      </c>
      <c r="H434" s="4" t="s">
        <v>25</v>
      </c>
      <c r="I434" s="5">
        <v>44562</v>
      </c>
      <c r="J434" s="6">
        <v>0</v>
      </c>
      <c r="K434" s="6">
        <v>0</v>
      </c>
      <c r="L434" s="6">
        <v>8.1530000000000005</v>
      </c>
      <c r="M434" s="6">
        <v>8.1530000000000005</v>
      </c>
      <c r="N434" s="6">
        <v>8.1530000000000005</v>
      </c>
      <c r="O434" s="6">
        <v>8.1530000000000005</v>
      </c>
      <c r="P434" s="6">
        <v>10</v>
      </c>
      <c r="Q434" s="4" t="s">
        <v>26</v>
      </c>
      <c r="R434" s="4">
        <v>0</v>
      </c>
      <c r="S434" s="4" t="s">
        <v>281</v>
      </c>
      <c r="T434" s="4" t="s">
        <v>454</v>
      </c>
      <c r="U434" s="4">
        <v>0</v>
      </c>
      <c r="V434" s="4">
        <v>17</v>
      </c>
      <c r="W434" s="4">
        <v>46</v>
      </c>
    </row>
    <row r="435" spans="1:23" ht="11.25" customHeight="1" x14ac:dyDescent="0.3">
      <c r="A435" s="4" t="s">
        <v>28</v>
      </c>
      <c r="B435" s="4" t="s">
        <v>35</v>
      </c>
      <c r="C435" s="4" t="s">
        <v>23</v>
      </c>
      <c r="D435" s="4" t="s">
        <v>36</v>
      </c>
      <c r="E435" s="4" t="s">
        <v>25</v>
      </c>
      <c r="F435" s="4" t="s">
        <v>25</v>
      </c>
      <c r="G435" s="4" t="s">
        <v>25</v>
      </c>
      <c r="H435" s="4" t="s">
        <v>25</v>
      </c>
      <c r="I435" s="5">
        <v>44562</v>
      </c>
      <c r="J435" s="6">
        <v>0</v>
      </c>
      <c r="K435" s="6">
        <v>0</v>
      </c>
      <c r="L435" s="6">
        <v>0.1</v>
      </c>
      <c r="M435" s="6">
        <v>0.1</v>
      </c>
      <c r="N435" s="6">
        <v>0.1</v>
      </c>
      <c r="O435" s="6">
        <v>0.1</v>
      </c>
      <c r="P435" s="6">
        <v>1</v>
      </c>
      <c r="Q435" s="4" t="s">
        <v>26</v>
      </c>
      <c r="R435" s="4">
        <v>0</v>
      </c>
      <c r="S435" s="4" t="s">
        <v>281</v>
      </c>
      <c r="T435" s="4" t="s">
        <v>454</v>
      </c>
      <c r="U435" s="4">
        <v>0</v>
      </c>
      <c r="V435" s="4">
        <v>17</v>
      </c>
      <c r="W435" s="4">
        <v>46</v>
      </c>
    </row>
    <row r="436" spans="1:23" ht="11.25" customHeight="1" x14ac:dyDescent="0.3">
      <c r="A436" s="4" t="s">
        <v>21</v>
      </c>
      <c r="B436" s="4" t="s">
        <v>35</v>
      </c>
      <c r="C436" s="4" t="s">
        <v>23</v>
      </c>
      <c r="D436" s="4" t="s">
        <v>36</v>
      </c>
      <c r="E436" s="4" t="s">
        <v>25</v>
      </c>
      <c r="F436" s="4" t="s">
        <v>25</v>
      </c>
      <c r="G436" s="4" t="s">
        <v>25</v>
      </c>
      <c r="H436" s="4" t="s">
        <v>25</v>
      </c>
      <c r="I436" s="5">
        <v>44593</v>
      </c>
      <c r="J436" s="6">
        <v>0</v>
      </c>
      <c r="K436" s="6">
        <v>0</v>
      </c>
      <c r="L436" s="6">
        <v>9.3239999999999998</v>
      </c>
      <c r="M436" s="6">
        <v>9.3239999999999998</v>
      </c>
      <c r="N436" s="6">
        <v>9.3239999999999998</v>
      </c>
      <c r="O436" s="6">
        <v>9.3239999999999998</v>
      </c>
      <c r="P436" s="6">
        <v>10</v>
      </c>
      <c r="Q436" s="4" t="s">
        <v>26</v>
      </c>
      <c r="R436" s="4">
        <v>0</v>
      </c>
      <c r="S436" s="4" t="s">
        <v>282</v>
      </c>
      <c r="T436" s="4" t="s">
        <v>455</v>
      </c>
      <c r="U436" s="4">
        <v>0</v>
      </c>
      <c r="V436" s="4">
        <v>17</v>
      </c>
      <c r="W436" s="4">
        <v>46</v>
      </c>
    </row>
    <row r="437" spans="1:23" ht="11.25" customHeight="1" x14ac:dyDescent="0.3">
      <c r="A437" s="4" t="s">
        <v>28</v>
      </c>
      <c r="B437" s="4" t="s">
        <v>35</v>
      </c>
      <c r="C437" s="4" t="s">
        <v>23</v>
      </c>
      <c r="D437" s="4" t="s">
        <v>36</v>
      </c>
      <c r="E437" s="4" t="s">
        <v>25</v>
      </c>
      <c r="F437" s="4" t="s">
        <v>25</v>
      </c>
      <c r="G437" s="4" t="s">
        <v>25</v>
      </c>
      <c r="H437" s="4" t="s">
        <v>25</v>
      </c>
      <c r="I437" s="5">
        <v>44593</v>
      </c>
      <c r="J437" s="6">
        <v>0</v>
      </c>
      <c r="K437" s="6">
        <v>0</v>
      </c>
      <c r="L437" s="6">
        <v>0.1</v>
      </c>
      <c r="M437" s="6">
        <v>0.1</v>
      </c>
      <c r="N437" s="6">
        <v>0.1</v>
      </c>
      <c r="O437" s="6">
        <v>0.1</v>
      </c>
      <c r="P437" s="6">
        <v>1</v>
      </c>
      <c r="Q437" s="4" t="s">
        <v>26</v>
      </c>
      <c r="R437" s="4">
        <v>0</v>
      </c>
      <c r="S437" s="4" t="s">
        <v>282</v>
      </c>
      <c r="T437" s="4" t="s">
        <v>455</v>
      </c>
      <c r="U437" s="4">
        <v>0</v>
      </c>
      <c r="V437" s="4">
        <v>17</v>
      </c>
      <c r="W437" s="4">
        <v>46</v>
      </c>
    </row>
    <row r="438" spans="1:23" ht="11.25" customHeight="1" x14ac:dyDescent="0.3">
      <c r="A438" s="4" t="s">
        <v>21</v>
      </c>
      <c r="B438" s="4" t="s">
        <v>35</v>
      </c>
      <c r="C438" s="4" t="s">
        <v>23</v>
      </c>
      <c r="D438" s="4" t="s">
        <v>36</v>
      </c>
      <c r="E438" s="4" t="s">
        <v>25</v>
      </c>
      <c r="F438" s="4" t="s">
        <v>25</v>
      </c>
      <c r="G438" s="4" t="s">
        <v>25</v>
      </c>
      <c r="H438" s="4" t="s">
        <v>25</v>
      </c>
      <c r="I438" s="5">
        <v>44621</v>
      </c>
      <c r="J438" s="6">
        <v>0</v>
      </c>
      <c r="K438" s="6">
        <v>0</v>
      </c>
      <c r="L438" s="6">
        <v>10.563000000000001</v>
      </c>
      <c r="M438" s="6">
        <v>10.563000000000001</v>
      </c>
      <c r="N438" s="6">
        <v>10.563000000000001</v>
      </c>
      <c r="O438" s="6">
        <v>10.563000000000001</v>
      </c>
      <c r="P438" s="6">
        <v>10</v>
      </c>
      <c r="Q438" s="4" t="s">
        <v>26</v>
      </c>
      <c r="R438" s="4">
        <v>0</v>
      </c>
      <c r="S438" s="4" t="s">
        <v>283</v>
      </c>
      <c r="T438" s="4" t="s">
        <v>456</v>
      </c>
      <c r="U438" s="4">
        <v>0</v>
      </c>
      <c r="V438" s="4">
        <v>17</v>
      </c>
      <c r="W438" s="4">
        <v>46</v>
      </c>
    </row>
    <row r="439" spans="1:23" ht="11.25" customHeight="1" x14ac:dyDescent="0.3">
      <c r="A439" s="4" t="s">
        <v>28</v>
      </c>
      <c r="B439" s="4" t="s">
        <v>35</v>
      </c>
      <c r="C439" s="4" t="s">
        <v>23</v>
      </c>
      <c r="D439" s="4" t="s">
        <v>36</v>
      </c>
      <c r="E439" s="4" t="s">
        <v>25</v>
      </c>
      <c r="F439" s="4" t="s">
        <v>25</v>
      </c>
      <c r="G439" s="4" t="s">
        <v>25</v>
      </c>
      <c r="H439" s="4" t="s">
        <v>25</v>
      </c>
      <c r="I439" s="5">
        <v>44621</v>
      </c>
      <c r="J439" s="6">
        <v>0</v>
      </c>
      <c r="K439" s="6">
        <v>0</v>
      </c>
      <c r="L439" s="6">
        <v>0.1</v>
      </c>
      <c r="M439" s="6">
        <v>0.1</v>
      </c>
      <c r="N439" s="6">
        <v>0.1</v>
      </c>
      <c r="O439" s="6">
        <v>0.1</v>
      </c>
      <c r="P439" s="6">
        <v>1</v>
      </c>
      <c r="Q439" s="4" t="s">
        <v>26</v>
      </c>
      <c r="R439" s="4">
        <v>0</v>
      </c>
      <c r="S439" s="4" t="s">
        <v>283</v>
      </c>
      <c r="T439" s="4" t="s">
        <v>456</v>
      </c>
      <c r="U439" s="4">
        <v>0</v>
      </c>
      <c r="V439" s="4">
        <v>17</v>
      </c>
      <c r="W439" s="4">
        <v>46</v>
      </c>
    </row>
    <row r="440" spans="1:23" ht="11.25" customHeight="1" x14ac:dyDescent="0.3">
      <c r="A440" s="4" t="s">
        <v>21</v>
      </c>
      <c r="B440" s="4" t="s">
        <v>35</v>
      </c>
      <c r="C440" s="4" t="s">
        <v>23</v>
      </c>
      <c r="D440" s="4" t="s">
        <v>45</v>
      </c>
      <c r="E440" s="4" t="s">
        <v>25</v>
      </c>
      <c r="F440" s="4" t="s">
        <v>25</v>
      </c>
      <c r="G440" s="4" t="s">
        <v>25</v>
      </c>
      <c r="H440" s="4" t="s">
        <v>25</v>
      </c>
      <c r="I440" s="5">
        <v>44287</v>
      </c>
      <c r="J440" s="6">
        <v>0</v>
      </c>
      <c r="K440" s="6">
        <v>0</v>
      </c>
      <c r="L440" s="6">
        <v>21.123000000000001</v>
      </c>
      <c r="M440" s="6">
        <v>21.123000000000001</v>
      </c>
      <c r="N440" s="6">
        <v>21.123000000000001</v>
      </c>
      <c r="O440" s="6">
        <v>21.123000000000001</v>
      </c>
      <c r="P440" s="6">
        <v>33</v>
      </c>
      <c r="Q440" s="4" t="s">
        <v>26</v>
      </c>
      <c r="R440" s="4">
        <v>0</v>
      </c>
      <c r="S440" s="4" t="s">
        <v>272</v>
      </c>
      <c r="T440" s="4" t="s">
        <v>445</v>
      </c>
      <c r="U440" s="4">
        <v>0</v>
      </c>
      <c r="V440" s="4">
        <v>17</v>
      </c>
      <c r="W440" s="4">
        <v>46</v>
      </c>
    </row>
    <row r="441" spans="1:23" ht="11.25" customHeight="1" x14ac:dyDescent="0.3">
      <c r="A441" s="4" t="s">
        <v>21</v>
      </c>
      <c r="B441" s="4" t="s">
        <v>35</v>
      </c>
      <c r="C441" s="4" t="s">
        <v>23</v>
      </c>
      <c r="D441" s="4" t="s">
        <v>45</v>
      </c>
      <c r="E441" s="4" t="s">
        <v>25</v>
      </c>
      <c r="F441" s="4" t="s">
        <v>25</v>
      </c>
      <c r="G441" s="4" t="s">
        <v>25</v>
      </c>
      <c r="H441" s="4" t="s">
        <v>25</v>
      </c>
      <c r="I441" s="5">
        <v>44317</v>
      </c>
      <c r="J441" s="6">
        <v>0</v>
      </c>
      <c r="K441" s="6">
        <v>0</v>
      </c>
      <c r="L441" s="6">
        <v>16</v>
      </c>
      <c r="M441" s="6">
        <v>16</v>
      </c>
      <c r="N441" s="6">
        <v>16</v>
      </c>
      <c r="O441" s="6">
        <v>16</v>
      </c>
      <c r="P441" s="6">
        <v>33</v>
      </c>
      <c r="Q441" s="4" t="s">
        <v>26</v>
      </c>
      <c r="R441" s="4">
        <v>0</v>
      </c>
      <c r="S441" s="4" t="s">
        <v>273</v>
      </c>
      <c r="T441" s="4" t="s">
        <v>446</v>
      </c>
      <c r="U441" s="4">
        <v>0</v>
      </c>
      <c r="V441" s="4">
        <v>17</v>
      </c>
      <c r="W441" s="4">
        <v>46</v>
      </c>
    </row>
    <row r="442" spans="1:23" ht="11.25" customHeight="1" x14ac:dyDescent="0.3">
      <c r="A442" s="4" t="s">
        <v>21</v>
      </c>
      <c r="B442" s="4" t="s">
        <v>35</v>
      </c>
      <c r="C442" s="4" t="s">
        <v>23</v>
      </c>
      <c r="D442" s="4" t="s">
        <v>45</v>
      </c>
      <c r="E442" s="4" t="s">
        <v>25</v>
      </c>
      <c r="F442" s="4" t="s">
        <v>25</v>
      </c>
      <c r="G442" s="4" t="s">
        <v>25</v>
      </c>
      <c r="H442" s="4" t="s">
        <v>25</v>
      </c>
      <c r="I442" s="5">
        <v>44348</v>
      </c>
      <c r="J442" s="6">
        <v>0</v>
      </c>
      <c r="K442" s="6">
        <v>0</v>
      </c>
      <c r="L442" s="6">
        <v>18.064</v>
      </c>
      <c r="M442" s="6">
        <v>18.064</v>
      </c>
      <c r="N442" s="6">
        <v>18.064</v>
      </c>
      <c r="O442" s="6">
        <v>18.064</v>
      </c>
      <c r="P442" s="6">
        <v>33</v>
      </c>
      <c r="Q442" s="4" t="s">
        <v>26</v>
      </c>
      <c r="R442" s="4">
        <v>0</v>
      </c>
      <c r="S442" s="4" t="s">
        <v>274</v>
      </c>
      <c r="T442" s="4" t="s">
        <v>447</v>
      </c>
      <c r="U442" s="4">
        <v>0</v>
      </c>
      <c r="V442" s="4">
        <v>17</v>
      </c>
      <c r="W442" s="4">
        <v>46</v>
      </c>
    </row>
    <row r="443" spans="1:23" ht="11.25" customHeight="1" x14ac:dyDescent="0.3">
      <c r="A443" s="4" t="s">
        <v>21</v>
      </c>
      <c r="B443" s="4" t="s">
        <v>35</v>
      </c>
      <c r="C443" s="4" t="s">
        <v>23</v>
      </c>
      <c r="D443" s="4" t="s">
        <v>45</v>
      </c>
      <c r="E443" s="4" t="s">
        <v>25</v>
      </c>
      <c r="F443" s="4" t="s">
        <v>25</v>
      </c>
      <c r="G443" s="4" t="s">
        <v>25</v>
      </c>
      <c r="H443" s="4" t="s">
        <v>25</v>
      </c>
      <c r="I443" s="5">
        <v>44378</v>
      </c>
      <c r="J443" s="6">
        <v>0</v>
      </c>
      <c r="K443" s="6">
        <v>0</v>
      </c>
      <c r="L443" s="6">
        <v>16.027999999999999</v>
      </c>
      <c r="M443" s="6">
        <v>16.027999999999999</v>
      </c>
      <c r="N443" s="6">
        <v>16.027999999999999</v>
      </c>
      <c r="O443" s="6">
        <v>16.027999999999999</v>
      </c>
      <c r="P443" s="6">
        <v>33</v>
      </c>
      <c r="Q443" s="4" t="s">
        <v>26</v>
      </c>
      <c r="R443" s="4">
        <v>0</v>
      </c>
      <c r="S443" s="4" t="s">
        <v>275</v>
      </c>
      <c r="T443" s="4" t="s">
        <v>448</v>
      </c>
      <c r="U443" s="4">
        <v>0</v>
      </c>
      <c r="V443" s="4">
        <v>17</v>
      </c>
      <c r="W443" s="4">
        <v>46</v>
      </c>
    </row>
    <row r="444" spans="1:23" ht="11.25" customHeight="1" x14ac:dyDescent="0.3">
      <c r="A444" s="4" t="s">
        <v>21</v>
      </c>
      <c r="B444" s="4" t="s">
        <v>35</v>
      </c>
      <c r="C444" s="4" t="s">
        <v>23</v>
      </c>
      <c r="D444" s="4" t="s">
        <v>45</v>
      </c>
      <c r="E444" s="4" t="s">
        <v>25</v>
      </c>
      <c r="F444" s="4" t="s">
        <v>25</v>
      </c>
      <c r="G444" s="4" t="s">
        <v>25</v>
      </c>
      <c r="H444" s="4" t="s">
        <v>25</v>
      </c>
      <c r="I444" s="5">
        <v>44409</v>
      </c>
      <c r="J444" s="6">
        <v>0</v>
      </c>
      <c r="K444" s="6">
        <v>0</v>
      </c>
      <c r="L444" s="6">
        <v>16.106000000000002</v>
      </c>
      <c r="M444" s="6">
        <v>16.106000000000002</v>
      </c>
      <c r="N444" s="6">
        <v>16.106000000000002</v>
      </c>
      <c r="O444" s="6">
        <v>16.106000000000002</v>
      </c>
      <c r="P444" s="6">
        <v>33</v>
      </c>
      <c r="Q444" s="4" t="s">
        <v>26</v>
      </c>
      <c r="R444" s="4">
        <v>0</v>
      </c>
      <c r="S444" s="4" t="s">
        <v>276</v>
      </c>
      <c r="T444" s="4" t="s">
        <v>449</v>
      </c>
      <c r="U444" s="4">
        <v>0</v>
      </c>
      <c r="V444" s="4">
        <v>17</v>
      </c>
      <c r="W444" s="4">
        <v>46</v>
      </c>
    </row>
    <row r="445" spans="1:23" ht="11.25" customHeight="1" x14ac:dyDescent="0.3">
      <c r="A445" s="4" t="s">
        <v>21</v>
      </c>
      <c r="B445" s="4" t="s">
        <v>35</v>
      </c>
      <c r="C445" s="4" t="s">
        <v>23</v>
      </c>
      <c r="D445" s="4" t="s">
        <v>45</v>
      </c>
      <c r="E445" s="4" t="s">
        <v>25</v>
      </c>
      <c r="F445" s="4" t="s">
        <v>25</v>
      </c>
      <c r="G445" s="4" t="s">
        <v>25</v>
      </c>
      <c r="H445" s="4" t="s">
        <v>25</v>
      </c>
      <c r="I445" s="5">
        <v>44440</v>
      </c>
      <c r="J445" s="6">
        <v>0</v>
      </c>
      <c r="K445" s="6">
        <v>0</v>
      </c>
      <c r="L445" s="6">
        <v>20.225000000000001</v>
      </c>
      <c r="M445" s="6">
        <v>20.225000000000001</v>
      </c>
      <c r="N445" s="6">
        <v>20.225000000000001</v>
      </c>
      <c r="O445" s="6">
        <v>20.225000000000001</v>
      </c>
      <c r="P445" s="6">
        <v>31</v>
      </c>
      <c r="Q445" s="4" t="s">
        <v>26</v>
      </c>
      <c r="R445" s="4">
        <v>0</v>
      </c>
      <c r="S445" s="4" t="s">
        <v>277</v>
      </c>
      <c r="T445" s="4" t="s">
        <v>450</v>
      </c>
      <c r="U445" s="4">
        <v>0</v>
      </c>
      <c r="V445" s="4">
        <v>17</v>
      </c>
      <c r="W445" s="4">
        <v>46</v>
      </c>
    </row>
    <row r="446" spans="1:23" ht="11.25" customHeight="1" x14ac:dyDescent="0.3">
      <c r="A446" s="4" t="s">
        <v>21</v>
      </c>
      <c r="B446" s="4" t="s">
        <v>35</v>
      </c>
      <c r="C446" s="4" t="s">
        <v>23</v>
      </c>
      <c r="D446" s="4" t="s">
        <v>45</v>
      </c>
      <c r="E446" s="4" t="s">
        <v>25</v>
      </c>
      <c r="F446" s="4" t="s">
        <v>25</v>
      </c>
      <c r="G446" s="4" t="s">
        <v>25</v>
      </c>
      <c r="H446" s="4" t="s">
        <v>25</v>
      </c>
      <c r="I446" s="5">
        <v>44470</v>
      </c>
      <c r="J446" s="6">
        <v>0</v>
      </c>
      <c r="K446" s="6">
        <v>0</v>
      </c>
      <c r="L446" s="6">
        <v>20.686</v>
      </c>
      <c r="M446" s="6">
        <v>20.686</v>
      </c>
      <c r="N446" s="6">
        <v>20.686</v>
      </c>
      <c r="O446" s="6">
        <v>20.686</v>
      </c>
      <c r="P446" s="6">
        <v>31</v>
      </c>
      <c r="Q446" s="4" t="s">
        <v>26</v>
      </c>
      <c r="R446" s="4">
        <v>0</v>
      </c>
      <c r="S446" s="4" t="s">
        <v>278</v>
      </c>
      <c r="T446" s="4" t="s">
        <v>451</v>
      </c>
      <c r="U446" s="4">
        <v>0</v>
      </c>
      <c r="V446" s="4">
        <v>17</v>
      </c>
      <c r="W446" s="4">
        <v>46</v>
      </c>
    </row>
    <row r="447" spans="1:23" ht="11.25" customHeight="1" x14ac:dyDescent="0.3">
      <c r="A447" s="4" t="s">
        <v>21</v>
      </c>
      <c r="B447" s="4" t="s">
        <v>35</v>
      </c>
      <c r="C447" s="4" t="s">
        <v>23</v>
      </c>
      <c r="D447" s="4" t="s">
        <v>45</v>
      </c>
      <c r="E447" s="4" t="s">
        <v>25</v>
      </c>
      <c r="F447" s="4" t="s">
        <v>25</v>
      </c>
      <c r="G447" s="4" t="s">
        <v>25</v>
      </c>
      <c r="H447" s="4" t="s">
        <v>25</v>
      </c>
      <c r="I447" s="5">
        <v>44501</v>
      </c>
      <c r="J447" s="6">
        <v>0</v>
      </c>
      <c r="K447" s="6">
        <v>0</v>
      </c>
      <c r="L447" s="6">
        <v>20.233000000000001</v>
      </c>
      <c r="M447" s="6">
        <v>20.233000000000001</v>
      </c>
      <c r="N447" s="6">
        <v>20.233000000000001</v>
      </c>
      <c r="O447" s="6">
        <v>20.233000000000001</v>
      </c>
      <c r="P447" s="6">
        <v>31</v>
      </c>
      <c r="Q447" s="4" t="s">
        <v>26</v>
      </c>
      <c r="R447" s="4">
        <v>0</v>
      </c>
      <c r="S447" s="4" t="s">
        <v>279</v>
      </c>
      <c r="T447" s="4" t="s">
        <v>452</v>
      </c>
      <c r="U447" s="4">
        <v>0</v>
      </c>
      <c r="V447" s="4">
        <v>17</v>
      </c>
      <c r="W447" s="4">
        <v>46</v>
      </c>
    </row>
    <row r="448" spans="1:23" ht="11.25" customHeight="1" x14ac:dyDescent="0.3">
      <c r="A448" s="4" t="s">
        <v>21</v>
      </c>
      <c r="B448" s="4" t="s">
        <v>35</v>
      </c>
      <c r="C448" s="4" t="s">
        <v>23</v>
      </c>
      <c r="D448" s="4" t="s">
        <v>45</v>
      </c>
      <c r="E448" s="4" t="s">
        <v>25</v>
      </c>
      <c r="F448" s="4" t="s">
        <v>25</v>
      </c>
      <c r="G448" s="4" t="s">
        <v>25</v>
      </c>
      <c r="H448" s="4" t="s">
        <v>25</v>
      </c>
      <c r="I448" s="5">
        <v>44531</v>
      </c>
      <c r="J448" s="6">
        <v>0</v>
      </c>
      <c r="K448" s="6">
        <v>0</v>
      </c>
      <c r="L448" s="6">
        <v>22.812999999999999</v>
      </c>
      <c r="M448" s="6">
        <v>22.812999999999999</v>
      </c>
      <c r="N448" s="6">
        <v>22.812999999999999</v>
      </c>
      <c r="O448" s="6">
        <v>22.812999999999999</v>
      </c>
      <c r="P448" s="6">
        <v>31</v>
      </c>
      <c r="Q448" s="4" t="s">
        <v>26</v>
      </c>
      <c r="R448" s="4">
        <v>0</v>
      </c>
      <c r="S448" s="4" t="s">
        <v>280</v>
      </c>
      <c r="T448" s="4" t="s">
        <v>453</v>
      </c>
      <c r="U448" s="4">
        <v>0</v>
      </c>
      <c r="V448" s="4">
        <v>17</v>
      </c>
      <c r="W448" s="4">
        <v>46</v>
      </c>
    </row>
    <row r="449" spans="1:23" ht="11.25" customHeight="1" x14ac:dyDescent="0.3">
      <c r="A449" s="4" t="s">
        <v>21</v>
      </c>
      <c r="B449" s="4" t="s">
        <v>35</v>
      </c>
      <c r="C449" s="4" t="s">
        <v>23</v>
      </c>
      <c r="D449" s="4" t="s">
        <v>45</v>
      </c>
      <c r="E449" s="4" t="s">
        <v>25</v>
      </c>
      <c r="F449" s="4" t="s">
        <v>25</v>
      </c>
      <c r="G449" s="4" t="s">
        <v>25</v>
      </c>
      <c r="H449" s="4" t="s">
        <v>25</v>
      </c>
      <c r="I449" s="5">
        <v>44562</v>
      </c>
      <c r="J449" s="6">
        <v>0</v>
      </c>
      <c r="K449" s="6">
        <v>0</v>
      </c>
      <c r="L449" s="6">
        <v>21.454000000000001</v>
      </c>
      <c r="M449" s="6">
        <v>21.454000000000001</v>
      </c>
      <c r="N449" s="6">
        <v>21.454000000000001</v>
      </c>
      <c r="O449" s="6">
        <v>21.454000000000001</v>
      </c>
      <c r="P449" s="6">
        <v>31</v>
      </c>
      <c r="Q449" s="4" t="s">
        <v>26</v>
      </c>
      <c r="R449" s="4">
        <v>0</v>
      </c>
      <c r="S449" s="4" t="s">
        <v>281</v>
      </c>
      <c r="T449" s="4" t="s">
        <v>454</v>
      </c>
      <c r="U449" s="4">
        <v>0</v>
      </c>
      <c r="V449" s="4">
        <v>17</v>
      </c>
      <c r="W449" s="4">
        <v>46</v>
      </c>
    </row>
    <row r="450" spans="1:23" ht="11.25" customHeight="1" x14ac:dyDescent="0.3">
      <c r="A450" s="4" t="s">
        <v>21</v>
      </c>
      <c r="B450" s="4" t="s">
        <v>35</v>
      </c>
      <c r="C450" s="4" t="s">
        <v>23</v>
      </c>
      <c r="D450" s="4" t="s">
        <v>45</v>
      </c>
      <c r="E450" s="4" t="s">
        <v>25</v>
      </c>
      <c r="F450" s="4" t="s">
        <v>25</v>
      </c>
      <c r="G450" s="4" t="s">
        <v>25</v>
      </c>
      <c r="H450" s="4" t="s">
        <v>25</v>
      </c>
      <c r="I450" s="5">
        <v>44593</v>
      </c>
      <c r="J450" s="6">
        <v>0</v>
      </c>
      <c r="K450" s="6">
        <v>0</v>
      </c>
      <c r="L450" s="6">
        <v>22.065000000000001</v>
      </c>
      <c r="M450" s="6">
        <v>22.065000000000001</v>
      </c>
      <c r="N450" s="6">
        <v>22.065000000000001</v>
      </c>
      <c r="O450" s="6">
        <v>22.065000000000001</v>
      </c>
      <c r="P450" s="6">
        <v>31</v>
      </c>
      <c r="Q450" s="4" t="s">
        <v>26</v>
      </c>
      <c r="R450" s="4">
        <v>0</v>
      </c>
      <c r="S450" s="4" t="s">
        <v>282</v>
      </c>
      <c r="T450" s="4" t="s">
        <v>455</v>
      </c>
      <c r="U450" s="4">
        <v>0</v>
      </c>
      <c r="V450" s="4">
        <v>17</v>
      </c>
      <c r="W450" s="4">
        <v>46</v>
      </c>
    </row>
    <row r="451" spans="1:23" ht="11.25" customHeight="1" x14ac:dyDescent="0.3">
      <c r="A451" s="4" t="s">
        <v>21</v>
      </c>
      <c r="B451" s="4" t="s">
        <v>35</v>
      </c>
      <c r="C451" s="4" t="s">
        <v>23</v>
      </c>
      <c r="D451" s="4" t="s">
        <v>45</v>
      </c>
      <c r="E451" s="4" t="s">
        <v>25</v>
      </c>
      <c r="F451" s="4" t="s">
        <v>25</v>
      </c>
      <c r="G451" s="4" t="s">
        <v>25</v>
      </c>
      <c r="H451" s="4" t="s">
        <v>25</v>
      </c>
      <c r="I451" s="5">
        <v>44621</v>
      </c>
      <c r="J451" s="6">
        <v>0</v>
      </c>
      <c r="K451" s="6">
        <v>0</v>
      </c>
      <c r="L451" s="6">
        <v>29.85</v>
      </c>
      <c r="M451" s="6">
        <v>29.85</v>
      </c>
      <c r="N451" s="6">
        <v>29.85</v>
      </c>
      <c r="O451" s="6">
        <v>29.85</v>
      </c>
      <c r="P451" s="6">
        <v>31</v>
      </c>
      <c r="Q451" s="4" t="s">
        <v>26</v>
      </c>
      <c r="R451" s="4">
        <v>0</v>
      </c>
      <c r="S451" s="4" t="s">
        <v>283</v>
      </c>
      <c r="T451" s="4" t="s">
        <v>456</v>
      </c>
      <c r="U451" s="4">
        <v>0</v>
      </c>
      <c r="V451" s="4">
        <v>17</v>
      </c>
      <c r="W451" s="4">
        <v>46</v>
      </c>
    </row>
    <row r="452" spans="1:23" ht="11.25" customHeight="1" x14ac:dyDescent="0.3">
      <c r="A452" s="4" t="s">
        <v>21</v>
      </c>
      <c r="B452" s="4" t="s">
        <v>35</v>
      </c>
      <c r="C452" s="4" t="s">
        <v>23</v>
      </c>
      <c r="D452" s="4" t="s">
        <v>49</v>
      </c>
      <c r="E452" s="4" t="s">
        <v>50</v>
      </c>
      <c r="F452" s="4" t="s">
        <v>25</v>
      </c>
      <c r="G452" s="4" t="s">
        <v>25</v>
      </c>
      <c r="H452" s="4" t="s">
        <v>25</v>
      </c>
      <c r="I452" s="5">
        <v>44287</v>
      </c>
      <c r="J452" s="6">
        <v>0</v>
      </c>
      <c r="K452" s="6">
        <v>0</v>
      </c>
      <c r="L452" s="6">
        <v>14.05</v>
      </c>
      <c r="M452" s="6">
        <v>13.207000000000001</v>
      </c>
      <c r="N452" s="6">
        <v>14.05</v>
      </c>
      <c r="O452" s="6">
        <v>13.207000000000001</v>
      </c>
      <c r="P452" s="6">
        <v>3</v>
      </c>
      <c r="Q452" s="4" t="s">
        <v>26</v>
      </c>
      <c r="R452" s="4">
        <v>0</v>
      </c>
      <c r="S452" s="4" t="s">
        <v>272</v>
      </c>
      <c r="T452" s="4" t="s">
        <v>445</v>
      </c>
      <c r="U452" s="4">
        <v>0</v>
      </c>
      <c r="V452" s="4">
        <v>17</v>
      </c>
      <c r="W452" s="4">
        <v>46</v>
      </c>
    </row>
    <row r="453" spans="1:23" ht="11.25" customHeight="1" x14ac:dyDescent="0.3">
      <c r="A453" s="4" t="s">
        <v>21</v>
      </c>
      <c r="B453" s="4" t="s">
        <v>35</v>
      </c>
      <c r="C453" s="4" t="s">
        <v>23</v>
      </c>
      <c r="D453" s="4" t="s">
        <v>49</v>
      </c>
      <c r="E453" s="4" t="s">
        <v>50</v>
      </c>
      <c r="F453" s="4" t="s">
        <v>25</v>
      </c>
      <c r="G453" s="4" t="s">
        <v>25</v>
      </c>
      <c r="H453" s="4" t="s">
        <v>25</v>
      </c>
      <c r="I453" s="5">
        <v>44317</v>
      </c>
      <c r="J453" s="6">
        <v>0</v>
      </c>
      <c r="K453" s="6">
        <v>0</v>
      </c>
      <c r="L453" s="6">
        <v>22.119</v>
      </c>
      <c r="M453" s="6">
        <v>20.79186</v>
      </c>
      <c r="N453" s="6">
        <v>22.119</v>
      </c>
      <c r="O453" s="6">
        <v>20.79186</v>
      </c>
      <c r="P453" s="6">
        <v>3</v>
      </c>
      <c r="Q453" s="4" t="s">
        <v>26</v>
      </c>
      <c r="R453" s="4">
        <v>0</v>
      </c>
      <c r="S453" s="4" t="s">
        <v>273</v>
      </c>
      <c r="T453" s="4" t="s">
        <v>446</v>
      </c>
      <c r="U453" s="4">
        <v>0</v>
      </c>
      <c r="V453" s="4">
        <v>17</v>
      </c>
      <c r="W453" s="4">
        <v>46</v>
      </c>
    </row>
    <row r="454" spans="1:23" ht="11.25" customHeight="1" x14ac:dyDescent="0.3">
      <c r="A454" s="4" t="s">
        <v>21</v>
      </c>
      <c r="B454" s="4" t="s">
        <v>35</v>
      </c>
      <c r="C454" s="4" t="s">
        <v>23</v>
      </c>
      <c r="D454" s="4" t="s">
        <v>49</v>
      </c>
      <c r="E454" s="4" t="s">
        <v>50</v>
      </c>
      <c r="F454" s="4" t="s">
        <v>25</v>
      </c>
      <c r="G454" s="4" t="s">
        <v>25</v>
      </c>
      <c r="H454" s="4" t="s">
        <v>25</v>
      </c>
      <c r="I454" s="5">
        <v>44348</v>
      </c>
      <c r="J454" s="6">
        <v>0</v>
      </c>
      <c r="K454" s="6">
        <v>0</v>
      </c>
      <c r="L454" s="6">
        <v>21.76</v>
      </c>
      <c r="M454" s="6">
        <v>20.4544</v>
      </c>
      <c r="N454" s="6">
        <v>21.76</v>
      </c>
      <c r="O454" s="6">
        <v>20.4544</v>
      </c>
      <c r="P454" s="6">
        <v>3</v>
      </c>
      <c r="Q454" s="4" t="s">
        <v>26</v>
      </c>
      <c r="R454" s="4">
        <v>0</v>
      </c>
      <c r="S454" s="4" t="s">
        <v>274</v>
      </c>
      <c r="T454" s="4" t="s">
        <v>447</v>
      </c>
      <c r="U454" s="4">
        <v>0</v>
      </c>
      <c r="V454" s="4">
        <v>17</v>
      </c>
      <c r="W454" s="4">
        <v>46</v>
      </c>
    </row>
    <row r="455" spans="1:23" ht="11.25" customHeight="1" x14ac:dyDescent="0.3">
      <c r="A455" s="4" t="s">
        <v>21</v>
      </c>
      <c r="B455" s="4" t="s">
        <v>35</v>
      </c>
      <c r="C455" s="4" t="s">
        <v>23</v>
      </c>
      <c r="D455" s="4" t="s">
        <v>49</v>
      </c>
      <c r="E455" s="4" t="s">
        <v>50</v>
      </c>
      <c r="F455" s="4" t="s">
        <v>25</v>
      </c>
      <c r="G455" s="4" t="s">
        <v>25</v>
      </c>
      <c r="H455" s="4" t="s">
        <v>25</v>
      </c>
      <c r="I455" s="5">
        <v>44378</v>
      </c>
      <c r="J455" s="6">
        <v>0</v>
      </c>
      <c r="K455" s="6">
        <v>0</v>
      </c>
      <c r="L455" s="6">
        <v>9.3780000000000001</v>
      </c>
      <c r="M455" s="6">
        <v>8.8153199999999998</v>
      </c>
      <c r="N455" s="6">
        <v>9.3780000000000001</v>
      </c>
      <c r="O455" s="6">
        <v>8.8153199999999998</v>
      </c>
      <c r="P455" s="6">
        <v>3</v>
      </c>
      <c r="Q455" s="4" t="s">
        <v>26</v>
      </c>
      <c r="R455" s="4">
        <v>0</v>
      </c>
      <c r="S455" s="4" t="s">
        <v>275</v>
      </c>
      <c r="T455" s="4" t="s">
        <v>448</v>
      </c>
      <c r="U455" s="4">
        <v>0</v>
      </c>
      <c r="V455" s="4">
        <v>17</v>
      </c>
      <c r="W455" s="4">
        <v>46</v>
      </c>
    </row>
    <row r="456" spans="1:23" ht="11.25" customHeight="1" x14ac:dyDescent="0.3">
      <c r="A456" s="4" t="s">
        <v>21</v>
      </c>
      <c r="B456" s="4" t="s">
        <v>35</v>
      </c>
      <c r="C456" s="4" t="s">
        <v>23</v>
      </c>
      <c r="D456" s="4" t="s">
        <v>49</v>
      </c>
      <c r="E456" s="4" t="s">
        <v>50</v>
      </c>
      <c r="F456" s="4" t="s">
        <v>25</v>
      </c>
      <c r="G456" s="4" t="s">
        <v>25</v>
      </c>
      <c r="H456" s="4" t="s">
        <v>25</v>
      </c>
      <c r="I456" s="5">
        <v>44409</v>
      </c>
      <c r="J456" s="6">
        <v>0</v>
      </c>
      <c r="K456" s="6">
        <v>0</v>
      </c>
      <c r="L456" s="6">
        <v>14.198</v>
      </c>
      <c r="M456" s="6">
        <v>13.346120000000001</v>
      </c>
      <c r="N456" s="6">
        <v>14.198</v>
      </c>
      <c r="O456" s="6">
        <v>13.346120000000001</v>
      </c>
      <c r="P456" s="6">
        <v>3</v>
      </c>
      <c r="Q456" s="4" t="s">
        <v>26</v>
      </c>
      <c r="R456" s="4">
        <v>0</v>
      </c>
      <c r="S456" s="4" t="s">
        <v>276</v>
      </c>
      <c r="T456" s="4" t="s">
        <v>449</v>
      </c>
      <c r="U456" s="4">
        <v>0</v>
      </c>
      <c r="V456" s="4">
        <v>17</v>
      </c>
      <c r="W456" s="4">
        <v>46</v>
      </c>
    </row>
    <row r="457" spans="1:23" ht="11.25" customHeight="1" x14ac:dyDescent="0.3">
      <c r="A457" s="4" t="s">
        <v>21</v>
      </c>
      <c r="B457" s="4" t="s">
        <v>35</v>
      </c>
      <c r="C457" s="4" t="s">
        <v>23</v>
      </c>
      <c r="D457" s="4" t="s">
        <v>49</v>
      </c>
      <c r="E457" s="4" t="s">
        <v>50</v>
      </c>
      <c r="F457" s="4" t="s">
        <v>25</v>
      </c>
      <c r="G457" s="4" t="s">
        <v>25</v>
      </c>
      <c r="H457" s="4" t="s">
        <v>25</v>
      </c>
      <c r="I457" s="5">
        <v>44440</v>
      </c>
      <c r="J457" s="6">
        <v>0</v>
      </c>
      <c r="K457" s="6">
        <v>0</v>
      </c>
      <c r="L457" s="6">
        <v>13.079000000000001</v>
      </c>
      <c r="M457" s="6">
        <v>12.29426</v>
      </c>
      <c r="N457" s="6">
        <v>13.079000000000001</v>
      </c>
      <c r="O457" s="6">
        <v>12.29426</v>
      </c>
      <c r="P457" s="6">
        <v>2</v>
      </c>
      <c r="Q457" s="4" t="s">
        <v>26</v>
      </c>
      <c r="R457" s="4">
        <v>0</v>
      </c>
      <c r="S457" s="4" t="s">
        <v>277</v>
      </c>
      <c r="T457" s="4" t="s">
        <v>450</v>
      </c>
      <c r="U457" s="4">
        <v>0</v>
      </c>
      <c r="V457" s="4">
        <v>17</v>
      </c>
      <c r="W457" s="4">
        <v>46</v>
      </c>
    </row>
    <row r="458" spans="1:23" ht="11.25" customHeight="1" x14ac:dyDescent="0.3">
      <c r="A458" s="4" t="s">
        <v>21</v>
      </c>
      <c r="B458" s="4" t="s">
        <v>35</v>
      </c>
      <c r="C458" s="4" t="s">
        <v>23</v>
      </c>
      <c r="D458" s="4" t="s">
        <v>49</v>
      </c>
      <c r="E458" s="4" t="s">
        <v>50</v>
      </c>
      <c r="F458" s="4" t="s">
        <v>25</v>
      </c>
      <c r="G458" s="4" t="s">
        <v>25</v>
      </c>
      <c r="H458" s="4" t="s">
        <v>25</v>
      </c>
      <c r="I458" s="5">
        <v>44470</v>
      </c>
      <c r="J458" s="6">
        <v>0</v>
      </c>
      <c r="K458" s="6">
        <v>0</v>
      </c>
      <c r="L458" s="6">
        <v>12.247</v>
      </c>
      <c r="M458" s="6">
        <v>11.512180000000001</v>
      </c>
      <c r="N458" s="6">
        <v>12.247</v>
      </c>
      <c r="O458" s="6">
        <v>11.512180000000001</v>
      </c>
      <c r="P458" s="6">
        <v>2</v>
      </c>
      <c r="Q458" s="4" t="s">
        <v>26</v>
      </c>
      <c r="R458" s="4">
        <v>0</v>
      </c>
      <c r="S458" s="4" t="s">
        <v>278</v>
      </c>
      <c r="T458" s="4" t="s">
        <v>451</v>
      </c>
      <c r="U458" s="4">
        <v>0</v>
      </c>
      <c r="V458" s="4">
        <v>17</v>
      </c>
      <c r="W458" s="4">
        <v>46</v>
      </c>
    </row>
    <row r="459" spans="1:23" ht="11.25" customHeight="1" x14ac:dyDescent="0.3">
      <c r="A459" s="4" t="s">
        <v>21</v>
      </c>
      <c r="B459" s="4" t="s">
        <v>35</v>
      </c>
      <c r="C459" s="4" t="s">
        <v>23</v>
      </c>
      <c r="D459" s="4" t="s">
        <v>49</v>
      </c>
      <c r="E459" s="4" t="s">
        <v>50</v>
      </c>
      <c r="F459" s="4" t="s">
        <v>25</v>
      </c>
      <c r="G459" s="4" t="s">
        <v>25</v>
      </c>
      <c r="H459" s="4" t="s">
        <v>25</v>
      </c>
      <c r="I459" s="5">
        <v>44501</v>
      </c>
      <c r="J459" s="6">
        <v>0</v>
      </c>
      <c r="K459" s="6">
        <v>0</v>
      </c>
      <c r="L459" s="6">
        <v>12.291</v>
      </c>
      <c r="M459" s="6">
        <v>11.55354</v>
      </c>
      <c r="N459" s="6">
        <v>12.291</v>
      </c>
      <c r="O459" s="6">
        <v>11.55354</v>
      </c>
      <c r="P459" s="6">
        <v>2</v>
      </c>
      <c r="Q459" s="4" t="s">
        <v>26</v>
      </c>
      <c r="R459" s="4">
        <v>0</v>
      </c>
      <c r="S459" s="4" t="s">
        <v>279</v>
      </c>
      <c r="T459" s="4" t="s">
        <v>452</v>
      </c>
      <c r="U459" s="4">
        <v>0</v>
      </c>
      <c r="V459" s="4">
        <v>17</v>
      </c>
      <c r="W459" s="4">
        <v>46</v>
      </c>
    </row>
    <row r="460" spans="1:23" ht="11.25" customHeight="1" x14ac:dyDescent="0.3">
      <c r="A460" s="4" t="s">
        <v>21</v>
      </c>
      <c r="B460" s="4" t="s">
        <v>35</v>
      </c>
      <c r="C460" s="4" t="s">
        <v>23</v>
      </c>
      <c r="D460" s="4" t="s">
        <v>49</v>
      </c>
      <c r="E460" s="4" t="s">
        <v>50</v>
      </c>
      <c r="F460" s="4" t="s">
        <v>25</v>
      </c>
      <c r="G460" s="4" t="s">
        <v>25</v>
      </c>
      <c r="H460" s="4" t="s">
        <v>25</v>
      </c>
      <c r="I460" s="5">
        <v>44531</v>
      </c>
      <c r="J460" s="6">
        <v>0</v>
      </c>
      <c r="K460" s="6">
        <v>0</v>
      </c>
      <c r="L460" s="6">
        <v>14.467000000000001</v>
      </c>
      <c r="M460" s="6">
        <v>13.598979999999999</v>
      </c>
      <c r="N460" s="6">
        <v>14.467000000000001</v>
      </c>
      <c r="O460" s="6">
        <v>13.598979999999999</v>
      </c>
      <c r="P460" s="6">
        <v>2</v>
      </c>
      <c r="Q460" s="4" t="s">
        <v>26</v>
      </c>
      <c r="R460" s="4">
        <v>0</v>
      </c>
      <c r="S460" s="4" t="s">
        <v>280</v>
      </c>
      <c r="T460" s="4" t="s">
        <v>453</v>
      </c>
      <c r="U460" s="4">
        <v>0</v>
      </c>
      <c r="V460" s="4">
        <v>17</v>
      </c>
      <c r="W460" s="4">
        <v>46</v>
      </c>
    </row>
    <row r="461" spans="1:23" ht="11.25" customHeight="1" x14ac:dyDescent="0.3">
      <c r="A461" s="4" t="s">
        <v>21</v>
      </c>
      <c r="B461" s="4" t="s">
        <v>35</v>
      </c>
      <c r="C461" s="4" t="s">
        <v>23</v>
      </c>
      <c r="D461" s="4" t="s">
        <v>49</v>
      </c>
      <c r="E461" s="4" t="s">
        <v>50</v>
      </c>
      <c r="F461" s="4" t="s">
        <v>25</v>
      </c>
      <c r="G461" s="4" t="s">
        <v>25</v>
      </c>
      <c r="H461" s="4" t="s">
        <v>25</v>
      </c>
      <c r="I461" s="5">
        <v>44562</v>
      </c>
      <c r="J461" s="6">
        <v>0</v>
      </c>
      <c r="K461" s="6">
        <v>0</v>
      </c>
      <c r="L461" s="6">
        <v>14.925000000000001</v>
      </c>
      <c r="M461" s="6">
        <v>14.029500000000001</v>
      </c>
      <c r="N461" s="6">
        <v>14.925000000000001</v>
      </c>
      <c r="O461" s="6">
        <v>14.029500000000001</v>
      </c>
      <c r="P461" s="6">
        <v>2</v>
      </c>
      <c r="Q461" s="4" t="s">
        <v>26</v>
      </c>
      <c r="R461" s="4">
        <v>0</v>
      </c>
      <c r="S461" s="4" t="s">
        <v>281</v>
      </c>
      <c r="T461" s="4" t="s">
        <v>454</v>
      </c>
      <c r="U461" s="4">
        <v>0</v>
      </c>
      <c r="V461" s="4">
        <v>17</v>
      </c>
      <c r="W461" s="4">
        <v>46</v>
      </c>
    </row>
    <row r="462" spans="1:23" ht="11.25" customHeight="1" x14ac:dyDescent="0.3">
      <c r="A462" s="4" t="s">
        <v>21</v>
      </c>
      <c r="B462" s="4" t="s">
        <v>35</v>
      </c>
      <c r="C462" s="4" t="s">
        <v>23</v>
      </c>
      <c r="D462" s="4" t="s">
        <v>49</v>
      </c>
      <c r="E462" s="4" t="s">
        <v>50</v>
      </c>
      <c r="F462" s="4" t="s">
        <v>25</v>
      </c>
      <c r="G462" s="4" t="s">
        <v>25</v>
      </c>
      <c r="H462" s="4" t="s">
        <v>25</v>
      </c>
      <c r="I462" s="5">
        <v>44593</v>
      </c>
      <c r="J462" s="6">
        <v>0</v>
      </c>
      <c r="K462" s="6">
        <v>0</v>
      </c>
      <c r="L462" s="6">
        <v>18.042999999999999</v>
      </c>
      <c r="M462" s="6">
        <v>16.960419999999999</v>
      </c>
      <c r="N462" s="6">
        <v>18.042999999999999</v>
      </c>
      <c r="O462" s="6">
        <v>16.960419999999999</v>
      </c>
      <c r="P462" s="6">
        <v>2</v>
      </c>
      <c r="Q462" s="4" t="s">
        <v>26</v>
      </c>
      <c r="R462" s="4">
        <v>0</v>
      </c>
      <c r="S462" s="4" t="s">
        <v>282</v>
      </c>
      <c r="T462" s="4" t="s">
        <v>455</v>
      </c>
      <c r="U462" s="4">
        <v>0</v>
      </c>
      <c r="V462" s="4">
        <v>17</v>
      </c>
      <c r="W462" s="4">
        <v>46</v>
      </c>
    </row>
    <row r="463" spans="1:23" ht="11.25" customHeight="1" x14ac:dyDescent="0.3">
      <c r="A463" s="4" t="s">
        <v>21</v>
      </c>
      <c r="B463" s="4" t="s">
        <v>35</v>
      </c>
      <c r="C463" s="4" t="s">
        <v>23</v>
      </c>
      <c r="D463" s="4" t="s">
        <v>49</v>
      </c>
      <c r="E463" s="4" t="s">
        <v>50</v>
      </c>
      <c r="F463" s="4" t="s">
        <v>25</v>
      </c>
      <c r="G463" s="4" t="s">
        <v>25</v>
      </c>
      <c r="H463" s="4" t="s">
        <v>25</v>
      </c>
      <c r="I463" s="5">
        <v>44621</v>
      </c>
      <c r="J463" s="6">
        <v>0</v>
      </c>
      <c r="K463" s="6">
        <v>0</v>
      </c>
      <c r="L463" s="6">
        <v>15.497</v>
      </c>
      <c r="M463" s="6">
        <v>14.56718</v>
      </c>
      <c r="N463" s="6">
        <v>15.497</v>
      </c>
      <c r="O463" s="6">
        <v>14.56718</v>
      </c>
      <c r="P463" s="6">
        <v>2</v>
      </c>
      <c r="Q463" s="4" t="s">
        <v>26</v>
      </c>
      <c r="R463" s="4">
        <v>0</v>
      </c>
      <c r="S463" s="4" t="s">
        <v>283</v>
      </c>
      <c r="T463" s="4" t="s">
        <v>456</v>
      </c>
      <c r="U463" s="4">
        <v>0</v>
      </c>
      <c r="V463" s="4">
        <v>17</v>
      </c>
      <c r="W463" s="4">
        <v>46</v>
      </c>
    </row>
    <row r="464" spans="1:23" ht="11.25" customHeight="1" x14ac:dyDescent="0.3">
      <c r="A464" s="4" t="s">
        <v>21</v>
      </c>
      <c r="B464" s="4" t="s">
        <v>46</v>
      </c>
      <c r="C464" s="4" t="s">
        <v>23</v>
      </c>
      <c r="D464" s="4" t="s">
        <v>47</v>
      </c>
      <c r="E464" s="4" t="s">
        <v>48</v>
      </c>
      <c r="F464" s="4" t="s">
        <v>25</v>
      </c>
      <c r="G464" s="4" t="s">
        <v>25</v>
      </c>
      <c r="H464" s="4" t="s">
        <v>25</v>
      </c>
      <c r="I464" s="5">
        <v>44287</v>
      </c>
      <c r="J464" s="6">
        <v>0</v>
      </c>
      <c r="K464" s="6">
        <v>0</v>
      </c>
      <c r="L464" s="6">
        <v>267.41500000000002</v>
      </c>
      <c r="M464" s="6">
        <v>267.41500000000002</v>
      </c>
      <c r="N464" s="6">
        <v>267.41500000000002</v>
      </c>
      <c r="O464" s="6">
        <v>267.41500000000002</v>
      </c>
      <c r="P464" s="6">
        <v>3</v>
      </c>
      <c r="Q464" s="4" t="s">
        <v>26</v>
      </c>
      <c r="R464" s="4">
        <v>0</v>
      </c>
      <c r="S464" s="4" t="s">
        <v>284</v>
      </c>
      <c r="T464" s="4" t="s">
        <v>457</v>
      </c>
      <c r="U464" s="4">
        <v>0</v>
      </c>
      <c r="V464" s="4">
        <v>19</v>
      </c>
      <c r="W464" s="4">
        <v>48</v>
      </c>
    </row>
    <row r="465" spans="1:23" ht="11.25" customHeight="1" x14ac:dyDescent="0.3">
      <c r="A465" s="4" t="s">
        <v>21</v>
      </c>
      <c r="B465" s="4" t="s">
        <v>46</v>
      </c>
      <c r="C465" s="4" t="s">
        <v>23</v>
      </c>
      <c r="D465" s="4" t="s">
        <v>47</v>
      </c>
      <c r="E465" s="4" t="s">
        <v>48</v>
      </c>
      <c r="F465" s="4" t="s">
        <v>25</v>
      </c>
      <c r="G465" s="4" t="s">
        <v>25</v>
      </c>
      <c r="H465" s="4" t="s">
        <v>25</v>
      </c>
      <c r="I465" s="5">
        <v>44317</v>
      </c>
      <c r="J465" s="6">
        <v>0</v>
      </c>
      <c r="K465" s="6">
        <v>0</v>
      </c>
      <c r="L465" s="6">
        <v>291.803</v>
      </c>
      <c r="M465" s="6">
        <v>291.803</v>
      </c>
      <c r="N465" s="6">
        <v>291.803</v>
      </c>
      <c r="O465" s="6">
        <v>291.803</v>
      </c>
      <c r="P465" s="6">
        <v>3</v>
      </c>
      <c r="Q465" s="4" t="s">
        <v>26</v>
      </c>
      <c r="R465" s="4">
        <v>0</v>
      </c>
      <c r="S465" s="4" t="s">
        <v>285</v>
      </c>
      <c r="T465" s="4" t="s">
        <v>458</v>
      </c>
      <c r="U465" s="4">
        <v>0</v>
      </c>
      <c r="V465" s="4">
        <v>19</v>
      </c>
      <c r="W465" s="4">
        <v>48</v>
      </c>
    </row>
    <row r="466" spans="1:23" ht="11.25" customHeight="1" x14ac:dyDescent="0.3">
      <c r="A466" s="4" t="s">
        <v>21</v>
      </c>
      <c r="B466" s="4" t="s">
        <v>46</v>
      </c>
      <c r="C466" s="4" t="s">
        <v>23</v>
      </c>
      <c r="D466" s="4" t="s">
        <v>47</v>
      </c>
      <c r="E466" s="4" t="s">
        <v>48</v>
      </c>
      <c r="F466" s="4" t="s">
        <v>25</v>
      </c>
      <c r="G466" s="4" t="s">
        <v>25</v>
      </c>
      <c r="H466" s="4" t="s">
        <v>25</v>
      </c>
      <c r="I466" s="5">
        <v>44348</v>
      </c>
      <c r="J466" s="6">
        <v>0</v>
      </c>
      <c r="K466" s="6">
        <v>0</v>
      </c>
      <c r="L466" s="6">
        <v>288.34699999999998</v>
      </c>
      <c r="M466" s="6">
        <v>288.34699999999998</v>
      </c>
      <c r="N466" s="6">
        <v>288.34699999999998</v>
      </c>
      <c r="O466" s="6">
        <v>288.34699999999998</v>
      </c>
      <c r="P466" s="6">
        <v>3</v>
      </c>
      <c r="Q466" s="4" t="s">
        <v>26</v>
      </c>
      <c r="R466" s="4">
        <v>0</v>
      </c>
      <c r="S466" s="4" t="s">
        <v>286</v>
      </c>
      <c r="T466" s="4" t="s">
        <v>459</v>
      </c>
      <c r="U466" s="4">
        <v>0</v>
      </c>
      <c r="V466" s="4">
        <v>19</v>
      </c>
      <c r="W466" s="4">
        <v>48</v>
      </c>
    </row>
    <row r="467" spans="1:23" ht="11.25" customHeight="1" x14ac:dyDescent="0.3">
      <c r="A467" s="4" t="s">
        <v>21</v>
      </c>
      <c r="B467" s="4" t="s">
        <v>46</v>
      </c>
      <c r="C467" s="4" t="s">
        <v>23</v>
      </c>
      <c r="D467" s="4" t="s">
        <v>47</v>
      </c>
      <c r="E467" s="4" t="s">
        <v>48</v>
      </c>
      <c r="F467" s="4" t="s">
        <v>25</v>
      </c>
      <c r="G467" s="4" t="s">
        <v>25</v>
      </c>
      <c r="H467" s="4" t="s">
        <v>25</v>
      </c>
      <c r="I467" s="5">
        <v>44378</v>
      </c>
      <c r="J467" s="6">
        <v>0</v>
      </c>
      <c r="K467" s="6">
        <v>0</v>
      </c>
      <c r="L467" s="6">
        <v>294.88200000000001</v>
      </c>
      <c r="M467" s="6">
        <v>294.88200000000001</v>
      </c>
      <c r="N467" s="6">
        <v>294.88200000000001</v>
      </c>
      <c r="O467" s="6">
        <v>294.88200000000001</v>
      </c>
      <c r="P467" s="6">
        <v>3</v>
      </c>
      <c r="Q467" s="4" t="s">
        <v>26</v>
      </c>
      <c r="R467" s="4">
        <v>0</v>
      </c>
      <c r="S467" s="4" t="s">
        <v>287</v>
      </c>
      <c r="T467" s="4" t="s">
        <v>460</v>
      </c>
      <c r="U467" s="4">
        <v>0</v>
      </c>
      <c r="V467" s="4">
        <v>19</v>
      </c>
      <c r="W467" s="4">
        <v>48</v>
      </c>
    </row>
    <row r="468" spans="1:23" ht="11.25" customHeight="1" x14ac:dyDescent="0.3">
      <c r="A468" s="4" t="s">
        <v>21</v>
      </c>
      <c r="B468" s="4" t="s">
        <v>46</v>
      </c>
      <c r="C468" s="4" t="s">
        <v>23</v>
      </c>
      <c r="D468" s="4" t="s">
        <v>47</v>
      </c>
      <c r="E468" s="4" t="s">
        <v>48</v>
      </c>
      <c r="F468" s="4" t="s">
        <v>25</v>
      </c>
      <c r="G468" s="4" t="s">
        <v>25</v>
      </c>
      <c r="H468" s="4" t="s">
        <v>25</v>
      </c>
      <c r="I468" s="5">
        <v>44409</v>
      </c>
      <c r="J468" s="6">
        <v>0</v>
      </c>
      <c r="K468" s="6">
        <v>0</v>
      </c>
      <c r="L468" s="6">
        <v>284.49299999999999</v>
      </c>
      <c r="M468" s="6">
        <v>284.49299999999999</v>
      </c>
      <c r="N468" s="6">
        <v>284.49299999999999</v>
      </c>
      <c r="O468" s="6">
        <v>284.49299999999999</v>
      </c>
      <c r="P468" s="6">
        <v>3</v>
      </c>
      <c r="Q468" s="4" t="s">
        <v>26</v>
      </c>
      <c r="R468" s="4">
        <v>0</v>
      </c>
      <c r="S468" s="4" t="s">
        <v>288</v>
      </c>
      <c r="T468" s="4" t="s">
        <v>461</v>
      </c>
      <c r="U468" s="4">
        <v>0</v>
      </c>
      <c r="V468" s="4">
        <v>19</v>
      </c>
      <c r="W468" s="4">
        <v>48</v>
      </c>
    </row>
    <row r="469" spans="1:23" ht="11.25" customHeight="1" x14ac:dyDescent="0.3">
      <c r="A469" s="4" t="s">
        <v>21</v>
      </c>
      <c r="B469" s="4" t="s">
        <v>46</v>
      </c>
      <c r="C469" s="4" t="s">
        <v>23</v>
      </c>
      <c r="D469" s="4" t="s">
        <v>47</v>
      </c>
      <c r="E469" s="4" t="s">
        <v>48</v>
      </c>
      <c r="F469" s="4" t="s">
        <v>25</v>
      </c>
      <c r="G469" s="4" t="s">
        <v>25</v>
      </c>
      <c r="H469" s="4" t="s">
        <v>25</v>
      </c>
      <c r="I469" s="5">
        <v>44440</v>
      </c>
      <c r="J469" s="6">
        <v>0</v>
      </c>
      <c r="K469" s="6">
        <v>0</v>
      </c>
      <c r="L469" s="6">
        <v>260.94600000000003</v>
      </c>
      <c r="M469" s="6">
        <v>260.94600000000003</v>
      </c>
      <c r="N469" s="6">
        <v>260.94600000000003</v>
      </c>
      <c r="O469" s="6">
        <v>260.94600000000003</v>
      </c>
      <c r="P469" s="6">
        <v>3</v>
      </c>
      <c r="Q469" s="4" t="s">
        <v>26</v>
      </c>
      <c r="R469" s="4">
        <v>0</v>
      </c>
      <c r="S469" s="4" t="s">
        <v>289</v>
      </c>
      <c r="T469" s="4" t="s">
        <v>462</v>
      </c>
      <c r="U469" s="4">
        <v>0</v>
      </c>
      <c r="V469" s="4">
        <v>19</v>
      </c>
      <c r="W469" s="4">
        <v>48</v>
      </c>
    </row>
    <row r="470" spans="1:23" ht="11.25" customHeight="1" x14ac:dyDescent="0.3">
      <c r="A470" s="4" t="s">
        <v>21</v>
      </c>
      <c r="B470" s="4" t="s">
        <v>46</v>
      </c>
      <c r="C470" s="4" t="s">
        <v>23</v>
      </c>
      <c r="D470" s="4" t="s">
        <v>47</v>
      </c>
      <c r="E470" s="4" t="s">
        <v>48</v>
      </c>
      <c r="F470" s="4" t="s">
        <v>25</v>
      </c>
      <c r="G470" s="4" t="s">
        <v>25</v>
      </c>
      <c r="H470" s="4" t="s">
        <v>25</v>
      </c>
      <c r="I470" s="5">
        <v>44470</v>
      </c>
      <c r="J470" s="6">
        <v>0</v>
      </c>
      <c r="K470" s="6">
        <v>0</v>
      </c>
      <c r="L470" s="6">
        <v>253.86</v>
      </c>
      <c r="M470" s="6">
        <v>253.86</v>
      </c>
      <c r="N470" s="6">
        <v>253.86</v>
      </c>
      <c r="O470" s="6">
        <v>253.86</v>
      </c>
      <c r="P470" s="6">
        <v>3</v>
      </c>
      <c r="Q470" s="4" t="s">
        <v>26</v>
      </c>
      <c r="R470" s="4">
        <v>0</v>
      </c>
      <c r="S470" s="4" t="s">
        <v>290</v>
      </c>
      <c r="T470" s="4" t="s">
        <v>463</v>
      </c>
      <c r="U470" s="4">
        <v>0</v>
      </c>
      <c r="V470" s="4">
        <v>19</v>
      </c>
      <c r="W470" s="4">
        <v>48</v>
      </c>
    </row>
    <row r="471" spans="1:23" ht="11.25" customHeight="1" x14ac:dyDescent="0.3">
      <c r="A471" s="4" t="s">
        <v>21</v>
      </c>
      <c r="B471" s="4" t="s">
        <v>46</v>
      </c>
      <c r="C471" s="4" t="s">
        <v>23</v>
      </c>
      <c r="D471" s="4" t="s">
        <v>47</v>
      </c>
      <c r="E471" s="4" t="s">
        <v>48</v>
      </c>
      <c r="F471" s="4" t="s">
        <v>25</v>
      </c>
      <c r="G471" s="4" t="s">
        <v>25</v>
      </c>
      <c r="H471" s="4" t="s">
        <v>25</v>
      </c>
      <c r="I471" s="5">
        <v>44501</v>
      </c>
      <c r="J471" s="6">
        <v>0</v>
      </c>
      <c r="K471" s="6">
        <v>0</v>
      </c>
      <c r="L471" s="6">
        <v>232.631</v>
      </c>
      <c r="M471" s="6">
        <v>232.631</v>
      </c>
      <c r="N471" s="6">
        <v>232.631</v>
      </c>
      <c r="O471" s="6">
        <v>232.631</v>
      </c>
      <c r="P471" s="6">
        <v>3</v>
      </c>
      <c r="Q471" s="4" t="s">
        <v>26</v>
      </c>
      <c r="R471" s="4">
        <v>0</v>
      </c>
      <c r="S471" s="4" t="s">
        <v>291</v>
      </c>
      <c r="T471" s="4" t="s">
        <v>464</v>
      </c>
      <c r="U471" s="4">
        <v>0</v>
      </c>
      <c r="V471" s="4">
        <v>19</v>
      </c>
      <c r="W471" s="4">
        <v>48</v>
      </c>
    </row>
    <row r="472" spans="1:23" ht="11.25" customHeight="1" x14ac:dyDescent="0.3">
      <c r="A472" s="4" t="s">
        <v>21</v>
      </c>
      <c r="B472" s="4" t="s">
        <v>46</v>
      </c>
      <c r="C472" s="4" t="s">
        <v>23</v>
      </c>
      <c r="D472" s="4" t="s">
        <v>47</v>
      </c>
      <c r="E472" s="4" t="s">
        <v>48</v>
      </c>
      <c r="F472" s="4" t="s">
        <v>25</v>
      </c>
      <c r="G472" s="4" t="s">
        <v>25</v>
      </c>
      <c r="H472" s="4" t="s">
        <v>25</v>
      </c>
      <c r="I472" s="5">
        <v>44531</v>
      </c>
      <c r="J472" s="6">
        <v>0</v>
      </c>
      <c r="K472" s="6">
        <v>0</v>
      </c>
      <c r="L472" s="6">
        <v>241.02600000000001</v>
      </c>
      <c r="M472" s="6">
        <v>241.02600000000001</v>
      </c>
      <c r="N472" s="6">
        <v>241.02600000000001</v>
      </c>
      <c r="O472" s="6">
        <v>241.02600000000001</v>
      </c>
      <c r="P472" s="6">
        <v>3</v>
      </c>
      <c r="Q472" s="4" t="s">
        <v>26</v>
      </c>
      <c r="R472" s="4">
        <v>0</v>
      </c>
      <c r="S472" s="4" t="s">
        <v>292</v>
      </c>
      <c r="T472" s="4" t="s">
        <v>465</v>
      </c>
      <c r="U472" s="4">
        <v>0</v>
      </c>
      <c r="V472" s="4">
        <v>19</v>
      </c>
      <c r="W472" s="4">
        <v>48</v>
      </c>
    </row>
    <row r="473" spans="1:23" ht="11.25" customHeight="1" x14ac:dyDescent="0.3">
      <c r="A473" s="4" t="s">
        <v>21</v>
      </c>
      <c r="B473" s="4" t="s">
        <v>46</v>
      </c>
      <c r="C473" s="4" t="s">
        <v>23</v>
      </c>
      <c r="D473" s="4" t="s">
        <v>47</v>
      </c>
      <c r="E473" s="4" t="s">
        <v>48</v>
      </c>
      <c r="F473" s="4" t="s">
        <v>25</v>
      </c>
      <c r="G473" s="4" t="s">
        <v>25</v>
      </c>
      <c r="H473" s="4" t="s">
        <v>25</v>
      </c>
      <c r="I473" s="5">
        <v>44562</v>
      </c>
      <c r="J473" s="6">
        <v>0</v>
      </c>
      <c r="K473" s="6">
        <v>0</v>
      </c>
      <c r="L473" s="6">
        <v>244.99600000000001</v>
      </c>
      <c r="M473" s="6">
        <v>244.99600000000001</v>
      </c>
      <c r="N473" s="6">
        <v>244.99600000000001</v>
      </c>
      <c r="O473" s="6">
        <v>244.99600000000001</v>
      </c>
      <c r="P473" s="6">
        <v>3</v>
      </c>
      <c r="Q473" s="4" t="s">
        <v>26</v>
      </c>
      <c r="R473" s="4">
        <v>0</v>
      </c>
      <c r="S473" s="4" t="s">
        <v>293</v>
      </c>
      <c r="T473" s="4" t="s">
        <v>466</v>
      </c>
      <c r="U473" s="4">
        <v>0</v>
      </c>
      <c r="V473" s="4">
        <v>19</v>
      </c>
      <c r="W473" s="4">
        <v>48</v>
      </c>
    </row>
    <row r="474" spans="1:23" ht="11.25" customHeight="1" x14ac:dyDescent="0.3">
      <c r="A474" s="4" t="s">
        <v>21</v>
      </c>
      <c r="B474" s="4" t="s">
        <v>46</v>
      </c>
      <c r="C474" s="4" t="s">
        <v>23</v>
      </c>
      <c r="D474" s="4" t="s">
        <v>47</v>
      </c>
      <c r="E474" s="4" t="s">
        <v>48</v>
      </c>
      <c r="F474" s="4" t="s">
        <v>25</v>
      </c>
      <c r="G474" s="4" t="s">
        <v>25</v>
      </c>
      <c r="H474" s="4" t="s">
        <v>25</v>
      </c>
      <c r="I474" s="5">
        <v>44593</v>
      </c>
      <c r="J474" s="6">
        <v>0</v>
      </c>
      <c r="K474" s="6">
        <v>0</v>
      </c>
      <c r="L474" s="6">
        <v>232.03800000000001</v>
      </c>
      <c r="M474" s="6">
        <v>232.03800000000001</v>
      </c>
      <c r="N474" s="6">
        <v>232.03800000000001</v>
      </c>
      <c r="O474" s="6">
        <v>232.03800000000001</v>
      </c>
      <c r="P474" s="6">
        <v>3</v>
      </c>
      <c r="Q474" s="4" t="s">
        <v>26</v>
      </c>
      <c r="R474" s="4">
        <v>0</v>
      </c>
      <c r="S474" s="4" t="s">
        <v>294</v>
      </c>
      <c r="T474" s="4" t="s">
        <v>467</v>
      </c>
      <c r="U474" s="4">
        <v>0</v>
      </c>
      <c r="V474" s="4">
        <v>19</v>
      </c>
      <c r="W474" s="4">
        <v>48</v>
      </c>
    </row>
    <row r="475" spans="1:23" ht="11.25" customHeight="1" x14ac:dyDescent="0.3">
      <c r="A475" s="4" t="s">
        <v>21</v>
      </c>
      <c r="B475" s="4" t="s">
        <v>46</v>
      </c>
      <c r="C475" s="4" t="s">
        <v>23</v>
      </c>
      <c r="D475" s="4" t="s">
        <v>47</v>
      </c>
      <c r="E475" s="4" t="s">
        <v>48</v>
      </c>
      <c r="F475" s="4" t="s">
        <v>25</v>
      </c>
      <c r="G475" s="4" t="s">
        <v>25</v>
      </c>
      <c r="H475" s="4" t="s">
        <v>25</v>
      </c>
      <c r="I475" s="5">
        <v>44621</v>
      </c>
      <c r="J475" s="6">
        <v>0</v>
      </c>
      <c r="K475" s="6">
        <v>0</v>
      </c>
      <c r="L475" s="6">
        <v>271.97899999999998</v>
      </c>
      <c r="M475" s="6">
        <v>271.97899999999998</v>
      </c>
      <c r="N475" s="6">
        <v>271.97899999999998</v>
      </c>
      <c r="O475" s="6">
        <v>271.97899999999998</v>
      </c>
      <c r="P475" s="6">
        <v>3</v>
      </c>
      <c r="Q475" s="4" t="s">
        <v>26</v>
      </c>
      <c r="R475" s="4">
        <v>0</v>
      </c>
      <c r="S475" s="4" t="s">
        <v>295</v>
      </c>
      <c r="T475" s="4" t="s">
        <v>468</v>
      </c>
      <c r="U475" s="4">
        <v>0</v>
      </c>
      <c r="V475" s="4">
        <v>19</v>
      </c>
      <c r="W475" s="4">
        <v>48</v>
      </c>
    </row>
  </sheetData>
  <sortState xmlns:xlrd2="http://schemas.microsoft.com/office/spreadsheetml/2017/richdata2" ref="A2:W475">
    <sortCondition ref="B2:B475"/>
    <sortCondition ref="C2:C475"/>
    <sortCondition ref="D2:D475"/>
    <sortCondition ref="E2:E475"/>
    <sortCondition ref="F2:F475"/>
    <sortCondition ref="H2:H47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2C1C-2F26-4082-BC9F-5459D6A219F3}">
  <dimension ref="A1:H53"/>
  <sheetViews>
    <sheetView showGridLines="0" workbookViewId="0">
      <selection activeCell="H1" sqref="H1"/>
    </sheetView>
  </sheetViews>
  <sheetFormatPr defaultColWidth="9.109375" defaultRowHeight="11.25" customHeight="1" x14ac:dyDescent="0.3"/>
  <cols>
    <col min="1" max="1" width="12.109375" style="8" bestFit="1" customWidth="1"/>
    <col min="2" max="2" width="15.88671875" style="8" bestFit="1" customWidth="1"/>
    <col min="3" max="3" width="4.6640625" style="8" bestFit="1" customWidth="1"/>
    <col min="4" max="4" width="6.44140625" style="8" bestFit="1" customWidth="1"/>
    <col min="5" max="5" width="8.44140625" style="8" bestFit="1" customWidth="1"/>
    <col min="6" max="6" width="9.109375" style="8"/>
    <col min="7" max="7" width="18.5546875" style="8" bestFit="1" customWidth="1"/>
    <col min="8" max="8" width="2" style="8" bestFit="1" customWidth="1"/>
    <col min="9" max="16384" width="9.109375" style="8"/>
  </cols>
  <sheetData>
    <row r="1" spans="1:8" s="7" customFormat="1" ht="11.25" customHeight="1" x14ac:dyDescent="0.3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G1" s="7" t="s">
        <v>61</v>
      </c>
      <c r="H1" s="7">
        <f>COUNTA(A:A)</f>
        <v>53</v>
      </c>
    </row>
    <row r="2" spans="1:8" ht="11.25" customHeight="1" x14ac:dyDescent="0.3">
      <c r="A2" s="8" t="s">
        <v>321</v>
      </c>
      <c r="B2" s="8" t="s">
        <v>322</v>
      </c>
      <c r="C2" s="8" t="s">
        <v>323</v>
      </c>
      <c r="D2" s="8">
        <v>38</v>
      </c>
      <c r="E2" s="8" t="s">
        <v>324</v>
      </c>
    </row>
    <row r="3" spans="1:8" ht="11.25" customHeight="1" x14ac:dyDescent="0.3">
      <c r="A3" s="8" t="s">
        <v>321</v>
      </c>
      <c r="B3" s="8" t="s">
        <v>322</v>
      </c>
      <c r="C3" s="8" t="s">
        <v>323</v>
      </c>
      <c r="D3" s="8">
        <v>39</v>
      </c>
      <c r="E3" s="8" t="s">
        <v>324</v>
      </c>
    </row>
    <row r="4" spans="1:8" ht="11.25" customHeight="1" x14ac:dyDescent="0.3">
      <c r="A4" s="8" t="s">
        <v>321</v>
      </c>
      <c r="B4" s="8" t="s">
        <v>322</v>
      </c>
      <c r="C4" s="8" t="s">
        <v>323</v>
      </c>
      <c r="D4" s="8">
        <v>40</v>
      </c>
      <c r="E4" s="8" t="s">
        <v>324</v>
      </c>
    </row>
    <row r="5" spans="1:8" ht="11.25" customHeight="1" x14ac:dyDescent="0.3">
      <c r="A5" s="8" t="s">
        <v>321</v>
      </c>
      <c r="B5" s="8" t="s">
        <v>322</v>
      </c>
      <c r="C5" s="8" t="s">
        <v>323</v>
      </c>
      <c r="D5" s="8">
        <v>41</v>
      </c>
      <c r="E5" s="8" t="s">
        <v>324</v>
      </c>
    </row>
    <row r="6" spans="1:8" ht="11.25" customHeight="1" x14ac:dyDescent="0.3">
      <c r="A6" s="8" t="s">
        <v>321</v>
      </c>
      <c r="B6" s="8" t="s">
        <v>322</v>
      </c>
      <c r="C6" s="8" t="s">
        <v>323</v>
      </c>
      <c r="D6" s="8">
        <v>42</v>
      </c>
      <c r="E6" s="8" t="s">
        <v>324</v>
      </c>
    </row>
    <row r="7" spans="1:8" ht="11.25" customHeight="1" x14ac:dyDescent="0.3">
      <c r="A7" s="8" t="s">
        <v>321</v>
      </c>
      <c r="B7" s="8" t="s">
        <v>322</v>
      </c>
      <c r="C7" s="8" t="s">
        <v>323</v>
      </c>
      <c r="D7" s="8">
        <v>43</v>
      </c>
      <c r="E7" s="8" t="s">
        <v>324</v>
      </c>
    </row>
    <row r="8" spans="1:8" ht="11.25" customHeight="1" x14ac:dyDescent="0.3">
      <c r="A8" s="8" t="s">
        <v>321</v>
      </c>
      <c r="B8" s="8" t="s">
        <v>322</v>
      </c>
      <c r="C8" s="8" t="s">
        <v>323</v>
      </c>
      <c r="D8" s="8">
        <v>44</v>
      </c>
      <c r="E8" s="8" t="s">
        <v>324</v>
      </c>
    </row>
    <row r="9" spans="1:8" ht="11.25" customHeight="1" x14ac:dyDescent="0.3">
      <c r="A9" s="8" t="s">
        <v>321</v>
      </c>
      <c r="B9" s="8" t="s">
        <v>322</v>
      </c>
      <c r="C9" s="8" t="s">
        <v>323</v>
      </c>
      <c r="D9" s="8">
        <v>45</v>
      </c>
      <c r="E9" s="8" t="s">
        <v>324</v>
      </c>
    </row>
    <row r="10" spans="1:8" ht="11.25" customHeight="1" x14ac:dyDescent="0.3">
      <c r="A10" s="8" t="s">
        <v>321</v>
      </c>
      <c r="B10" s="8" t="s">
        <v>322</v>
      </c>
      <c r="C10" s="8" t="s">
        <v>323</v>
      </c>
      <c r="D10" s="8">
        <v>46</v>
      </c>
      <c r="E10" s="8" t="s">
        <v>324</v>
      </c>
    </row>
    <row r="11" spans="1:8" ht="11.25" customHeight="1" x14ac:dyDescent="0.3">
      <c r="A11" s="8" t="s">
        <v>321</v>
      </c>
      <c r="B11" s="8" t="s">
        <v>322</v>
      </c>
      <c r="C11" s="8" t="s">
        <v>323</v>
      </c>
      <c r="D11" s="8">
        <v>47</v>
      </c>
      <c r="E11" s="8" t="s">
        <v>324</v>
      </c>
    </row>
    <row r="12" spans="1:8" ht="11.25" customHeight="1" x14ac:dyDescent="0.3">
      <c r="A12" s="8" t="s">
        <v>321</v>
      </c>
      <c r="B12" s="8" t="s">
        <v>322</v>
      </c>
      <c r="C12" s="8" t="s">
        <v>323</v>
      </c>
      <c r="D12" s="8">
        <v>48</v>
      </c>
      <c r="E12" s="8" t="s">
        <v>324</v>
      </c>
    </row>
    <row r="13" spans="1:8" ht="11.25" customHeight="1" x14ac:dyDescent="0.3">
      <c r="A13" s="8" t="s">
        <v>321</v>
      </c>
      <c r="B13" s="8" t="s">
        <v>322</v>
      </c>
      <c r="C13" s="8" t="s">
        <v>323</v>
      </c>
      <c r="D13" s="8">
        <v>49</v>
      </c>
      <c r="E13" s="8" t="s">
        <v>324</v>
      </c>
    </row>
    <row r="14" spans="1:8" ht="11.25" customHeight="1" x14ac:dyDescent="0.3">
      <c r="A14" s="8" t="s">
        <v>321</v>
      </c>
      <c r="B14" s="8" t="s">
        <v>322</v>
      </c>
      <c r="C14" s="8" t="s">
        <v>323</v>
      </c>
      <c r="D14" s="8">
        <v>74</v>
      </c>
      <c r="E14" s="8" t="s">
        <v>324</v>
      </c>
    </row>
    <row r="15" spans="1:8" ht="11.25" customHeight="1" x14ac:dyDescent="0.3">
      <c r="A15" s="8" t="s">
        <v>321</v>
      </c>
      <c r="B15" s="8" t="s">
        <v>322</v>
      </c>
      <c r="C15" s="8" t="s">
        <v>323</v>
      </c>
      <c r="D15" s="8">
        <v>75</v>
      </c>
      <c r="E15" s="8" t="s">
        <v>324</v>
      </c>
    </row>
    <row r="16" spans="1:8" ht="11.25" customHeight="1" x14ac:dyDescent="0.3">
      <c r="A16" s="8" t="s">
        <v>321</v>
      </c>
      <c r="B16" s="8" t="s">
        <v>322</v>
      </c>
      <c r="C16" s="8" t="s">
        <v>323</v>
      </c>
      <c r="D16" s="8">
        <v>76</v>
      </c>
      <c r="E16" s="8" t="s">
        <v>324</v>
      </c>
    </row>
    <row r="17" spans="1:5" ht="11.25" customHeight="1" x14ac:dyDescent="0.3">
      <c r="A17" s="8" t="s">
        <v>321</v>
      </c>
      <c r="B17" s="8" t="s">
        <v>322</v>
      </c>
      <c r="C17" s="8" t="s">
        <v>323</v>
      </c>
      <c r="D17" s="8">
        <v>77</v>
      </c>
      <c r="E17" s="8" t="s">
        <v>324</v>
      </c>
    </row>
    <row r="18" spans="1:5" ht="11.25" customHeight="1" x14ac:dyDescent="0.3">
      <c r="A18" s="8" t="s">
        <v>321</v>
      </c>
      <c r="B18" s="8" t="s">
        <v>322</v>
      </c>
      <c r="C18" s="8" t="s">
        <v>323</v>
      </c>
      <c r="D18" s="8">
        <v>78</v>
      </c>
      <c r="E18" s="8" t="s">
        <v>324</v>
      </c>
    </row>
    <row r="19" spans="1:5" ht="11.25" customHeight="1" x14ac:dyDescent="0.3">
      <c r="A19" s="8" t="s">
        <v>321</v>
      </c>
      <c r="B19" s="8" t="s">
        <v>322</v>
      </c>
      <c r="C19" s="8" t="s">
        <v>323</v>
      </c>
      <c r="D19" s="8">
        <v>79</v>
      </c>
      <c r="E19" s="8" t="s">
        <v>324</v>
      </c>
    </row>
    <row r="20" spans="1:5" ht="11.25" customHeight="1" x14ac:dyDescent="0.3">
      <c r="A20" s="8" t="s">
        <v>321</v>
      </c>
      <c r="B20" s="8" t="s">
        <v>322</v>
      </c>
      <c r="C20" s="8" t="s">
        <v>323</v>
      </c>
      <c r="D20" s="8">
        <v>80</v>
      </c>
      <c r="E20" s="8" t="s">
        <v>324</v>
      </c>
    </row>
    <row r="21" spans="1:5" ht="11.25" customHeight="1" x14ac:dyDescent="0.3">
      <c r="A21" s="8" t="s">
        <v>321</v>
      </c>
      <c r="B21" s="8" t="s">
        <v>322</v>
      </c>
      <c r="C21" s="8" t="s">
        <v>323</v>
      </c>
      <c r="D21" s="8">
        <v>81</v>
      </c>
      <c r="E21" s="8" t="s">
        <v>324</v>
      </c>
    </row>
    <row r="22" spans="1:5" ht="11.25" customHeight="1" x14ac:dyDescent="0.3">
      <c r="A22" s="8" t="s">
        <v>321</v>
      </c>
      <c r="B22" s="8" t="s">
        <v>322</v>
      </c>
      <c r="C22" s="8" t="s">
        <v>323</v>
      </c>
      <c r="D22" s="8">
        <v>82</v>
      </c>
      <c r="E22" s="8" t="s">
        <v>324</v>
      </c>
    </row>
    <row r="23" spans="1:5" ht="11.25" customHeight="1" x14ac:dyDescent="0.3">
      <c r="A23" s="8" t="s">
        <v>321</v>
      </c>
      <c r="B23" s="8" t="s">
        <v>322</v>
      </c>
      <c r="C23" s="8" t="s">
        <v>323</v>
      </c>
      <c r="D23" s="8">
        <v>83</v>
      </c>
      <c r="E23" s="8" t="s">
        <v>324</v>
      </c>
    </row>
    <row r="24" spans="1:5" ht="11.25" customHeight="1" x14ac:dyDescent="0.3">
      <c r="A24" s="8" t="s">
        <v>321</v>
      </c>
      <c r="B24" s="8" t="s">
        <v>322</v>
      </c>
      <c r="C24" s="8" t="s">
        <v>323</v>
      </c>
      <c r="D24" s="8">
        <v>84</v>
      </c>
      <c r="E24" s="8" t="s">
        <v>324</v>
      </c>
    </row>
    <row r="25" spans="1:5" ht="11.25" customHeight="1" x14ac:dyDescent="0.3">
      <c r="A25" s="8" t="s">
        <v>321</v>
      </c>
      <c r="B25" s="8" t="s">
        <v>322</v>
      </c>
      <c r="C25" s="8" t="s">
        <v>323</v>
      </c>
      <c r="D25" s="8">
        <v>85</v>
      </c>
      <c r="E25" s="8" t="s">
        <v>324</v>
      </c>
    </row>
    <row r="26" spans="1:5" ht="11.25" customHeight="1" x14ac:dyDescent="0.3">
      <c r="A26" s="8" t="s">
        <v>321</v>
      </c>
      <c r="B26" s="8" t="s">
        <v>322</v>
      </c>
      <c r="C26" s="8" t="s">
        <v>323</v>
      </c>
      <c r="D26" s="8">
        <v>122</v>
      </c>
      <c r="E26" s="8" t="s">
        <v>324</v>
      </c>
    </row>
    <row r="27" spans="1:5" ht="11.25" customHeight="1" x14ac:dyDescent="0.3">
      <c r="A27" s="8" t="s">
        <v>321</v>
      </c>
      <c r="B27" s="8" t="s">
        <v>322</v>
      </c>
      <c r="C27" s="8" t="s">
        <v>323</v>
      </c>
      <c r="D27" s="8">
        <v>123</v>
      </c>
      <c r="E27" s="8" t="s">
        <v>324</v>
      </c>
    </row>
    <row r="28" spans="1:5" ht="11.25" customHeight="1" x14ac:dyDescent="0.3">
      <c r="A28" s="8" t="s">
        <v>321</v>
      </c>
      <c r="B28" s="8" t="s">
        <v>322</v>
      </c>
      <c r="C28" s="8" t="s">
        <v>323</v>
      </c>
      <c r="D28" s="8">
        <v>124</v>
      </c>
      <c r="E28" s="8" t="s">
        <v>324</v>
      </c>
    </row>
    <row r="29" spans="1:5" ht="11.25" customHeight="1" x14ac:dyDescent="0.3">
      <c r="A29" s="8" t="s">
        <v>321</v>
      </c>
      <c r="B29" s="8" t="s">
        <v>322</v>
      </c>
      <c r="C29" s="8" t="s">
        <v>323</v>
      </c>
      <c r="D29" s="8">
        <v>125</v>
      </c>
      <c r="E29" s="8" t="s">
        <v>324</v>
      </c>
    </row>
    <row r="30" spans="1:5" ht="11.25" customHeight="1" x14ac:dyDescent="0.3">
      <c r="A30" s="8" t="s">
        <v>321</v>
      </c>
      <c r="B30" s="8" t="s">
        <v>322</v>
      </c>
      <c r="C30" s="8" t="s">
        <v>323</v>
      </c>
      <c r="D30" s="8">
        <v>126</v>
      </c>
      <c r="E30" s="8" t="s">
        <v>324</v>
      </c>
    </row>
    <row r="31" spans="1:5" ht="11.25" customHeight="1" x14ac:dyDescent="0.3">
      <c r="A31" s="8" t="s">
        <v>321</v>
      </c>
      <c r="B31" s="8" t="s">
        <v>322</v>
      </c>
      <c r="C31" s="8" t="s">
        <v>323</v>
      </c>
      <c r="D31" s="8">
        <v>127</v>
      </c>
      <c r="E31" s="8" t="s">
        <v>324</v>
      </c>
    </row>
    <row r="32" spans="1:5" ht="11.25" customHeight="1" x14ac:dyDescent="0.3">
      <c r="A32" s="8" t="s">
        <v>321</v>
      </c>
      <c r="B32" s="8" t="s">
        <v>322</v>
      </c>
      <c r="C32" s="8" t="s">
        <v>323</v>
      </c>
      <c r="D32" s="8">
        <v>128</v>
      </c>
      <c r="E32" s="8" t="s">
        <v>324</v>
      </c>
    </row>
    <row r="33" spans="1:5" ht="11.25" customHeight="1" x14ac:dyDescent="0.3">
      <c r="A33" s="8" t="s">
        <v>321</v>
      </c>
      <c r="B33" s="8" t="s">
        <v>322</v>
      </c>
      <c r="C33" s="8" t="s">
        <v>323</v>
      </c>
      <c r="D33" s="8">
        <v>129</v>
      </c>
      <c r="E33" s="8" t="s">
        <v>324</v>
      </c>
    </row>
    <row r="34" spans="1:5" ht="11.25" customHeight="1" x14ac:dyDescent="0.3">
      <c r="A34" s="8" t="s">
        <v>321</v>
      </c>
      <c r="B34" s="8" t="s">
        <v>322</v>
      </c>
      <c r="C34" s="8" t="s">
        <v>323</v>
      </c>
      <c r="D34" s="8">
        <v>130</v>
      </c>
      <c r="E34" s="8" t="s">
        <v>324</v>
      </c>
    </row>
    <row r="35" spans="1:5" ht="11.25" customHeight="1" x14ac:dyDescent="0.3">
      <c r="A35" s="8" t="s">
        <v>321</v>
      </c>
      <c r="B35" s="8" t="s">
        <v>322</v>
      </c>
      <c r="C35" s="8" t="s">
        <v>323</v>
      </c>
      <c r="D35" s="8">
        <v>131</v>
      </c>
      <c r="E35" s="8" t="s">
        <v>324</v>
      </c>
    </row>
    <row r="36" spans="1:5" ht="11.25" customHeight="1" x14ac:dyDescent="0.3">
      <c r="A36" s="8" t="s">
        <v>321</v>
      </c>
      <c r="B36" s="8" t="s">
        <v>322</v>
      </c>
      <c r="C36" s="8" t="s">
        <v>323</v>
      </c>
      <c r="D36" s="8">
        <v>132</v>
      </c>
      <c r="E36" s="8" t="s">
        <v>324</v>
      </c>
    </row>
    <row r="37" spans="1:5" ht="11.25" customHeight="1" x14ac:dyDescent="0.3">
      <c r="A37" s="8" t="s">
        <v>321</v>
      </c>
      <c r="B37" s="8" t="s">
        <v>322</v>
      </c>
      <c r="C37" s="8" t="s">
        <v>323</v>
      </c>
      <c r="D37" s="8">
        <v>133</v>
      </c>
      <c r="E37" s="8" t="s">
        <v>324</v>
      </c>
    </row>
    <row r="38" spans="1:5" ht="11.25" customHeight="1" x14ac:dyDescent="0.3">
      <c r="A38" s="8" t="s">
        <v>321</v>
      </c>
      <c r="B38" s="8" t="s">
        <v>322</v>
      </c>
      <c r="C38" s="8" t="s">
        <v>323</v>
      </c>
      <c r="D38" s="8">
        <v>158</v>
      </c>
      <c r="E38" s="8" t="s">
        <v>324</v>
      </c>
    </row>
    <row r="39" spans="1:5" ht="11.25" customHeight="1" x14ac:dyDescent="0.3">
      <c r="A39" s="8" t="s">
        <v>321</v>
      </c>
      <c r="B39" s="8" t="s">
        <v>322</v>
      </c>
      <c r="C39" s="8" t="s">
        <v>323</v>
      </c>
      <c r="D39" s="8">
        <v>159</v>
      </c>
      <c r="E39" s="8" t="s">
        <v>324</v>
      </c>
    </row>
    <row r="40" spans="1:5" ht="11.25" customHeight="1" x14ac:dyDescent="0.3">
      <c r="A40" s="8" t="s">
        <v>321</v>
      </c>
      <c r="B40" s="8" t="s">
        <v>322</v>
      </c>
      <c r="C40" s="8" t="s">
        <v>323</v>
      </c>
      <c r="D40" s="8">
        <v>160</v>
      </c>
      <c r="E40" s="8" t="s">
        <v>324</v>
      </c>
    </row>
    <row r="41" spans="1:5" ht="11.25" customHeight="1" x14ac:dyDescent="0.3">
      <c r="A41" s="8" t="s">
        <v>321</v>
      </c>
      <c r="B41" s="8" t="s">
        <v>322</v>
      </c>
      <c r="C41" s="8" t="s">
        <v>323</v>
      </c>
      <c r="D41" s="8">
        <v>161</v>
      </c>
      <c r="E41" s="8" t="s">
        <v>324</v>
      </c>
    </row>
    <row r="42" spans="1:5" ht="11.25" customHeight="1" x14ac:dyDescent="0.3">
      <c r="A42" s="8" t="s">
        <v>321</v>
      </c>
      <c r="B42" s="8" t="s">
        <v>322</v>
      </c>
      <c r="C42" s="8" t="s">
        <v>323</v>
      </c>
      <c r="D42" s="8">
        <v>162</v>
      </c>
      <c r="E42" s="8" t="s">
        <v>324</v>
      </c>
    </row>
    <row r="43" spans="1:5" ht="11.25" customHeight="1" x14ac:dyDescent="0.3">
      <c r="A43" s="8" t="s">
        <v>321</v>
      </c>
      <c r="B43" s="8" t="s">
        <v>322</v>
      </c>
      <c r="C43" s="8" t="s">
        <v>323</v>
      </c>
      <c r="D43" s="8">
        <v>163</v>
      </c>
      <c r="E43" s="8" t="s">
        <v>324</v>
      </c>
    </row>
    <row r="44" spans="1:5" ht="11.25" customHeight="1" x14ac:dyDescent="0.3">
      <c r="A44" s="8" t="s">
        <v>321</v>
      </c>
      <c r="B44" s="8" t="s">
        <v>322</v>
      </c>
      <c r="C44" s="8" t="s">
        <v>323</v>
      </c>
      <c r="D44" s="8">
        <v>164</v>
      </c>
      <c r="E44" s="8" t="s">
        <v>324</v>
      </c>
    </row>
    <row r="45" spans="1:5" ht="11.25" customHeight="1" x14ac:dyDescent="0.3">
      <c r="A45" s="8" t="s">
        <v>321</v>
      </c>
      <c r="B45" s="8" t="s">
        <v>322</v>
      </c>
      <c r="C45" s="8" t="s">
        <v>323</v>
      </c>
      <c r="D45" s="8">
        <v>165</v>
      </c>
      <c r="E45" s="8" t="s">
        <v>324</v>
      </c>
    </row>
    <row r="46" spans="1:5" ht="11.25" customHeight="1" x14ac:dyDescent="0.3">
      <c r="A46" s="8" t="s">
        <v>321</v>
      </c>
      <c r="B46" s="8" t="s">
        <v>322</v>
      </c>
      <c r="C46" s="8" t="s">
        <v>323</v>
      </c>
      <c r="D46" s="8">
        <v>166</v>
      </c>
      <c r="E46" s="8" t="s">
        <v>324</v>
      </c>
    </row>
    <row r="47" spans="1:5" ht="11.25" customHeight="1" x14ac:dyDescent="0.3">
      <c r="A47" s="8" t="s">
        <v>321</v>
      </c>
      <c r="B47" s="8" t="s">
        <v>322</v>
      </c>
      <c r="C47" s="8" t="s">
        <v>323</v>
      </c>
      <c r="D47" s="8">
        <v>167</v>
      </c>
      <c r="E47" s="8" t="s">
        <v>324</v>
      </c>
    </row>
    <row r="48" spans="1:5" ht="11.25" customHeight="1" x14ac:dyDescent="0.3">
      <c r="A48" s="8" t="s">
        <v>321</v>
      </c>
      <c r="B48" s="8" t="s">
        <v>322</v>
      </c>
      <c r="C48" s="8" t="s">
        <v>323</v>
      </c>
      <c r="D48" s="8">
        <v>168</v>
      </c>
      <c r="E48" s="8" t="s">
        <v>324</v>
      </c>
    </row>
    <row r="49" spans="1:5" ht="11.25" customHeight="1" x14ac:dyDescent="0.3">
      <c r="A49" s="8" t="s">
        <v>321</v>
      </c>
      <c r="B49" s="8" t="s">
        <v>322</v>
      </c>
      <c r="C49" s="8" t="s">
        <v>323</v>
      </c>
      <c r="D49" s="8">
        <v>169</v>
      </c>
      <c r="E49" s="8" t="s">
        <v>324</v>
      </c>
    </row>
    <row r="50" spans="1:5" ht="11.25" customHeight="1" x14ac:dyDescent="0.3">
      <c r="A50" s="8" t="s">
        <v>321</v>
      </c>
      <c r="C50" s="8" t="s">
        <v>557</v>
      </c>
      <c r="D50" s="8">
        <v>39</v>
      </c>
      <c r="E50" s="8" t="s">
        <v>9</v>
      </c>
    </row>
    <row r="51" spans="1:5" ht="11.25" customHeight="1" x14ac:dyDescent="0.3">
      <c r="A51" s="8" t="s">
        <v>321</v>
      </c>
      <c r="C51" s="8" t="s">
        <v>557</v>
      </c>
      <c r="D51" s="8">
        <v>39</v>
      </c>
      <c r="E51" s="8" t="s">
        <v>9</v>
      </c>
    </row>
    <row r="52" spans="1:5" ht="11.25" customHeight="1" x14ac:dyDescent="0.3">
      <c r="A52" s="8" t="s">
        <v>321</v>
      </c>
      <c r="C52" s="8" t="s">
        <v>557</v>
      </c>
      <c r="D52" s="8">
        <v>39</v>
      </c>
      <c r="E52" s="8" t="s">
        <v>9</v>
      </c>
    </row>
    <row r="53" spans="1:5" ht="11.25" customHeight="1" x14ac:dyDescent="0.3">
      <c r="A53" s="8" t="s">
        <v>321</v>
      </c>
      <c r="C53" s="8" t="s">
        <v>557</v>
      </c>
      <c r="D53" s="8">
        <v>39</v>
      </c>
      <c r="E53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C4AC-3DF4-442F-86D2-173B49ED160C}">
  <dimension ref="A1:AX85"/>
  <sheetViews>
    <sheetView showGridLines="0" workbookViewId="0"/>
  </sheetViews>
  <sheetFormatPr defaultColWidth="9.109375" defaultRowHeight="10.199999999999999" x14ac:dyDescent="0.3"/>
  <cols>
    <col min="1" max="1" width="4.6640625" style="47" bestFit="1" customWidth="1"/>
    <col min="2" max="2" width="8.88671875" style="47" bestFit="1" customWidth="1"/>
    <col min="3" max="3" width="8.6640625" style="47" bestFit="1" customWidth="1"/>
    <col min="4" max="4" width="27.109375" style="47" bestFit="1" customWidth="1"/>
    <col min="5" max="5" width="13.5546875" style="47" bestFit="1" customWidth="1"/>
    <col min="6" max="6" width="25.109375" style="47" bestFit="1" customWidth="1"/>
    <col min="7" max="9" width="10.33203125" style="47" bestFit="1" customWidth="1"/>
    <col min="10" max="10" width="6.88671875" style="47" bestFit="1" customWidth="1"/>
    <col min="11" max="11" width="4.5546875" style="47" bestFit="1" customWidth="1"/>
    <col min="12" max="12" width="4.44140625" style="47" bestFit="1" customWidth="1"/>
    <col min="13" max="13" width="6.6640625" style="47" bestFit="1" customWidth="1"/>
    <col min="14" max="14" width="6.33203125" style="47" bestFit="1" customWidth="1"/>
    <col min="15" max="15" width="11.109375" style="47" bestFit="1" customWidth="1"/>
    <col min="16" max="16" width="10.44140625" style="47" bestFit="1" customWidth="1"/>
    <col min="17" max="16384" width="9.109375" style="47"/>
  </cols>
  <sheetData>
    <row r="1" spans="1:50" ht="11.25" customHeight="1" x14ac:dyDescent="0.3">
      <c r="A1" s="48" t="s">
        <v>617</v>
      </c>
      <c r="B1" s="48" t="s">
        <v>608</v>
      </c>
      <c r="C1" s="48" t="s">
        <v>1</v>
      </c>
      <c r="D1" s="48" t="s">
        <v>2</v>
      </c>
      <c r="E1" s="48" t="s">
        <v>3</v>
      </c>
      <c r="F1" s="48" t="s">
        <v>4</v>
      </c>
      <c r="G1" s="48" t="s">
        <v>5</v>
      </c>
      <c r="H1" s="48" t="s">
        <v>6</v>
      </c>
      <c r="I1" s="48" t="s">
        <v>7</v>
      </c>
      <c r="J1" s="48" t="s">
        <v>609</v>
      </c>
      <c r="K1" s="48" t="s">
        <v>610</v>
      </c>
      <c r="L1" s="48" t="s">
        <v>611</v>
      </c>
      <c r="M1" s="48" t="s">
        <v>612</v>
      </c>
      <c r="N1" s="48" t="s">
        <v>613</v>
      </c>
      <c r="O1" s="48" t="s">
        <v>490</v>
      </c>
      <c r="P1" s="48" t="s">
        <v>476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</row>
    <row r="2" spans="1:50" ht="11.25" customHeight="1" x14ac:dyDescent="0.3">
      <c r="A2" s="49">
        <v>1</v>
      </c>
      <c r="B2" s="49" t="s">
        <v>470</v>
      </c>
      <c r="C2" s="49" t="s">
        <v>37</v>
      </c>
      <c r="D2" s="49" t="s">
        <v>38</v>
      </c>
      <c r="E2" s="49" t="s">
        <v>25</v>
      </c>
      <c r="F2" s="49" t="s">
        <v>25</v>
      </c>
      <c r="G2" s="49" t="s">
        <v>25</v>
      </c>
      <c r="H2" s="49" t="s">
        <v>25</v>
      </c>
      <c r="I2" s="49" t="s">
        <v>39</v>
      </c>
      <c r="J2" s="49" t="s">
        <v>614</v>
      </c>
      <c r="K2" s="49" t="s">
        <v>615</v>
      </c>
      <c r="L2" s="49" t="s">
        <v>72</v>
      </c>
      <c r="M2" s="49">
        <v>2021</v>
      </c>
      <c r="N2" s="49">
        <v>0</v>
      </c>
      <c r="O2" s="49">
        <v>4589.68</v>
      </c>
      <c r="P2" s="49">
        <v>64.757959170664805</v>
      </c>
    </row>
    <row r="3" spans="1:50" ht="11.25" customHeight="1" x14ac:dyDescent="0.3">
      <c r="A3" s="49">
        <v>2</v>
      </c>
      <c r="B3" s="49" t="s">
        <v>470</v>
      </c>
      <c r="C3" s="49" t="s">
        <v>37</v>
      </c>
      <c r="D3" s="49" t="s">
        <v>38</v>
      </c>
      <c r="E3" s="49" t="s">
        <v>25</v>
      </c>
      <c r="F3" s="49" t="s">
        <v>25</v>
      </c>
      <c r="G3" s="49" t="s">
        <v>25</v>
      </c>
      <c r="H3" s="49" t="s">
        <v>25</v>
      </c>
      <c r="I3" s="49" t="s">
        <v>34</v>
      </c>
      <c r="J3" s="49" t="s">
        <v>614</v>
      </c>
      <c r="K3" s="49" t="s">
        <v>615</v>
      </c>
      <c r="L3" s="49" t="s">
        <v>72</v>
      </c>
      <c r="M3" s="49">
        <v>2021</v>
      </c>
      <c r="N3" s="49">
        <v>0</v>
      </c>
      <c r="O3" s="49">
        <v>93.48</v>
      </c>
      <c r="P3" s="49">
        <v>64.757959170664805</v>
      </c>
    </row>
    <row r="4" spans="1:50" ht="11.25" customHeight="1" x14ac:dyDescent="0.3">
      <c r="A4" s="49">
        <v>3</v>
      </c>
      <c r="B4" s="49" t="s">
        <v>470</v>
      </c>
      <c r="C4" s="49" t="s">
        <v>37</v>
      </c>
      <c r="D4" s="49" t="s">
        <v>38</v>
      </c>
      <c r="E4" s="49" t="s">
        <v>25</v>
      </c>
      <c r="F4" s="49" t="s">
        <v>25</v>
      </c>
      <c r="G4" s="49" t="s">
        <v>80</v>
      </c>
      <c r="H4" s="49" t="s">
        <v>25</v>
      </c>
      <c r="I4" s="49" t="s">
        <v>39</v>
      </c>
      <c r="J4" s="49" t="s">
        <v>614</v>
      </c>
      <c r="K4" s="49" t="s">
        <v>615</v>
      </c>
      <c r="L4" s="49" t="s">
        <v>72</v>
      </c>
      <c r="M4" s="49">
        <v>2021</v>
      </c>
      <c r="N4" s="49">
        <v>0</v>
      </c>
      <c r="O4" s="49">
        <v>4514.09</v>
      </c>
      <c r="P4" s="49">
        <v>0</v>
      </c>
    </row>
    <row r="5" spans="1:50" ht="11.25" customHeight="1" x14ac:dyDescent="0.3">
      <c r="A5" s="49">
        <v>4</v>
      </c>
      <c r="B5" s="49" t="s">
        <v>470</v>
      </c>
      <c r="C5" s="49" t="s">
        <v>37</v>
      </c>
      <c r="D5" s="49" t="s">
        <v>38</v>
      </c>
      <c r="E5" s="49" t="s">
        <v>25</v>
      </c>
      <c r="F5" s="49" t="s">
        <v>25</v>
      </c>
      <c r="G5" s="49" t="s">
        <v>80</v>
      </c>
      <c r="H5" s="49" t="s">
        <v>25</v>
      </c>
      <c r="I5" s="49" t="s">
        <v>34</v>
      </c>
      <c r="J5" s="49" t="s">
        <v>614</v>
      </c>
      <c r="K5" s="49" t="s">
        <v>615</v>
      </c>
      <c r="L5" s="49" t="s">
        <v>72</v>
      </c>
      <c r="M5" s="49">
        <v>2021</v>
      </c>
      <c r="N5" s="49">
        <v>0</v>
      </c>
      <c r="O5" s="49">
        <v>17.89</v>
      </c>
      <c r="P5" s="49">
        <v>0</v>
      </c>
    </row>
    <row r="6" spans="1:50" ht="11.25" customHeight="1" x14ac:dyDescent="0.3">
      <c r="A6" s="49">
        <v>5</v>
      </c>
      <c r="B6" s="49" t="s">
        <v>470</v>
      </c>
      <c r="C6" s="49" t="s">
        <v>82</v>
      </c>
      <c r="D6" s="49" t="s">
        <v>81</v>
      </c>
      <c r="E6" s="49" t="s">
        <v>25</v>
      </c>
      <c r="F6" s="49" t="s">
        <v>25</v>
      </c>
      <c r="G6" s="49" t="s">
        <v>83</v>
      </c>
      <c r="H6" s="49" t="s">
        <v>25</v>
      </c>
      <c r="I6" s="49" t="s">
        <v>25</v>
      </c>
      <c r="J6" s="49" t="s">
        <v>616</v>
      </c>
      <c r="K6" s="49" t="s">
        <v>615</v>
      </c>
      <c r="L6" s="49" t="s">
        <v>77</v>
      </c>
      <c r="M6" s="49">
        <v>2021</v>
      </c>
      <c r="N6" s="49">
        <v>0</v>
      </c>
      <c r="O6" s="49">
        <v>6.6</v>
      </c>
      <c r="P6" s="49">
        <v>0</v>
      </c>
    </row>
    <row r="7" spans="1:50" ht="11.25" customHeight="1" x14ac:dyDescent="0.3">
      <c r="A7" s="49">
        <v>6</v>
      </c>
      <c r="B7" s="49" t="s">
        <v>470</v>
      </c>
      <c r="C7" s="49" t="s">
        <v>82</v>
      </c>
      <c r="D7" s="49" t="s">
        <v>81</v>
      </c>
      <c r="E7" s="49" t="s">
        <v>25</v>
      </c>
      <c r="F7" s="49" t="s">
        <v>25</v>
      </c>
      <c r="G7" s="49" t="s">
        <v>84</v>
      </c>
      <c r="H7" s="49" t="s">
        <v>25</v>
      </c>
      <c r="I7" s="49" t="s">
        <v>25</v>
      </c>
      <c r="J7" s="49" t="s">
        <v>616</v>
      </c>
      <c r="K7" s="49" t="s">
        <v>615</v>
      </c>
      <c r="L7" s="49" t="s">
        <v>77</v>
      </c>
      <c r="M7" s="49">
        <v>2021</v>
      </c>
      <c r="N7" s="49">
        <v>0</v>
      </c>
      <c r="O7" s="49">
        <v>21.25</v>
      </c>
      <c r="P7" s="49">
        <v>0</v>
      </c>
    </row>
    <row r="8" spans="1:50" ht="11.25" customHeight="1" x14ac:dyDescent="0.3">
      <c r="A8" s="49">
        <v>7</v>
      </c>
      <c r="B8" s="49" t="s">
        <v>470</v>
      </c>
      <c r="C8" s="49" t="s">
        <v>22</v>
      </c>
      <c r="D8" s="49" t="s">
        <v>33</v>
      </c>
      <c r="E8" s="49" t="s">
        <v>24</v>
      </c>
      <c r="F8" s="49" t="s">
        <v>24</v>
      </c>
      <c r="G8" s="49" t="s">
        <v>25</v>
      </c>
      <c r="H8" s="49" t="s">
        <v>25</v>
      </c>
      <c r="I8" s="49" t="s">
        <v>34</v>
      </c>
      <c r="J8" s="49" t="s">
        <v>614</v>
      </c>
      <c r="K8" s="49" t="s">
        <v>615</v>
      </c>
      <c r="L8" s="49" t="s">
        <v>72</v>
      </c>
      <c r="M8" s="49">
        <v>2021</v>
      </c>
      <c r="N8" s="49">
        <v>0</v>
      </c>
      <c r="O8" s="49">
        <v>526.36</v>
      </c>
      <c r="P8" s="49">
        <v>74.434435828350402</v>
      </c>
    </row>
    <row r="9" spans="1:50" ht="11.25" customHeight="1" x14ac:dyDescent="0.3">
      <c r="A9" s="49">
        <v>8</v>
      </c>
      <c r="B9" s="49" t="s">
        <v>470</v>
      </c>
      <c r="C9" s="49" t="s">
        <v>22</v>
      </c>
      <c r="D9" s="49" t="s">
        <v>23</v>
      </c>
      <c r="E9" s="49" t="s">
        <v>24</v>
      </c>
      <c r="F9" s="49" t="s">
        <v>24</v>
      </c>
      <c r="G9" s="49" t="s">
        <v>25</v>
      </c>
      <c r="H9" s="49" t="s">
        <v>25</v>
      </c>
      <c r="I9" s="49" t="s">
        <v>25</v>
      </c>
      <c r="J9" s="49" t="s">
        <v>614</v>
      </c>
      <c r="K9" s="49" t="s">
        <v>615</v>
      </c>
      <c r="L9" s="49" t="s">
        <v>72</v>
      </c>
      <c r="M9" s="49">
        <v>2021</v>
      </c>
      <c r="N9" s="49">
        <v>0</v>
      </c>
      <c r="O9" s="49">
        <v>867.38</v>
      </c>
      <c r="P9" s="49">
        <v>74.434435828350402</v>
      </c>
    </row>
    <row r="10" spans="1:50" ht="11.25" customHeight="1" x14ac:dyDescent="0.3">
      <c r="A10" s="49">
        <v>9</v>
      </c>
      <c r="B10" s="49" t="s">
        <v>470</v>
      </c>
      <c r="C10" s="49" t="s">
        <v>22</v>
      </c>
      <c r="D10" s="49" t="s">
        <v>23</v>
      </c>
      <c r="E10" s="49" t="s">
        <v>24</v>
      </c>
      <c r="F10" s="49" t="s">
        <v>29</v>
      </c>
      <c r="G10" s="49" t="s">
        <v>25</v>
      </c>
      <c r="H10" s="49" t="s">
        <v>25</v>
      </c>
      <c r="I10" s="49" t="s">
        <v>25</v>
      </c>
      <c r="J10" s="49" t="s">
        <v>614</v>
      </c>
      <c r="K10" s="49" t="s">
        <v>615</v>
      </c>
      <c r="L10" s="49" t="s">
        <v>72</v>
      </c>
      <c r="M10" s="49">
        <v>2021</v>
      </c>
      <c r="N10" s="49">
        <v>0</v>
      </c>
      <c r="O10" s="49">
        <v>273.68</v>
      </c>
      <c r="P10" s="49">
        <v>0</v>
      </c>
    </row>
    <row r="11" spans="1:50" ht="11.25" customHeight="1" x14ac:dyDescent="0.3">
      <c r="A11" s="49">
        <v>10</v>
      </c>
      <c r="B11" s="49" t="s">
        <v>470</v>
      </c>
      <c r="C11" s="49" t="s">
        <v>22</v>
      </c>
      <c r="D11" s="49" t="s">
        <v>23</v>
      </c>
      <c r="E11" s="49" t="s">
        <v>24</v>
      </c>
      <c r="F11" s="49" t="s">
        <v>32</v>
      </c>
      <c r="G11" s="49" t="s">
        <v>25</v>
      </c>
      <c r="H11" s="49" t="s">
        <v>25</v>
      </c>
      <c r="I11" s="49" t="s">
        <v>25</v>
      </c>
      <c r="J11" s="49" t="s">
        <v>614</v>
      </c>
      <c r="K11" s="49" t="s">
        <v>615</v>
      </c>
      <c r="L11" s="49" t="s">
        <v>72</v>
      </c>
      <c r="M11" s="49">
        <v>2021</v>
      </c>
      <c r="N11" s="49">
        <v>0</v>
      </c>
      <c r="O11" s="49">
        <v>781.93</v>
      </c>
      <c r="P11" s="49">
        <v>0</v>
      </c>
    </row>
    <row r="12" spans="1:50" ht="11.25" customHeight="1" x14ac:dyDescent="0.3">
      <c r="A12" s="49">
        <v>11</v>
      </c>
      <c r="B12" s="49" t="s">
        <v>470</v>
      </c>
      <c r="C12" s="49" t="s">
        <v>22</v>
      </c>
      <c r="D12" s="49" t="s">
        <v>87</v>
      </c>
      <c r="E12" s="49" t="s">
        <v>24</v>
      </c>
      <c r="F12" s="49" t="s">
        <v>24</v>
      </c>
      <c r="G12" s="49" t="s">
        <v>25</v>
      </c>
      <c r="H12" s="49" t="s">
        <v>25</v>
      </c>
      <c r="I12" s="49" t="s">
        <v>25</v>
      </c>
      <c r="J12" s="49" t="s">
        <v>614</v>
      </c>
      <c r="K12" s="49" t="s">
        <v>615</v>
      </c>
      <c r="L12" s="49" t="s">
        <v>72</v>
      </c>
      <c r="M12" s="49">
        <v>2021</v>
      </c>
      <c r="N12" s="49">
        <v>0</v>
      </c>
      <c r="O12" s="49">
        <v>867.38</v>
      </c>
      <c r="P12" s="49">
        <v>74.434435828350402</v>
      </c>
    </row>
    <row r="13" spans="1:50" ht="11.25" customHeight="1" x14ac:dyDescent="0.3">
      <c r="A13" s="49">
        <v>12</v>
      </c>
      <c r="B13" s="49" t="s">
        <v>470</v>
      </c>
      <c r="C13" s="49" t="s">
        <v>22</v>
      </c>
      <c r="D13" s="49" t="s">
        <v>87</v>
      </c>
      <c r="E13" s="49" t="s">
        <v>24</v>
      </c>
      <c r="F13" s="49" t="s">
        <v>29</v>
      </c>
      <c r="G13" s="49" t="s">
        <v>25</v>
      </c>
      <c r="H13" s="49" t="s">
        <v>25</v>
      </c>
      <c r="I13" s="49" t="s">
        <v>25</v>
      </c>
      <c r="J13" s="49" t="s">
        <v>614</v>
      </c>
      <c r="K13" s="49" t="s">
        <v>615</v>
      </c>
      <c r="L13" s="49" t="s">
        <v>72</v>
      </c>
      <c r="M13" s="49">
        <v>2021</v>
      </c>
      <c r="N13" s="49">
        <v>0</v>
      </c>
      <c r="O13" s="49">
        <v>273.68</v>
      </c>
      <c r="P13" s="49">
        <v>0</v>
      </c>
    </row>
    <row r="14" spans="1:50" ht="11.25" customHeight="1" x14ac:dyDescent="0.3">
      <c r="A14" s="49">
        <v>13</v>
      </c>
      <c r="B14" s="49" t="s">
        <v>470</v>
      </c>
      <c r="C14" s="49" t="s">
        <v>22</v>
      </c>
      <c r="D14" s="49" t="s">
        <v>87</v>
      </c>
      <c r="E14" s="49" t="s">
        <v>24</v>
      </c>
      <c r="F14" s="49" t="s">
        <v>32</v>
      </c>
      <c r="G14" s="49" t="s">
        <v>25</v>
      </c>
      <c r="H14" s="49" t="s">
        <v>25</v>
      </c>
      <c r="I14" s="49" t="s">
        <v>25</v>
      </c>
      <c r="J14" s="49" t="s">
        <v>614</v>
      </c>
      <c r="K14" s="49" t="s">
        <v>615</v>
      </c>
      <c r="L14" s="49" t="s">
        <v>72</v>
      </c>
      <c r="M14" s="49">
        <v>2021</v>
      </c>
      <c r="N14" s="49">
        <v>0</v>
      </c>
      <c r="O14" s="49">
        <v>781.93</v>
      </c>
      <c r="P14" s="49">
        <v>0</v>
      </c>
    </row>
    <row r="15" spans="1:50" ht="11.25" customHeight="1" x14ac:dyDescent="0.3">
      <c r="A15" s="49">
        <v>14</v>
      </c>
      <c r="B15" s="49" t="s">
        <v>470</v>
      </c>
      <c r="C15" s="49" t="s">
        <v>43</v>
      </c>
      <c r="D15" s="49" t="s">
        <v>33</v>
      </c>
      <c r="E15" s="49" t="s">
        <v>44</v>
      </c>
      <c r="F15" s="49" t="s">
        <v>25</v>
      </c>
      <c r="G15" s="49" t="s">
        <v>25</v>
      </c>
      <c r="H15" s="49" t="s">
        <v>25</v>
      </c>
      <c r="I15" s="49" t="s">
        <v>39</v>
      </c>
      <c r="J15" s="49" t="s">
        <v>614</v>
      </c>
      <c r="K15" s="49" t="s">
        <v>615</v>
      </c>
      <c r="L15" s="49" t="s">
        <v>72</v>
      </c>
      <c r="M15" s="49">
        <v>2021</v>
      </c>
      <c r="N15" s="49">
        <v>0</v>
      </c>
      <c r="O15" s="49">
        <v>1807.11</v>
      </c>
      <c r="P15" s="49">
        <v>65.502303528948303</v>
      </c>
    </row>
    <row r="16" spans="1:50" ht="11.25" customHeight="1" x14ac:dyDescent="0.3">
      <c r="A16" s="49">
        <v>15</v>
      </c>
      <c r="B16" s="49" t="s">
        <v>470</v>
      </c>
      <c r="C16" s="49" t="s">
        <v>43</v>
      </c>
      <c r="D16" s="49" t="s">
        <v>33</v>
      </c>
      <c r="E16" s="49" t="s">
        <v>44</v>
      </c>
      <c r="F16" s="49" t="s">
        <v>25</v>
      </c>
      <c r="G16" s="49" t="s">
        <v>25</v>
      </c>
      <c r="H16" s="49" t="s">
        <v>25</v>
      </c>
      <c r="I16" s="49" t="s">
        <v>42</v>
      </c>
      <c r="J16" s="49" t="s">
        <v>614</v>
      </c>
      <c r="K16" s="49" t="s">
        <v>615</v>
      </c>
      <c r="L16" s="49" t="s">
        <v>72</v>
      </c>
      <c r="M16" s="49">
        <v>2021</v>
      </c>
      <c r="N16" s="49">
        <v>0</v>
      </c>
      <c r="O16" s="49">
        <v>1128.6300000000001</v>
      </c>
      <c r="P16" s="49">
        <v>65.502303528948303</v>
      </c>
    </row>
    <row r="17" spans="1:16" ht="11.25" customHeight="1" x14ac:dyDescent="0.3">
      <c r="A17" s="49">
        <v>16</v>
      </c>
      <c r="B17" s="49" t="s">
        <v>470</v>
      </c>
      <c r="C17" s="49" t="s">
        <v>43</v>
      </c>
      <c r="D17" s="49" t="s">
        <v>33</v>
      </c>
      <c r="E17" s="49" t="s">
        <v>44</v>
      </c>
      <c r="F17" s="49" t="s">
        <v>25</v>
      </c>
      <c r="G17" s="49" t="s">
        <v>25</v>
      </c>
      <c r="H17" s="49" t="s">
        <v>25</v>
      </c>
      <c r="I17" s="49" t="s">
        <v>34</v>
      </c>
      <c r="J17" s="49" t="s">
        <v>614</v>
      </c>
      <c r="K17" s="49" t="s">
        <v>615</v>
      </c>
      <c r="L17" s="49" t="s">
        <v>72</v>
      </c>
      <c r="M17" s="49">
        <v>2021</v>
      </c>
      <c r="N17" s="49">
        <v>0</v>
      </c>
      <c r="O17" s="49">
        <v>450.15</v>
      </c>
      <c r="P17" s="49">
        <v>65.502303528948303</v>
      </c>
    </row>
    <row r="18" spans="1:16" ht="11.25" customHeight="1" x14ac:dyDescent="0.3">
      <c r="A18" s="49">
        <v>17</v>
      </c>
      <c r="B18" s="49" t="s">
        <v>470</v>
      </c>
      <c r="C18" s="49" t="s">
        <v>35</v>
      </c>
      <c r="D18" s="49" t="s">
        <v>23</v>
      </c>
      <c r="E18" s="49" t="s">
        <v>25</v>
      </c>
      <c r="F18" s="49" t="s">
        <v>25</v>
      </c>
      <c r="G18" s="49" t="s">
        <v>25</v>
      </c>
      <c r="H18" s="49" t="s">
        <v>25</v>
      </c>
      <c r="I18" s="49" t="s">
        <v>25</v>
      </c>
      <c r="J18" s="49" t="s">
        <v>614</v>
      </c>
      <c r="K18" s="49" t="s">
        <v>615</v>
      </c>
      <c r="L18" s="49" t="s">
        <v>72</v>
      </c>
      <c r="M18" s="49">
        <v>2021</v>
      </c>
      <c r="N18" s="49">
        <v>0</v>
      </c>
      <c r="O18" s="49">
        <v>867.38</v>
      </c>
      <c r="P18" s="49">
        <v>74.434435828350402</v>
      </c>
    </row>
    <row r="19" spans="1:16" ht="11.25" customHeight="1" x14ac:dyDescent="0.3">
      <c r="A19" s="49">
        <v>18</v>
      </c>
      <c r="B19" s="49" t="s">
        <v>470</v>
      </c>
      <c r="C19" s="49" t="s">
        <v>35</v>
      </c>
      <c r="D19" s="49" t="s">
        <v>87</v>
      </c>
      <c r="E19" s="49" t="s">
        <v>25</v>
      </c>
      <c r="F19" s="49" t="s">
        <v>25</v>
      </c>
      <c r="G19" s="49" t="s">
        <v>25</v>
      </c>
      <c r="H19" s="49" t="s">
        <v>25</v>
      </c>
      <c r="I19" s="49" t="s">
        <v>25</v>
      </c>
      <c r="J19" s="49" t="s">
        <v>614</v>
      </c>
      <c r="K19" s="49" t="s">
        <v>615</v>
      </c>
      <c r="L19" s="49" t="s">
        <v>72</v>
      </c>
      <c r="M19" s="49">
        <v>2021</v>
      </c>
      <c r="N19" s="49">
        <v>0</v>
      </c>
      <c r="O19" s="49">
        <v>867.38</v>
      </c>
      <c r="P19" s="49">
        <v>74.434435828350402</v>
      </c>
    </row>
    <row r="20" spans="1:16" ht="11.25" customHeight="1" x14ac:dyDescent="0.3">
      <c r="A20" s="49">
        <v>19</v>
      </c>
      <c r="B20" s="49" t="s">
        <v>470</v>
      </c>
      <c r="C20" s="49" t="s">
        <v>46</v>
      </c>
      <c r="D20" s="49" t="s">
        <v>23</v>
      </c>
      <c r="E20" s="49" t="s">
        <v>47</v>
      </c>
      <c r="F20" s="49" t="s">
        <v>48</v>
      </c>
      <c r="G20" s="49" t="s">
        <v>25</v>
      </c>
      <c r="H20" s="49" t="s">
        <v>25</v>
      </c>
      <c r="I20" s="49" t="s">
        <v>25</v>
      </c>
      <c r="J20" s="49" t="s">
        <v>614</v>
      </c>
      <c r="K20" s="49" t="s">
        <v>615</v>
      </c>
      <c r="L20" s="49" t="s">
        <v>72</v>
      </c>
      <c r="M20" s="49">
        <v>2021</v>
      </c>
      <c r="N20" s="49">
        <v>0</v>
      </c>
      <c r="O20" s="49">
        <v>477.06</v>
      </c>
      <c r="P20" s="49">
        <v>40.938939705592702</v>
      </c>
    </row>
    <row r="21" spans="1:16" ht="11.25" customHeight="1" x14ac:dyDescent="0.3">
      <c r="A21" s="49">
        <v>20</v>
      </c>
      <c r="B21" s="49" t="s">
        <v>498</v>
      </c>
      <c r="C21" s="49" t="s">
        <v>22</v>
      </c>
      <c r="D21" s="49" t="s">
        <v>71</v>
      </c>
      <c r="E21" s="49" t="s">
        <v>24</v>
      </c>
      <c r="F21" s="49" t="s">
        <v>24</v>
      </c>
      <c r="G21" s="49" t="s">
        <v>25</v>
      </c>
      <c r="H21" s="49" t="s">
        <v>25</v>
      </c>
      <c r="I21" s="49" t="s">
        <v>39</v>
      </c>
      <c r="J21" s="49" t="s">
        <v>614</v>
      </c>
      <c r="K21" s="49" t="s">
        <v>615</v>
      </c>
      <c r="L21" s="49" t="s">
        <v>72</v>
      </c>
      <c r="M21" s="49">
        <v>2021</v>
      </c>
      <c r="N21" s="49">
        <v>0</v>
      </c>
      <c r="O21" s="49">
        <v>240.29</v>
      </c>
      <c r="P21" s="49"/>
    </row>
    <row r="22" spans="1:16" ht="11.25" customHeight="1" x14ac:dyDescent="0.3">
      <c r="A22" s="49">
        <v>21</v>
      </c>
      <c r="B22" s="49" t="s">
        <v>498</v>
      </c>
      <c r="C22" s="49" t="s">
        <v>22</v>
      </c>
      <c r="D22" s="49" t="s">
        <v>71</v>
      </c>
      <c r="E22" s="49" t="s">
        <v>24</v>
      </c>
      <c r="F22" s="49" t="s">
        <v>24</v>
      </c>
      <c r="G22" s="49" t="s">
        <v>25</v>
      </c>
      <c r="H22" s="49" t="s">
        <v>25</v>
      </c>
      <c r="I22" s="49" t="s">
        <v>42</v>
      </c>
      <c r="J22" s="49" t="s">
        <v>614</v>
      </c>
      <c r="K22" s="49" t="s">
        <v>615</v>
      </c>
      <c r="L22" s="49" t="s">
        <v>72</v>
      </c>
      <c r="M22" s="49">
        <v>2021</v>
      </c>
      <c r="N22" s="49">
        <v>0</v>
      </c>
      <c r="O22" s="49">
        <v>240.29</v>
      </c>
      <c r="P22" s="49"/>
    </row>
    <row r="23" spans="1:16" ht="11.25" customHeight="1" x14ac:dyDescent="0.3">
      <c r="A23" s="49">
        <v>22</v>
      </c>
      <c r="B23" s="49" t="s">
        <v>498</v>
      </c>
      <c r="C23" s="49" t="s">
        <v>22</v>
      </c>
      <c r="D23" s="49" t="s">
        <v>71</v>
      </c>
      <c r="E23" s="49" t="s">
        <v>24</v>
      </c>
      <c r="F23" s="49" t="s">
        <v>24</v>
      </c>
      <c r="G23" s="49" t="s">
        <v>25</v>
      </c>
      <c r="H23" s="49" t="s">
        <v>25</v>
      </c>
      <c r="I23" s="49" t="s">
        <v>34</v>
      </c>
      <c r="J23" s="49" t="s">
        <v>614</v>
      </c>
      <c r="K23" s="49" t="s">
        <v>615</v>
      </c>
      <c r="L23" s="49" t="s">
        <v>72</v>
      </c>
      <c r="M23" s="49">
        <v>2021</v>
      </c>
      <c r="N23" s="49">
        <v>0</v>
      </c>
      <c r="O23" s="49">
        <v>240.29</v>
      </c>
      <c r="P23" s="49"/>
    </row>
    <row r="24" spans="1:16" ht="11.25" customHeight="1" x14ac:dyDescent="0.3">
      <c r="A24" s="49">
        <v>23</v>
      </c>
      <c r="B24" s="49" t="s">
        <v>498</v>
      </c>
      <c r="C24" s="49" t="s">
        <v>22</v>
      </c>
      <c r="D24" s="49" t="s">
        <v>75</v>
      </c>
      <c r="E24" s="49" t="s">
        <v>24</v>
      </c>
      <c r="F24" s="49" t="s">
        <v>24</v>
      </c>
      <c r="G24" s="49" t="s">
        <v>25</v>
      </c>
      <c r="H24" s="49" t="s">
        <v>25</v>
      </c>
      <c r="I24" s="49" t="s">
        <v>25</v>
      </c>
      <c r="J24" s="49" t="s">
        <v>614</v>
      </c>
      <c r="K24" s="49" t="s">
        <v>615</v>
      </c>
      <c r="L24" s="49" t="s">
        <v>72</v>
      </c>
      <c r="M24" s="49">
        <v>2021</v>
      </c>
      <c r="N24" s="49">
        <v>0</v>
      </c>
      <c r="O24" s="49">
        <v>240.29</v>
      </c>
      <c r="P24" s="49"/>
    </row>
    <row r="25" spans="1:16" ht="11.25" customHeight="1" x14ac:dyDescent="0.3">
      <c r="A25" s="49">
        <v>24</v>
      </c>
      <c r="B25" s="49" t="s">
        <v>498</v>
      </c>
      <c r="C25" s="49" t="s">
        <v>22</v>
      </c>
      <c r="D25" s="49" t="s">
        <v>75</v>
      </c>
      <c r="E25" s="49" t="s">
        <v>24</v>
      </c>
      <c r="F25" s="49" t="s">
        <v>31</v>
      </c>
      <c r="G25" s="49" t="s">
        <v>25</v>
      </c>
      <c r="H25" s="49" t="s">
        <v>25</v>
      </c>
      <c r="I25" s="49" t="s">
        <v>25</v>
      </c>
      <c r="J25" s="49" t="s">
        <v>614</v>
      </c>
      <c r="K25" s="49" t="s">
        <v>615</v>
      </c>
      <c r="L25" s="49" t="s">
        <v>72</v>
      </c>
      <c r="M25" s="49">
        <v>2021</v>
      </c>
      <c r="N25" s="49">
        <v>0</v>
      </c>
      <c r="O25" s="49">
        <v>216.26</v>
      </c>
      <c r="P25" s="49"/>
    </row>
    <row r="26" spans="1:16" ht="11.25" customHeight="1" x14ac:dyDescent="0.3">
      <c r="A26" s="49">
        <v>25</v>
      </c>
      <c r="B26" s="49" t="s">
        <v>498</v>
      </c>
      <c r="C26" s="49" t="s">
        <v>22</v>
      </c>
      <c r="D26" s="49" t="s">
        <v>75</v>
      </c>
      <c r="E26" s="49" t="s">
        <v>24</v>
      </c>
      <c r="F26" s="49" t="s">
        <v>32</v>
      </c>
      <c r="G26" s="49" t="s">
        <v>25</v>
      </c>
      <c r="H26" s="49" t="s">
        <v>25</v>
      </c>
      <c r="I26" s="49" t="s">
        <v>25</v>
      </c>
      <c r="J26" s="49" t="s">
        <v>614</v>
      </c>
      <c r="K26" s="49" t="s">
        <v>615</v>
      </c>
      <c r="L26" s="49" t="s">
        <v>72</v>
      </c>
      <c r="M26" s="49">
        <v>2021</v>
      </c>
      <c r="N26" s="49">
        <v>0</v>
      </c>
      <c r="O26" s="49">
        <v>240.29</v>
      </c>
      <c r="P26" s="49"/>
    </row>
    <row r="27" spans="1:16" ht="11.25" customHeight="1" x14ac:dyDescent="0.3">
      <c r="A27" s="49">
        <v>26</v>
      </c>
      <c r="B27" s="49" t="s">
        <v>498</v>
      </c>
      <c r="C27" s="49" t="s">
        <v>22</v>
      </c>
      <c r="D27" s="49" t="s">
        <v>86</v>
      </c>
      <c r="E27" s="49" t="s">
        <v>24</v>
      </c>
      <c r="F27" s="49" t="s">
        <v>24</v>
      </c>
      <c r="G27" s="49" t="s">
        <v>25</v>
      </c>
      <c r="H27" s="49" t="s">
        <v>25</v>
      </c>
      <c r="I27" s="49" t="s">
        <v>25</v>
      </c>
      <c r="J27" s="49" t="s">
        <v>614</v>
      </c>
      <c r="K27" s="49" t="s">
        <v>615</v>
      </c>
      <c r="L27" s="49" t="s">
        <v>72</v>
      </c>
      <c r="M27" s="49">
        <v>2021</v>
      </c>
      <c r="N27" s="49">
        <v>0</v>
      </c>
      <c r="O27" s="49">
        <v>240.29</v>
      </c>
      <c r="P27" s="49"/>
    </row>
    <row r="28" spans="1:16" ht="11.25" customHeight="1" x14ac:dyDescent="0.3">
      <c r="A28" s="49">
        <v>27</v>
      </c>
      <c r="B28" s="49" t="s">
        <v>498</v>
      </c>
      <c r="C28" s="49" t="s">
        <v>22</v>
      </c>
      <c r="D28" s="49" t="s">
        <v>86</v>
      </c>
      <c r="E28" s="49" t="s">
        <v>24</v>
      </c>
      <c r="F28" s="49" t="s">
        <v>29</v>
      </c>
      <c r="G28" s="49" t="s">
        <v>25</v>
      </c>
      <c r="H28" s="49" t="s">
        <v>25</v>
      </c>
      <c r="I28" s="49" t="s">
        <v>25</v>
      </c>
      <c r="J28" s="49" t="s">
        <v>614</v>
      </c>
      <c r="K28" s="49" t="s">
        <v>615</v>
      </c>
      <c r="L28" s="49" t="s">
        <v>72</v>
      </c>
      <c r="M28" s="49">
        <v>2021</v>
      </c>
      <c r="N28" s="49">
        <v>0</v>
      </c>
      <c r="O28" s="49">
        <v>84.1</v>
      </c>
      <c r="P28" s="49"/>
    </row>
    <row r="29" spans="1:16" ht="11.25" customHeight="1" x14ac:dyDescent="0.3">
      <c r="A29" s="49">
        <v>28</v>
      </c>
      <c r="B29" s="49" t="s">
        <v>498</v>
      </c>
      <c r="C29" s="49" t="s">
        <v>43</v>
      </c>
      <c r="D29" s="49" t="s">
        <v>71</v>
      </c>
      <c r="E29" s="49" t="s">
        <v>44</v>
      </c>
      <c r="F29" s="49" t="s">
        <v>25</v>
      </c>
      <c r="G29" s="49" t="s">
        <v>25</v>
      </c>
      <c r="H29" s="49" t="s">
        <v>25</v>
      </c>
      <c r="I29" s="49" t="s">
        <v>39</v>
      </c>
      <c r="J29" s="49" t="s">
        <v>614</v>
      </c>
      <c r="K29" s="49" t="s">
        <v>615</v>
      </c>
      <c r="L29" s="49" t="s">
        <v>72</v>
      </c>
      <c r="M29" s="49">
        <v>2021</v>
      </c>
      <c r="N29" s="49">
        <v>0</v>
      </c>
      <c r="O29" s="49">
        <v>211.46</v>
      </c>
      <c r="P29" s="49"/>
    </row>
    <row r="30" spans="1:16" ht="11.25" customHeight="1" x14ac:dyDescent="0.3">
      <c r="A30" s="49">
        <v>29</v>
      </c>
      <c r="B30" s="49" t="s">
        <v>498</v>
      </c>
      <c r="C30" s="49" t="s">
        <v>43</v>
      </c>
      <c r="D30" s="49" t="s">
        <v>71</v>
      </c>
      <c r="E30" s="49" t="s">
        <v>44</v>
      </c>
      <c r="F30" s="49" t="s">
        <v>25</v>
      </c>
      <c r="G30" s="49" t="s">
        <v>25</v>
      </c>
      <c r="H30" s="49" t="s">
        <v>25</v>
      </c>
      <c r="I30" s="49" t="s">
        <v>42</v>
      </c>
      <c r="J30" s="49" t="s">
        <v>614</v>
      </c>
      <c r="K30" s="49" t="s">
        <v>615</v>
      </c>
      <c r="L30" s="49" t="s">
        <v>72</v>
      </c>
      <c r="M30" s="49">
        <v>2021</v>
      </c>
      <c r="N30" s="49">
        <v>0</v>
      </c>
      <c r="O30" s="49">
        <v>211.46</v>
      </c>
      <c r="P30" s="49"/>
    </row>
    <row r="31" spans="1:16" ht="11.25" customHeight="1" x14ac:dyDescent="0.3">
      <c r="A31" s="49">
        <v>30</v>
      </c>
      <c r="B31" s="49" t="s">
        <v>498</v>
      </c>
      <c r="C31" s="49" t="s">
        <v>43</v>
      </c>
      <c r="D31" s="49" t="s">
        <v>71</v>
      </c>
      <c r="E31" s="49" t="s">
        <v>44</v>
      </c>
      <c r="F31" s="49" t="s">
        <v>25</v>
      </c>
      <c r="G31" s="49" t="s">
        <v>25</v>
      </c>
      <c r="H31" s="49" t="s">
        <v>25</v>
      </c>
      <c r="I31" s="49" t="s">
        <v>34</v>
      </c>
      <c r="J31" s="49" t="s">
        <v>614</v>
      </c>
      <c r="K31" s="49" t="s">
        <v>615</v>
      </c>
      <c r="L31" s="49" t="s">
        <v>72</v>
      </c>
      <c r="M31" s="49">
        <v>2021</v>
      </c>
      <c r="N31" s="49">
        <v>0</v>
      </c>
      <c r="O31" s="49">
        <v>211.46</v>
      </c>
      <c r="P31" s="49"/>
    </row>
    <row r="32" spans="1:16" ht="11.25" customHeight="1" x14ac:dyDescent="0.3">
      <c r="A32" s="49">
        <v>31</v>
      </c>
      <c r="B32" s="49" t="s">
        <v>498</v>
      </c>
      <c r="C32" s="49" t="s">
        <v>43</v>
      </c>
      <c r="D32" s="49" t="s">
        <v>75</v>
      </c>
      <c r="E32" s="49" t="s">
        <v>44</v>
      </c>
      <c r="F32" s="49" t="s">
        <v>25</v>
      </c>
      <c r="G32" s="49" t="s">
        <v>25</v>
      </c>
      <c r="H32" s="49" t="s">
        <v>25</v>
      </c>
      <c r="I32" s="49" t="s">
        <v>25</v>
      </c>
      <c r="J32" s="49" t="s">
        <v>614</v>
      </c>
      <c r="K32" s="49" t="s">
        <v>615</v>
      </c>
      <c r="L32" s="49" t="s">
        <v>72</v>
      </c>
      <c r="M32" s="49">
        <v>2021</v>
      </c>
      <c r="N32" s="49">
        <v>0</v>
      </c>
      <c r="O32" s="49">
        <v>211.46</v>
      </c>
      <c r="P32" s="49"/>
    </row>
    <row r="33" spans="1:16" ht="11.25" customHeight="1" x14ac:dyDescent="0.3">
      <c r="A33" s="49">
        <v>32</v>
      </c>
      <c r="B33" s="49" t="s">
        <v>498</v>
      </c>
      <c r="C33" s="49" t="s">
        <v>43</v>
      </c>
      <c r="D33" s="49" t="s">
        <v>75</v>
      </c>
      <c r="E33" s="49" t="s">
        <v>44</v>
      </c>
      <c r="F33" s="49" t="s">
        <v>88</v>
      </c>
      <c r="G33" s="49" t="s">
        <v>25</v>
      </c>
      <c r="H33" s="49" t="s">
        <v>25</v>
      </c>
      <c r="I33" s="49" t="s">
        <v>25</v>
      </c>
      <c r="J33" s="49" t="s">
        <v>614</v>
      </c>
      <c r="K33" s="49" t="s">
        <v>615</v>
      </c>
      <c r="L33" s="49" t="s">
        <v>72</v>
      </c>
      <c r="M33" s="49">
        <v>2021</v>
      </c>
      <c r="N33" s="49">
        <v>0</v>
      </c>
      <c r="O33" s="49">
        <v>211.46</v>
      </c>
      <c r="P33" s="49"/>
    </row>
    <row r="34" spans="1:16" ht="11.25" customHeight="1" x14ac:dyDescent="0.3">
      <c r="A34" s="49">
        <v>33</v>
      </c>
      <c r="B34" s="49" t="s">
        <v>498</v>
      </c>
      <c r="C34" s="49" t="s">
        <v>43</v>
      </c>
      <c r="D34" s="49" t="s">
        <v>71</v>
      </c>
      <c r="E34" s="49" t="s">
        <v>44</v>
      </c>
      <c r="F34" s="49" t="s">
        <v>89</v>
      </c>
      <c r="G34" s="49" t="s">
        <v>25</v>
      </c>
      <c r="H34" s="49" t="s">
        <v>25</v>
      </c>
      <c r="I34" s="49" t="s">
        <v>39</v>
      </c>
      <c r="J34" s="49" t="s">
        <v>614</v>
      </c>
      <c r="K34" s="49" t="s">
        <v>615</v>
      </c>
      <c r="L34" s="49" t="s">
        <v>72</v>
      </c>
      <c r="M34" s="49">
        <v>2021</v>
      </c>
      <c r="N34" s="49">
        <v>0</v>
      </c>
      <c r="O34" s="49">
        <v>201.85</v>
      </c>
      <c r="P34" s="49"/>
    </row>
    <row r="35" spans="1:16" ht="11.25" customHeight="1" x14ac:dyDescent="0.3">
      <c r="A35" s="49">
        <v>34</v>
      </c>
      <c r="B35" s="49" t="s">
        <v>498</v>
      </c>
      <c r="C35" s="49" t="s">
        <v>43</v>
      </c>
      <c r="D35" s="49" t="s">
        <v>71</v>
      </c>
      <c r="E35" s="49" t="s">
        <v>44</v>
      </c>
      <c r="F35" s="49" t="s">
        <v>89</v>
      </c>
      <c r="G35" s="49" t="s">
        <v>25</v>
      </c>
      <c r="H35" s="49" t="s">
        <v>25</v>
      </c>
      <c r="I35" s="49" t="s">
        <v>42</v>
      </c>
      <c r="J35" s="49" t="s">
        <v>614</v>
      </c>
      <c r="K35" s="49" t="s">
        <v>615</v>
      </c>
      <c r="L35" s="49" t="s">
        <v>72</v>
      </c>
      <c r="M35" s="49">
        <v>2021</v>
      </c>
      <c r="N35" s="49">
        <v>0</v>
      </c>
      <c r="O35" s="49">
        <v>201.85</v>
      </c>
      <c r="P35" s="49"/>
    </row>
    <row r="36" spans="1:16" ht="11.25" customHeight="1" x14ac:dyDescent="0.3">
      <c r="A36" s="49">
        <v>35</v>
      </c>
      <c r="B36" s="49" t="s">
        <v>498</v>
      </c>
      <c r="C36" s="49" t="s">
        <v>43</v>
      </c>
      <c r="D36" s="49" t="s">
        <v>71</v>
      </c>
      <c r="E36" s="49" t="s">
        <v>44</v>
      </c>
      <c r="F36" s="49" t="s">
        <v>89</v>
      </c>
      <c r="G36" s="49" t="s">
        <v>25</v>
      </c>
      <c r="H36" s="49" t="s">
        <v>25</v>
      </c>
      <c r="I36" s="49" t="s">
        <v>34</v>
      </c>
      <c r="J36" s="49" t="s">
        <v>614</v>
      </c>
      <c r="K36" s="49" t="s">
        <v>615</v>
      </c>
      <c r="L36" s="49" t="s">
        <v>72</v>
      </c>
      <c r="M36" s="49">
        <v>2021</v>
      </c>
      <c r="N36" s="49">
        <v>0</v>
      </c>
      <c r="O36" s="49">
        <v>201.85</v>
      </c>
      <c r="P36" s="49"/>
    </row>
    <row r="37" spans="1:16" ht="11.25" customHeight="1" x14ac:dyDescent="0.3">
      <c r="A37" s="49">
        <v>36</v>
      </c>
      <c r="B37" s="49" t="s">
        <v>498</v>
      </c>
      <c r="C37" s="49" t="s">
        <v>43</v>
      </c>
      <c r="D37" s="49" t="s">
        <v>86</v>
      </c>
      <c r="E37" s="49" t="s">
        <v>44</v>
      </c>
      <c r="F37" s="49" t="s">
        <v>88</v>
      </c>
      <c r="G37" s="49" t="s">
        <v>25</v>
      </c>
      <c r="H37" s="49" t="s">
        <v>25</v>
      </c>
      <c r="I37" s="49" t="s">
        <v>25</v>
      </c>
      <c r="J37" s="49" t="s">
        <v>614</v>
      </c>
      <c r="K37" s="49" t="s">
        <v>615</v>
      </c>
      <c r="L37" s="49" t="s">
        <v>72</v>
      </c>
      <c r="M37" s="49">
        <v>2021</v>
      </c>
      <c r="N37" s="49">
        <v>0</v>
      </c>
      <c r="O37" s="49">
        <v>211.46</v>
      </c>
      <c r="P37" s="49"/>
    </row>
    <row r="38" spans="1:16" ht="11.25" customHeight="1" x14ac:dyDescent="0.3">
      <c r="A38" s="49">
        <v>37</v>
      </c>
      <c r="B38" s="49" t="s">
        <v>498</v>
      </c>
      <c r="C38" s="49" t="s">
        <v>43</v>
      </c>
      <c r="D38" s="49" t="s">
        <v>86</v>
      </c>
      <c r="E38" s="49" t="s">
        <v>44</v>
      </c>
      <c r="F38" s="49" t="s">
        <v>89</v>
      </c>
      <c r="G38" s="49" t="s">
        <v>25</v>
      </c>
      <c r="H38" s="49" t="s">
        <v>25</v>
      </c>
      <c r="I38" s="49" t="s">
        <v>25</v>
      </c>
      <c r="J38" s="49" t="s">
        <v>614</v>
      </c>
      <c r="K38" s="49" t="s">
        <v>615</v>
      </c>
      <c r="L38" s="49" t="s">
        <v>72</v>
      </c>
      <c r="M38" s="49">
        <v>2021</v>
      </c>
      <c r="N38" s="49">
        <v>0</v>
      </c>
      <c r="O38" s="49">
        <v>201.85</v>
      </c>
      <c r="P38" s="49"/>
    </row>
    <row r="39" spans="1:16" ht="11.25" customHeight="1" x14ac:dyDescent="0.3">
      <c r="A39" s="49">
        <v>38</v>
      </c>
      <c r="B39" s="49" t="s">
        <v>498</v>
      </c>
      <c r="C39" s="49" t="s">
        <v>35</v>
      </c>
      <c r="D39" s="49" t="s">
        <v>71</v>
      </c>
      <c r="E39" s="49" t="s">
        <v>25</v>
      </c>
      <c r="F39" s="49" t="s">
        <v>25</v>
      </c>
      <c r="G39" s="49" t="s">
        <v>25</v>
      </c>
      <c r="H39" s="49" t="s">
        <v>25</v>
      </c>
      <c r="I39" s="49" t="s">
        <v>39</v>
      </c>
      <c r="J39" s="49" t="s">
        <v>614</v>
      </c>
      <c r="K39" s="49" t="s">
        <v>615</v>
      </c>
      <c r="L39" s="49" t="s">
        <v>72</v>
      </c>
      <c r="M39" s="49">
        <v>2021</v>
      </c>
      <c r="N39" s="49">
        <v>0</v>
      </c>
      <c r="O39" s="49">
        <v>240.29</v>
      </c>
      <c r="P39" s="49"/>
    </row>
    <row r="40" spans="1:16" ht="11.25" customHeight="1" x14ac:dyDescent="0.3">
      <c r="A40" s="49">
        <v>39</v>
      </c>
      <c r="B40" s="49" t="s">
        <v>498</v>
      </c>
      <c r="C40" s="49" t="s">
        <v>35</v>
      </c>
      <c r="D40" s="49" t="s">
        <v>71</v>
      </c>
      <c r="E40" s="49" t="s">
        <v>25</v>
      </c>
      <c r="F40" s="49" t="s">
        <v>25</v>
      </c>
      <c r="G40" s="49" t="s">
        <v>25</v>
      </c>
      <c r="H40" s="49" t="s">
        <v>25</v>
      </c>
      <c r="I40" s="49" t="s">
        <v>42</v>
      </c>
      <c r="J40" s="49" t="s">
        <v>614</v>
      </c>
      <c r="K40" s="49" t="s">
        <v>615</v>
      </c>
      <c r="L40" s="49" t="s">
        <v>72</v>
      </c>
      <c r="M40" s="49">
        <v>2021</v>
      </c>
      <c r="N40" s="49">
        <v>0</v>
      </c>
      <c r="O40" s="49">
        <v>240.29</v>
      </c>
      <c r="P40" s="49"/>
    </row>
    <row r="41" spans="1:16" ht="11.25" customHeight="1" x14ac:dyDescent="0.3">
      <c r="A41" s="49">
        <v>40</v>
      </c>
      <c r="B41" s="49" t="s">
        <v>498</v>
      </c>
      <c r="C41" s="49" t="s">
        <v>43</v>
      </c>
      <c r="D41" s="49" t="s">
        <v>71</v>
      </c>
      <c r="E41" s="49" t="s">
        <v>44</v>
      </c>
      <c r="F41" s="49" t="s">
        <v>88</v>
      </c>
      <c r="G41" s="49" t="s">
        <v>25</v>
      </c>
      <c r="H41" s="49" t="s">
        <v>25</v>
      </c>
      <c r="I41" s="49" t="s">
        <v>39</v>
      </c>
      <c r="J41" s="49" t="s">
        <v>614</v>
      </c>
      <c r="K41" s="49" t="s">
        <v>615</v>
      </c>
      <c r="L41" s="49" t="s">
        <v>72</v>
      </c>
      <c r="M41" s="49">
        <v>2021</v>
      </c>
      <c r="N41" s="49">
        <v>0</v>
      </c>
      <c r="O41" s="49">
        <v>211.46</v>
      </c>
      <c r="P41" s="49"/>
    </row>
    <row r="42" spans="1:16" ht="11.25" customHeight="1" x14ac:dyDescent="0.3">
      <c r="A42" s="49">
        <v>41</v>
      </c>
      <c r="B42" s="49" t="s">
        <v>498</v>
      </c>
      <c r="C42" s="49" t="s">
        <v>43</v>
      </c>
      <c r="D42" s="49" t="s">
        <v>71</v>
      </c>
      <c r="E42" s="49" t="s">
        <v>44</v>
      </c>
      <c r="F42" s="49" t="s">
        <v>88</v>
      </c>
      <c r="G42" s="49" t="s">
        <v>25</v>
      </c>
      <c r="H42" s="49" t="s">
        <v>25</v>
      </c>
      <c r="I42" s="49" t="s">
        <v>42</v>
      </c>
      <c r="J42" s="49" t="s">
        <v>614</v>
      </c>
      <c r="K42" s="49" t="s">
        <v>615</v>
      </c>
      <c r="L42" s="49" t="s">
        <v>72</v>
      </c>
      <c r="M42" s="49">
        <v>2021</v>
      </c>
      <c r="N42" s="49">
        <v>0</v>
      </c>
      <c r="O42" s="49">
        <v>211.46</v>
      </c>
      <c r="P42" s="49"/>
    </row>
    <row r="43" spans="1:16" ht="11.25" customHeight="1" x14ac:dyDescent="0.3">
      <c r="A43" s="49">
        <v>42</v>
      </c>
      <c r="B43" s="49" t="s">
        <v>498</v>
      </c>
      <c r="C43" s="49" t="s">
        <v>43</v>
      </c>
      <c r="D43" s="49" t="s">
        <v>71</v>
      </c>
      <c r="E43" s="49" t="s">
        <v>44</v>
      </c>
      <c r="F43" s="49" t="s">
        <v>88</v>
      </c>
      <c r="G43" s="49" t="s">
        <v>25</v>
      </c>
      <c r="H43" s="49" t="s">
        <v>25</v>
      </c>
      <c r="I43" s="49" t="s">
        <v>34</v>
      </c>
      <c r="J43" s="49" t="s">
        <v>614</v>
      </c>
      <c r="K43" s="49" t="s">
        <v>615</v>
      </c>
      <c r="L43" s="49" t="s">
        <v>72</v>
      </c>
      <c r="M43" s="49">
        <v>2021</v>
      </c>
      <c r="N43" s="49">
        <v>0</v>
      </c>
      <c r="O43" s="49">
        <v>211.46</v>
      </c>
      <c r="P43" s="49"/>
    </row>
    <row r="44" spans="1:16" ht="11.25" customHeight="1" x14ac:dyDescent="0.3">
      <c r="A44" s="49">
        <v>43</v>
      </c>
      <c r="B44" s="49" t="s">
        <v>498</v>
      </c>
      <c r="C44" s="49" t="s">
        <v>43</v>
      </c>
      <c r="D44" s="49" t="s">
        <v>75</v>
      </c>
      <c r="E44" s="49" t="s">
        <v>44</v>
      </c>
      <c r="F44" s="49" t="s">
        <v>89</v>
      </c>
      <c r="G44" s="49" t="s">
        <v>25</v>
      </c>
      <c r="H44" s="49" t="s">
        <v>25</v>
      </c>
      <c r="I44" s="49" t="s">
        <v>25</v>
      </c>
      <c r="J44" s="49" t="s">
        <v>614</v>
      </c>
      <c r="K44" s="49" t="s">
        <v>615</v>
      </c>
      <c r="L44" s="49" t="s">
        <v>72</v>
      </c>
      <c r="M44" s="49">
        <v>2021</v>
      </c>
      <c r="N44" s="49">
        <v>0</v>
      </c>
      <c r="O44" s="49">
        <v>201.85</v>
      </c>
      <c r="P44" s="49"/>
    </row>
    <row r="45" spans="1:16" ht="11.25" customHeight="1" x14ac:dyDescent="0.3">
      <c r="A45" s="49">
        <v>44</v>
      </c>
      <c r="B45" s="49" t="s">
        <v>498</v>
      </c>
      <c r="C45" s="49" t="s">
        <v>43</v>
      </c>
      <c r="D45" s="49" t="s">
        <v>86</v>
      </c>
      <c r="E45" s="49" t="s">
        <v>44</v>
      </c>
      <c r="F45" s="49" t="s">
        <v>25</v>
      </c>
      <c r="G45" s="49" t="s">
        <v>25</v>
      </c>
      <c r="H45" s="49" t="s">
        <v>25</v>
      </c>
      <c r="I45" s="49" t="s">
        <v>25</v>
      </c>
      <c r="J45" s="49" t="s">
        <v>614</v>
      </c>
      <c r="K45" s="49" t="s">
        <v>615</v>
      </c>
      <c r="L45" s="49" t="s">
        <v>72</v>
      </c>
      <c r="M45" s="49">
        <v>2021</v>
      </c>
      <c r="N45" s="49">
        <v>0</v>
      </c>
      <c r="O45" s="49">
        <v>211.46</v>
      </c>
      <c r="P45" s="49"/>
    </row>
    <row r="46" spans="1:16" ht="11.25" customHeight="1" x14ac:dyDescent="0.3">
      <c r="A46" s="49">
        <v>45</v>
      </c>
      <c r="B46" s="49" t="s">
        <v>498</v>
      </c>
      <c r="C46" s="49" t="s">
        <v>35</v>
      </c>
      <c r="D46" s="49" t="s">
        <v>71</v>
      </c>
      <c r="E46" s="49" t="s">
        <v>25</v>
      </c>
      <c r="F46" s="49" t="s">
        <v>25</v>
      </c>
      <c r="G46" s="49" t="s">
        <v>25</v>
      </c>
      <c r="H46" s="49" t="s">
        <v>25</v>
      </c>
      <c r="I46" s="49" t="s">
        <v>34</v>
      </c>
      <c r="J46" s="49" t="s">
        <v>614</v>
      </c>
      <c r="K46" s="49" t="s">
        <v>615</v>
      </c>
      <c r="L46" s="49" t="s">
        <v>72</v>
      </c>
      <c r="M46" s="49">
        <v>2021</v>
      </c>
      <c r="N46" s="49">
        <v>0</v>
      </c>
      <c r="O46" s="49">
        <v>240.29</v>
      </c>
      <c r="P46" s="49"/>
    </row>
    <row r="47" spans="1:16" ht="11.25" customHeight="1" x14ac:dyDescent="0.3">
      <c r="A47" s="49">
        <v>46</v>
      </c>
      <c r="B47" s="49" t="s">
        <v>498</v>
      </c>
      <c r="C47" s="49" t="s">
        <v>35</v>
      </c>
      <c r="D47" s="49" t="s">
        <v>75</v>
      </c>
      <c r="E47" s="49" t="s">
        <v>25</v>
      </c>
      <c r="F47" s="49" t="s">
        <v>25</v>
      </c>
      <c r="G47" s="49" t="s">
        <v>25</v>
      </c>
      <c r="H47" s="49" t="s">
        <v>25</v>
      </c>
      <c r="I47" s="49" t="s">
        <v>25</v>
      </c>
      <c r="J47" s="49" t="s">
        <v>614</v>
      </c>
      <c r="K47" s="49" t="s">
        <v>615</v>
      </c>
      <c r="L47" s="49" t="s">
        <v>72</v>
      </c>
      <c r="M47" s="49">
        <v>2021</v>
      </c>
      <c r="N47" s="49">
        <v>0</v>
      </c>
      <c r="O47" s="49">
        <v>240.29</v>
      </c>
      <c r="P47" s="49"/>
    </row>
    <row r="48" spans="1:16" ht="11.25" customHeight="1" x14ac:dyDescent="0.3">
      <c r="A48" s="49">
        <v>47</v>
      </c>
      <c r="B48" s="49" t="s">
        <v>498</v>
      </c>
      <c r="C48" s="49" t="s">
        <v>35</v>
      </c>
      <c r="D48" s="49" t="s">
        <v>86</v>
      </c>
      <c r="E48" s="49" t="s">
        <v>25</v>
      </c>
      <c r="F48" s="49" t="s">
        <v>25</v>
      </c>
      <c r="G48" s="49" t="s">
        <v>25</v>
      </c>
      <c r="H48" s="49" t="s">
        <v>25</v>
      </c>
      <c r="I48" s="49" t="s">
        <v>25</v>
      </c>
      <c r="J48" s="49" t="s">
        <v>614</v>
      </c>
      <c r="K48" s="49" t="s">
        <v>615</v>
      </c>
      <c r="L48" s="49" t="s">
        <v>72</v>
      </c>
      <c r="M48" s="49">
        <v>2021</v>
      </c>
      <c r="N48" s="49">
        <v>0</v>
      </c>
      <c r="O48" s="49">
        <v>240.29</v>
      </c>
      <c r="P48" s="49"/>
    </row>
    <row r="49" spans="1:16" ht="11.25" customHeight="1" x14ac:dyDescent="0.3">
      <c r="A49" s="49">
        <v>48</v>
      </c>
      <c r="B49" s="49" t="s">
        <v>498</v>
      </c>
      <c r="C49" s="49" t="s">
        <v>46</v>
      </c>
      <c r="D49" s="49" t="s">
        <v>75</v>
      </c>
      <c r="E49" s="49" t="s">
        <v>47</v>
      </c>
      <c r="F49" s="49" t="s">
        <v>48</v>
      </c>
      <c r="G49" s="49" t="s">
        <v>25</v>
      </c>
      <c r="H49" s="49" t="s">
        <v>25</v>
      </c>
      <c r="I49" s="49" t="s">
        <v>25</v>
      </c>
      <c r="J49" s="49" t="s">
        <v>614</v>
      </c>
      <c r="K49" s="49" t="s">
        <v>615</v>
      </c>
      <c r="L49" s="49" t="s">
        <v>72</v>
      </c>
      <c r="M49" s="49">
        <v>2021</v>
      </c>
      <c r="N49" s="49">
        <v>0</v>
      </c>
      <c r="O49" s="49">
        <v>132.16</v>
      </c>
      <c r="P49" s="49"/>
    </row>
    <row r="50" spans="1:16" ht="11.25" customHeight="1" x14ac:dyDescent="0.3">
      <c r="A50" s="49">
        <v>49</v>
      </c>
      <c r="B50" s="49" t="s">
        <v>470</v>
      </c>
      <c r="C50" s="49" t="s">
        <v>37</v>
      </c>
      <c r="D50" s="49" t="s">
        <v>81</v>
      </c>
      <c r="E50" s="49" t="s">
        <v>25</v>
      </c>
      <c r="F50" s="49" t="s">
        <v>25</v>
      </c>
      <c r="G50" s="49" t="s">
        <v>25</v>
      </c>
      <c r="H50" s="49" t="s">
        <v>25</v>
      </c>
      <c r="I50" s="49" t="s">
        <v>25</v>
      </c>
      <c r="J50" s="49" t="s">
        <v>616</v>
      </c>
      <c r="K50" s="49" t="s">
        <v>615</v>
      </c>
      <c r="L50" s="49" t="s">
        <v>77</v>
      </c>
      <c r="M50" s="49">
        <v>2021</v>
      </c>
      <c r="N50" s="49">
        <v>0</v>
      </c>
      <c r="O50" s="49">
        <v>16.68</v>
      </c>
      <c r="P50" s="49">
        <v>0</v>
      </c>
    </row>
    <row r="51" spans="1:16" ht="11.25" customHeight="1" x14ac:dyDescent="0.3">
      <c r="A51" s="49">
        <v>50</v>
      </c>
      <c r="B51" s="49" t="s">
        <v>470</v>
      </c>
      <c r="C51" s="49" t="s">
        <v>37</v>
      </c>
      <c r="D51" s="49" t="s">
        <v>38</v>
      </c>
      <c r="E51" s="49" t="s">
        <v>25</v>
      </c>
      <c r="F51" s="49" t="s">
        <v>25</v>
      </c>
      <c r="G51" s="49" t="s">
        <v>25</v>
      </c>
      <c r="H51" s="49" t="s">
        <v>25</v>
      </c>
      <c r="I51" s="49" t="s">
        <v>25</v>
      </c>
      <c r="J51" s="49" t="s">
        <v>616</v>
      </c>
      <c r="K51" s="49" t="s">
        <v>615</v>
      </c>
      <c r="L51" s="49" t="s">
        <v>77</v>
      </c>
      <c r="M51" s="49">
        <v>2021</v>
      </c>
      <c r="N51" s="49">
        <v>0</v>
      </c>
      <c r="O51" s="49">
        <v>74.41</v>
      </c>
      <c r="P51" s="49">
        <v>0</v>
      </c>
    </row>
    <row r="52" spans="1:16" ht="11.25" customHeight="1" x14ac:dyDescent="0.3">
      <c r="A52" s="49">
        <v>51</v>
      </c>
      <c r="B52" s="49" t="s">
        <v>470</v>
      </c>
      <c r="C52" s="49" t="s">
        <v>22</v>
      </c>
      <c r="D52" s="49" t="s">
        <v>33</v>
      </c>
      <c r="E52" s="49" t="s">
        <v>24</v>
      </c>
      <c r="F52" s="49" t="s">
        <v>24</v>
      </c>
      <c r="G52" s="49" t="s">
        <v>25</v>
      </c>
      <c r="H52" s="49" t="s">
        <v>25</v>
      </c>
      <c r="I52" s="49" t="s">
        <v>39</v>
      </c>
      <c r="J52" s="49" t="s">
        <v>614</v>
      </c>
      <c r="K52" s="49" t="s">
        <v>615</v>
      </c>
      <c r="L52" s="49" t="s">
        <v>72</v>
      </c>
      <c r="M52" s="49">
        <v>2021</v>
      </c>
      <c r="N52" s="49">
        <v>0</v>
      </c>
      <c r="O52" s="49">
        <v>2127.67</v>
      </c>
      <c r="P52" s="49">
        <v>74.434435828350402</v>
      </c>
    </row>
    <row r="53" spans="1:16" ht="11.25" customHeight="1" x14ac:dyDescent="0.3">
      <c r="A53" s="49">
        <v>52</v>
      </c>
      <c r="B53" s="49" t="s">
        <v>470</v>
      </c>
      <c r="C53" s="49" t="s">
        <v>22</v>
      </c>
      <c r="D53" s="49" t="s">
        <v>33</v>
      </c>
      <c r="E53" s="49" t="s">
        <v>24</v>
      </c>
      <c r="F53" s="49" t="s">
        <v>24</v>
      </c>
      <c r="G53" s="49" t="s">
        <v>25</v>
      </c>
      <c r="H53" s="49" t="s">
        <v>25</v>
      </c>
      <c r="I53" s="49" t="s">
        <v>42</v>
      </c>
      <c r="J53" s="49" t="s">
        <v>614</v>
      </c>
      <c r="K53" s="49" t="s">
        <v>615</v>
      </c>
      <c r="L53" s="49" t="s">
        <v>72</v>
      </c>
      <c r="M53" s="49">
        <v>2021</v>
      </c>
      <c r="N53" s="49">
        <v>0</v>
      </c>
      <c r="O53" s="49">
        <v>1327.02</v>
      </c>
      <c r="P53" s="49">
        <v>74.434435828350402</v>
      </c>
    </row>
    <row r="54" spans="1:16" ht="11.25" customHeight="1" x14ac:dyDescent="0.3">
      <c r="A54" s="49">
        <v>53</v>
      </c>
      <c r="B54" s="49" t="s">
        <v>470</v>
      </c>
      <c r="C54" s="49" t="s">
        <v>22</v>
      </c>
      <c r="D54" s="49" t="s">
        <v>23</v>
      </c>
      <c r="E54" s="49" t="s">
        <v>24</v>
      </c>
      <c r="F54" s="49" t="s">
        <v>30</v>
      </c>
      <c r="G54" s="49" t="s">
        <v>25</v>
      </c>
      <c r="H54" s="49" t="s">
        <v>25</v>
      </c>
      <c r="I54" s="49" t="s">
        <v>25</v>
      </c>
      <c r="J54" s="49" t="s">
        <v>614</v>
      </c>
      <c r="K54" s="49" t="s">
        <v>615</v>
      </c>
      <c r="L54" s="49" t="s">
        <v>72</v>
      </c>
      <c r="M54" s="49">
        <v>2021</v>
      </c>
      <c r="N54" s="49">
        <v>0</v>
      </c>
      <c r="O54" s="49">
        <v>469.16</v>
      </c>
      <c r="P54" s="49">
        <v>0</v>
      </c>
    </row>
    <row r="55" spans="1:16" ht="11.25" customHeight="1" x14ac:dyDescent="0.3">
      <c r="A55" s="49">
        <v>54</v>
      </c>
      <c r="B55" s="49" t="s">
        <v>470</v>
      </c>
      <c r="C55" s="49" t="s">
        <v>22</v>
      </c>
      <c r="D55" s="49" t="s">
        <v>23</v>
      </c>
      <c r="E55" s="49" t="s">
        <v>24</v>
      </c>
      <c r="F55" s="49" t="s">
        <v>31</v>
      </c>
      <c r="G55" s="49" t="s">
        <v>25</v>
      </c>
      <c r="H55" s="49" t="s">
        <v>25</v>
      </c>
      <c r="I55" s="49" t="s">
        <v>25</v>
      </c>
      <c r="J55" s="49" t="s">
        <v>614</v>
      </c>
      <c r="K55" s="49" t="s">
        <v>615</v>
      </c>
      <c r="L55" s="49" t="s">
        <v>72</v>
      </c>
      <c r="M55" s="49">
        <v>2021</v>
      </c>
      <c r="N55" s="49">
        <v>0</v>
      </c>
      <c r="O55" s="49">
        <v>703.74</v>
      </c>
      <c r="P55" s="49">
        <v>0</v>
      </c>
    </row>
    <row r="56" spans="1:16" ht="11.25" customHeight="1" x14ac:dyDescent="0.3">
      <c r="A56" s="49">
        <v>55</v>
      </c>
      <c r="B56" s="49" t="s">
        <v>470</v>
      </c>
      <c r="C56" s="49" t="s">
        <v>22</v>
      </c>
      <c r="D56" s="49" t="s">
        <v>87</v>
      </c>
      <c r="E56" s="49" t="s">
        <v>24</v>
      </c>
      <c r="F56" s="49" t="s">
        <v>30</v>
      </c>
      <c r="G56" s="49" t="s">
        <v>25</v>
      </c>
      <c r="H56" s="49" t="s">
        <v>25</v>
      </c>
      <c r="I56" s="49" t="s">
        <v>25</v>
      </c>
      <c r="J56" s="49" t="s">
        <v>614</v>
      </c>
      <c r="K56" s="49" t="s">
        <v>615</v>
      </c>
      <c r="L56" s="49" t="s">
        <v>72</v>
      </c>
      <c r="M56" s="49">
        <v>2021</v>
      </c>
      <c r="N56" s="49">
        <v>0</v>
      </c>
      <c r="O56" s="49">
        <v>469.16</v>
      </c>
      <c r="P56" s="49">
        <v>0</v>
      </c>
    </row>
    <row r="57" spans="1:16" ht="11.25" customHeight="1" x14ac:dyDescent="0.3">
      <c r="A57" s="49">
        <v>56</v>
      </c>
      <c r="B57" s="49" t="s">
        <v>470</v>
      </c>
      <c r="C57" s="49" t="s">
        <v>22</v>
      </c>
      <c r="D57" s="49" t="s">
        <v>87</v>
      </c>
      <c r="E57" s="49" t="s">
        <v>24</v>
      </c>
      <c r="F57" s="49" t="s">
        <v>31</v>
      </c>
      <c r="G57" s="49" t="s">
        <v>25</v>
      </c>
      <c r="H57" s="49" t="s">
        <v>25</v>
      </c>
      <c r="I57" s="49" t="s">
        <v>25</v>
      </c>
      <c r="J57" s="49" t="s">
        <v>614</v>
      </c>
      <c r="K57" s="49" t="s">
        <v>615</v>
      </c>
      <c r="L57" s="49" t="s">
        <v>72</v>
      </c>
      <c r="M57" s="49">
        <v>2021</v>
      </c>
      <c r="N57" s="49">
        <v>0</v>
      </c>
      <c r="O57" s="49">
        <v>703.74</v>
      </c>
      <c r="P57" s="49">
        <v>0</v>
      </c>
    </row>
    <row r="58" spans="1:16" ht="11.25" customHeight="1" x14ac:dyDescent="0.3">
      <c r="A58" s="49">
        <v>57</v>
      </c>
      <c r="B58" s="49" t="s">
        <v>470</v>
      </c>
      <c r="C58" s="49" t="s">
        <v>43</v>
      </c>
      <c r="D58" s="49" t="s">
        <v>23</v>
      </c>
      <c r="E58" s="49" t="s">
        <v>44</v>
      </c>
      <c r="F58" s="49" t="s">
        <v>25</v>
      </c>
      <c r="G58" s="49" t="s">
        <v>25</v>
      </c>
      <c r="H58" s="49" t="s">
        <v>25</v>
      </c>
      <c r="I58" s="49" t="s">
        <v>25</v>
      </c>
      <c r="J58" s="49" t="s">
        <v>614</v>
      </c>
      <c r="K58" s="49" t="s">
        <v>615</v>
      </c>
      <c r="L58" s="49" t="s">
        <v>72</v>
      </c>
      <c r="M58" s="49">
        <v>2021</v>
      </c>
      <c r="N58" s="49">
        <v>0</v>
      </c>
      <c r="O58" s="49">
        <v>763.29</v>
      </c>
      <c r="P58" s="49">
        <v>65.502303528948303</v>
      </c>
    </row>
    <row r="59" spans="1:16" ht="11.25" customHeight="1" x14ac:dyDescent="0.3">
      <c r="A59" s="49">
        <v>58</v>
      </c>
      <c r="B59" s="49" t="s">
        <v>470</v>
      </c>
      <c r="C59" s="49" t="s">
        <v>43</v>
      </c>
      <c r="D59" s="49" t="s">
        <v>33</v>
      </c>
      <c r="E59" s="49" t="s">
        <v>44</v>
      </c>
      <c r="F59" s="49" t="s">
        <v>88</v>
      </c>
      <c r="G59" s="49" t="s">
        <v>25</v>
      </c>
      <c r="H59" s="49" t="s">
        <v>25</v>
      </c>
      <c r="I59" s="49" t="s">
        <v>39</v>
      </c>
      <c r="J59" s="49" t="s">
        <v>614</v>
      </c>
      <c r="K59" s="49" t="s">
        <v>615</v>
      </c>
      <c r="L59" s="49" t="s">
        <v>72</v>
      </c>
      <c r="M59" s="49">
        <v>2021</v>
      </c>
      <c r="N59" s="49">
        <v>0</v>
      </c>
      <c r="O59" s="49">
        <v>1807.11</v>
      </c>
      <c r="P59" s="49">
        <v>65.502303528948303</v>
      </c>
    </row>
    <row r="60" spans="1:16" ht="11.25" customHeight="1" x14ac:dyDescent="0.3">
      <c r="A60" s="49">
        <v>59</v>
      </c>
      <c r="B60" s="49" t="s">
        <v>470</v>
      </c>
      <c r="C60" s="49" t="s">
        <v>43</v>
      </c>
      <c r="D60" s="49" t="s">
        <v>23</v>
      </c>
      <c r="E60" s="49" t="s">
        <v>44</v>
      </c>
      <c r="F60" s="49" t="s">
        <v>88</v>
      </c>
      <c r="G60" s="49" t="s">
        <v>25</v>
      </c>
      <c r="H60" s="49" t="s">
        <v>25</v>
      </c>
      <c r="I60" s="49" t="s">
        <v>25</v>
      </c>
      <c r="J60" s="49" t="s">
        <v>614</v>
      </c>
      <c r="K60" s="49" t="s">
        <v>615</v>
      </c>
      <c r="L60" s="49" t="s">
        <v>72</v>
      </c>
      <c r="M60" s="49">
        <v>2021</v>
      </c>
      <c r="N60" s="49">
        <v>0</v>
      </c>
      <c r="O60" s="49">
        <v>763.29</v>
      </c>
      <c r="P60" s="49">
        <v>65.502303528948303</v>
      </c>
    </row>
    <row r="61" spans="1:16" ht="11.25" customHeight="1" x14ac:dyDescent="0.3">
      <c r="A61" s="49">
        <v>60</v>
      </c>
      <c r="B61" s="49" t="s">
        <v>470</v>
      </c>
      <c r="C61" s="49" t="s">
        <v>43</v>
      </c>
      <c r="D61" s="49" t="s">
        <v>33</v>
      </c>
      <c r="E61" s="49" t="s">
        <v>44</v>
      </c>
      <c r="F61" s="49" t="s">
        <v>89</v>
      </c>
      <c r="G61" s="49" t="s">
        <v>25</v>
      </c>
      <c r="H61" s="49" t="s">
        <v>25</v>
      </c>
      <c r="I61" s="49" t="s">
        <v>39</v>
      </c>
      <c r="J61" s="49" t="s">
        <v>614</v>
      </c>
      <c r="K61" s="49" t="s">
        <v>615</v>
      </c>
      <c r="L61" s="49" t="s">
        <v>72</v>
      </c>
      <c r="M61" s="49">
        <v>2021</v>
      </c>
      <c r="N61" s="49">
        <v>0</v>
      </c>
      <c r="O61" s="49">
        <v>1724.97</v>
      </c>
      <c r="P61" s="49">
        <v>62.524926095814301</v>
      </c>
    </row>
    <row r="62" spans="1:16" ht="11.25" customHeight="1" x14ac:dyDescent="0.3">
      <c r="A62" s="49">
        <v>61</v>
      </c>
      <c r="B62" s="49" t="s">
        <v>470</v>
      </c>
      <c r="C62" s="49" t="s">
        <v>43</v>
      </c>
      <c r="D62" s="49" t="s">
        <v>33</v>
      </c>
      <c r="E62" s="49" t="s">
        <v>44</v>
      </c>
      <c r="F62" s="49" t="s">
        <v>89</v>
      </c>
      <c r="G62" s="49" t="s">
        <v>25</v>
      </c>
      <c r="H62" s="49" t="s">
        <v>25</v>
      </c>
      <c r="I62" s="49" t="s">
        <v>42</v>
      </c>
      <c r="J62" s="49" t="s">
        <v>614</v>
      </c>
      <c r="K62" s="49" t="s">
        <v>615</v>
      </c>
      <c r="L62" s="49" t="s">
        <v>72</v>
      </c>
      <c r="M62" s="49">
        <v>2021</v>
      </c>
      <c r="N62" s="49">
        <v>0</v>
      </c>
      <c r="O62" s="49">
        <v>1077.33</v>
      </c>
      <c r="P62" s="49">
        <v>62.524926095814301</v>
      </c>
    </row>
    <row r="63" spans="1:16" ht="11.25" customHeight="1" x14ac:dyDescent="0.3">
      <c r="A63" s="49">
        <v>62</v>
      </c>
      <c r="B63" s="49" t="s">
        <v>470</v>
      </c>
      <c r="C63" s="49" t="s">
        <v>43</v>
      </c>
      <c r="D63" s="49" t="s">
        <v>33</v>
      </c>
      <c r="E63" s="49" t="s">
        <v>44</v>
      </c>
      <c r="F63" s="49" t="s">
        <v>89</v>
      </c>
      <c r="G63" s="49" t="s">
        <v>25</v>
      </c>
      <c r="H63" s="49" t="s">
        <v>25</v>
      </c>
      <c r="I63" s="49" t="s">
        <v>34</v>
      </c>
      <c r="J63" s="49" t="s">
        <v>614</v>
      </c>
      <c r="K63" s="49" t="s">
        <v>615</v>
      </c>
      <c r="L63" s="49" t="s">
        <v>72</v>
      </c>
      <c r="M63" s="49">
        <v>2021</v>
      </c>
      <c r="N63" s="49">
        <v>0</v>
      </c>
      <c r="O63" s="49">
        <v>429.69</v>
      </c>
      <c r="P63" s="49">
        <v>62.524926095814301</v>
      </c>
    </row>
    <row r="64" spans="1:16" ht="11.25" customHeight="1" x14ac:dyDescent="0.3">
      <c r="A64" s="49">
        <v>63</v>
      </c>
      <c r="B64" s="49" t="s">
        <v>470</v>
      </c>
      <c r="C64" s="49" t="s">
        <v>43</v>
      </c>
      <c r="D64" s="49" t="s">
        <v>87</v>
      </c>
      <c r="E64" s="49" t="s">
        <v>44</v>
      </c>
      <c r="F64" s="49" t="s">
        <v>88</v>
      </c>
      <c r="G64" s="49" t="s">
        <v>25</v>
      </c>
      <c r="H64" s="49" t="s">
        <v>25</v>
      </c>
      <c r="I64" s="49" t="s">
        <v>25</v>
      </c>
      <c r="J64" s="49" t="s">
        <v>614</v>
      </c>
      <c r="K64" s="49" t="s">
        <v>615</v>
      </c>
      <c r="L64" s="49" t="s">
        <v>72</v>
      </c>
      <c r="M64" s="49">
        <v>2021</v>
      </c>
      <c r="N64" s="49">
        <v>0</v>
      </c>
      <c r="O64" s="49">
        <v>763.29</v>
      </c>
      <c r="P64" s="49">
        <v>65.502303528948303</v>
      </c>
    </row>
    <row r="65" spans="1:16" ht="11.25" customHeight="1" x14ac:dyDescent="0.3">
      <c r="A65" s="49">
        <v>64</v>
      </c>
      <c r="B65" s="49" t="s">
        <v>470</v>
      </c>
      <c r="C65" s="49" t="s">
        <v>43</v>
      </c>
      <c r="D65" s="49" t="s">
        <v>87</v>
      </c>
      <c r="E65" s="49" t="s">
        <v>44</v>
      </c>
      <c r="F65" s="49" t="s">
        <v>89</v>
      </c>
      <c r="G65" s="49" t="s">
        <v>25</v>
      </c>
      <c r="H65" s="49" t="s">
        <v>25</v>
      </c>
      <c r="I65" s="49" t="s">
        <v>25</v>
      </c>
      <c r="J65" s="49" t="s">
        <v>614</v>
      </c>
      <c r="K65" s="49" t="s">
        <v>615</v>
      </c>
      <c r="L65" s="49" t="s">
        <v>72</v>
      </c>
      <c r="M65" s="49">
        <v>2021</v>
      </c>
      <c r="N65" s="49">
        <v>0</v>
      </c>
      <c r="O65" s="49">
        <v>728.6</v>
      </c>
      <c r="P65" s="49">
        <v>62.524926095814301</v>
      </c>
    </row>
    <row r="66" spans="1:16" ht="11.25" customHeight="1" x14ac:dyDescent="0.3">
      <c r="A66" s="49">
        <v>65</v>
      </c>
      <c r="B66" s="49" t="s">
        <v>470</v>
      </c>
      <c r="C66" s="49" t="s">
        <v>35</v>
      </c>
      <c r="D66" s="49" t="s">
        <v>33</v>
      </c>
      <c r="E66" s="49" t="s">
        <v>25</v>
      </c>
      <c r="F66" s="49" t="s">
        <v>25</v>
      </c>
      <c r="G66" s="49" t="s">
        <v>25</v>
      </c>
      <c r="H66" s="49" t="s">
        <v>25</v>
      </c>
      <c r="I66" s="49" t="s">
        <v>39</v>
      </c>
      <c r="J66" s="49" t="s">
        <v>614</v>
      </c>
      <c r="K66" s="49" t="s">
        <v>615</v>
      </c>
      <c r="L66" s="49" t="s">
        <v>72</v>
      </c>
      <c r="M66" s="49">
        <v>2021</v>
      </c>
      <c r="N66" s="49">
        <v>0</v>
      </c>
      <c r="O66" s="49">
        <v>2387.14</v>
      </c>
      <c r="P66" s="49">
        <v>74.434435828350402</v>
      </c>
    </row>
    <row r="67" spans="1:16" ht="11.25" customHeight="1" x14ac:dyDescent="0.3">
      <c r="A67" s="49">
        <v>66</v>
      </c>
      <c r="B67" s="49" t="s">
        <v>470</v>
      </c>
      <c r="C67" s="49" t="s">
        <v>43</v>
      </c>
      <c r="D67" s="49" t="s">
        <v>33</v>
      </c>
      <c r="E67" s="49" t="s">
        <v>44</v>
      </c>
      <c r="F67" s="49" t="s">
        <v>88</v>
      </c>
      <c r="G67" s="49" t="s">
        <v>25</v>
      </c>
      <c r="H67" s="49" t="s">
        <v>25</v>
      </c>
      <c r="I67" s="49" t="s">
        <v>42</v>
      </c>
      <c r="J67" s="49" t="s">
        <v>614</v>
      </c>
      <c r="K67" s="49" t="s">
        <v>615</v>
      </c>
      <c r="L67" s="49" t="s">
        <v>72</v>
      </c>
      <c r="M67" s="49">
        <v>2021</v>
      </c>
      <c r="N67" s="49">
        <v>0</v>
      </c>
      <c r="O67" s="49">
        <v>1128.6300000000001</v>
      </c>
      <c r="P67" s="49">
        <v>65.502303528948303</v>
      </c>
    </row>
    <row r="68" spans="1:16" ht="11.25" customHeight="1" x14ac:dyDescent="0.3">
      <c r="A68" s="49">
        <v>67</v>
      </c>
      <c r="B68" s="49" t="s">
        <v>470</v>
      </c>
      <c r="C68" s="49" t="s">
        <v>43</v>
      </c>
      <c r="D68" s="49" t="s">
        <v>33</v>
      </c>
      <c r="E68" s="49" t="s">
        <v>44</v>
      </c>
      <c r="F68" s="49" t="s">
        <v>88</v>
      </c>
      <c r="G68" s="49" t="s">
        <v>25</v>
      </c>
      <c r="H68" s="49" t="s">
        <v>25</v>
      </c>
      <c r="I68" s="49" t="s">
        <v>34</v>
      </c>
      <c r="J68" s="49" t="s">
        <v>614</v>
      </c>
      <c r="K68" s="49" t="s">
        <v>615</v>
      </c>
      <c r="L68" s="49" t="s">
        <v>72</v>
      </c>
      <c r="M68" s="49">
        <v>2021</v>
      </c>
      <c r="N68" s="49">
        <v>0</v>
      </c>
      <c r="O68" s="49">
        <v>450.15</v>
      </c>
      <c r="P68" s="49">
        <v>65.502303528948303</v>
      </c>
    </row>
    <row r="69" spans="1:16" ht="11.25" customHeight="1" x14ac:dyDescent="0.3">
      <c r="A69" s="49">
        <v>68</v>
      </c>
      <c r="B69" s="49" t="s">
        <v>470</v>
      </c>
      <c r="C69" s="49" t="s">
        <v>43</v>
      </c>
      <c r="D69" s="49" t="s">
        <v>23</v>
      </c>
      <c r="E69" s="49" t="s">
        <v>44</v>
      </c>
      <c r="F69" s="49" t="s">
        <v>89</v>
      </c>
      <c r="G69" s="49" t="s">
        <v>25</v>
      </c>
      <c r="H69" s="49" t="s">
        <v>25</v>
      </c>
      <c r="I69" s="49" t="s">
        <v>25</v>
      </c>
      <c r="J69" s="49" t="s">
        <v>614</v>
      </c>
      <c r="K69" s="49" t="s">
        <v>615</v>
      </c>
      <c r="L69" s="49" t="s">
        <v>72</v>
      </c>
      <c r="M69" s="49">
        <v>2021</v>
      </c>
      <c r="N69" s="49">
        <v>0</v>
      </c>
      <c r="O69" s="49">
        <v>728.6</v>
      </c>
      <c r="P69" s="49">
        <v>62.524926095814301</v>
      </c>
    </row>
    <row r="70" spans="1:16" ht="11.25" customHeight="1" x14ac:dyDescent="0.3">
      <c r="A70" s="49">
        <v>69</v>
      </c>
      <c r="B70" s="49" t="s">
        <v>470</v>
      </c>
      <c r="C70" s="49" t="s">
        <v>43</v>
      </c>
      <c r="D70" s="49" t="s">
        <v>87</v>
      </c>
      <c r="E70" s="49" t="s">
        <v>44</v>
      </c>
      <c r="F70" s="49" t="s">
        <v>25</v>
      </c>
      <c r="G70" s="49" t="s">
        <v>25</v>
      </c>
      <c r="H70" s="49" t="s">
        <v>25</v>
      </c>
      <c r="I70" s="49" t="s">
        <v>25</v>
      </c>
      <c r="J70" s="49" t="s">
        <v>614</v>
      </c>
      <c r="K70" s="49" t="s">
        <v>615</v>
      </c>
      <c r="L70" s="49" t="s">
        <v>72</v>
      </c>
      <c r="M70" s="49">
        <v>2021</v>
      </c>
      <c r="N70" s="49">
        <v>0</v>
      </c>
      <c r="O70" s="49">
        <v>763.29</v>
      </c>
      <c r="P70" s="49">
        <v>65.502303528948303</v>
      </c>
    </row>
    <row r="71" spans="1:16" ht="11.25" customHeight="1" x14ac:dyDescent="0.3">
      <c r="A71" s="49">
        <v>70</v>
      </c>
      <c r="B71" s="49" t="s">
        <v>470</v>
      </c>
      <c r="C71" s="49" t="s">
        <v>35</v>
      </c>
      <c r="D71" s="49" t="s">
        <v>33</v>
      </c>
      <c r="E71" s="49" t="s">
        <v>25</v>
      </c>
      <c r="F71" s="49" t="s">
        <v>25</v>
      </c>
      <c r="G71" s="49" t="s">
        <v>25</v>
      </c>
      <c r="H71" s="49" t="s">
        <v>25</v>
      </c>
      <c r="I71" s="49" t="s">
        <v>42</v>
      </c>
      <c r="J71" s="49" t="s">
        <v>614</v>
      </c>
      <c r="K71" s="49" t="s">
        <v>615</v>
      </c>
      <c r="L71" s="49" t="s">
        <v>72</v>
      </c>
      <c r="M71" s="49">
        <v>2021</v>
      </c>
      <c r="N71" s="49">
        <v>0</v>
      </c>
      <c r="O71" s="49">
        <v>1482.7</v>
      </c>
      <c r="P71" s="49">
        <v>74.434435828350402</v>
      </c>
    </row>
    <row r="72" spans="1:16" ht="11.25" customHeight="1" x14ac:dyDescent="0.3">
      <c r="A72" s="49">
        <v>71</v>
      </c>
      <c r="B72" s="49" t="s">
        <v>470</v>
      </c>
      <c r="C72" s="49" t="s">
        <v>35</v>
      </c>
      <c r="D72" s="49" t="s">
        <v>33</v>
      </c>
      <c r="E72" s="49" t="s">
        <v>25</v>
      </c>
      <c r="F72" s="49" t="s">
        <v>25</v>
      </c>
      <c r="G72" s="49" t="s">
        <v>25</v>
      </c>
      <c r="H72" s="49" t="s">
        <v>25</v>
      </c>
      <c r="I72" s="49" t="s">
        <v>34</v>
      </c>
      <c r="J72" s="49" t="s">
        <v>614</v>
      </c>
      <c r="K72" s="49" t="s">
        <v>615</v>
      </c>
      <c r="L72" s="49" t="s">
        <v>72</v>
      </c>
      <c r="M72" s="49">
        <v>2021</v>
      </c>
      <c r="N72" s="49">
        <v>0</v>
      </c>
      <c r="O72" s="49">
        <v>578.25</v>
      </c>
      <c r="P72" s="49">
        <v>74.434435828350402</v>
      </c>
    </row>
    <row r="73" spans="1:16" ht="11.25" customHeight="1" x14ac:dyDescent="0.3">
      <c r="A73" s="49">
        <v>72</v>
      </c>
      <c r="B73" s="49" t="s">
        <v>470</v>
      </c>
      <c r="C73" s="49" t="s">
        <v>46</v>
      </c>
      <c r="D73" s="49" t="s">
        <v>23</v>
      </c>
      <c r="E73" s="49" t="s">
        <v>47</v>
      </c>
      <c r="F73" s="49" t="s">
        <v>90</v>
      </c>
      <c r="G73" s="49" t="s">
        <v>25</v>
      </c>
      <c r="H73" s="49" t="s">
        <v>25</v>
      </c>
      <c r="I73" s="49" t="s">
        <v>25</v>
      </c>
      <c r="J73" s="49" t="s">
        <v>614</v>
      </c>
      <c r="K73" s="49" t="s">
        <v>615</v>
      </c>
      <c r="L73" s="49" t="s">
        <v>72</v>
      </c>
      <c r="M73" s="49">
        <v>2021</v>
      </c>
      <c r="N73" s="49">
        <v>0</v>
      </c>
      <c r="O73" s="49">
        <v>520.42999999999995</v>
      </c>
      <c r="P73" s="49">
        <v>44.660661497010203</v>
      </c>
    </row>
    <row r="74" spans="1:16" ht="11.25" customHeight="1" x14ac:dyDescent="0.3">
      <c r="A74" s="49">
        <v>73</v>
      </c>
      <c r="B74" s="49" t="s">
        <v>498</v>
      </c>
      <c r="C74" s="49" t="s">
        <v>37</v>
      </c>
      <c r="D74" s="49" t="s">
        <v>71</v>
      </c>
      <c r="E74" s="49" t="s">
        <v>25</v>
      </c>
      <c r="F74" s="49" t="s">
        <v>25</v>
      </c>
      <c r="G74" s="49" t="s">
        <v>25</v>
      </c>
      <c r="H74" s="49" t="s">
        <v>25</v>
      </c>
      <c r="I74" s="49" t="s">
        <v>39</v>
      </c>
      <c r="J74" s="49" t="s">
        <v>614</v>
      </c>
      <c r="K74" s="49" t="s">
        <v>615</v>
      </c>
      <c r="L74" s="49" t="s">
        <v>72</v>
      </c>
      <c r="M74" s="49">
        <v>2021</v>
      </c>
      <c r="N74" s="49">
        <v>0</v>
      </c>
      <c r="O74" s="49">
        <v>240.29</v>
      </c>
      <c r="P74" s="49"/>
    </row>
    <row r="75" spans="1:16" ht="11.25" customHeight="1" x14ac:dyDescent="0.3">
      <c r="A75" s="49">
        <v>74</v>
      </c>
      <c r="B75" s="49" t="s">
        <v>498</v>
      </c>
      <c r="C75" s="49" t="s">
        <v>37</v>
      </c>
      <c r="D75" s="49" t="s">
        <v>71</v>
      </c>
      <c r="E75" s="49" t="s">
        <v>25</v>
      </c>
      <c r="F75" s="49" t="s">
        <v>25</v>
      </c>
      <c r="G75" s="49" t="s">
        <v>25</v>
      </c>
      <c r="H75" s="49" t="s">
        <v>25</v>
      </c>
      <c r="I75" s="49" t="s">
        <v>34</v>
      </c>
      <c r="J75" s="49" t="s">
        <v>614</v>
      </c>
      <c r="K75" s="49" t="s">
        <v>615</v>
      </c>
      <c r="L75" s="49" t="s">
        <v>72</v>
      </c>
      <c r="M75" s="49">
        <v>2021</v>
      </c>
      <c r="N75" s="49">
        <v>0</v>
      </c>
      <c r="O75" s="49">
        <v>240.29</v>
      </c>
      <c r="P75" s="49"/>
    </row>
    <row r="76" spans="1:16" ht="11.25" customHeight="1" x14ac:dyDescent="0.3">
      <c r="A76" s="49">
        <v>75</v>
      </c>
      <c r="B76" s="49" t="s">
        <v>498</v>
      </c>
      <c r="C76" s="49" t="s">
        <v>22</v>
      </c>
      <c r="D76" s="49" t="s">
        <v>75</v>
      </c>
      <c r="E76" s="49" t="s">
        <v>24</v>
      </c>
      <c r="F76" s="49" t="s">
        <v>29</v>
      </c>
      <c r="G76" s="49" t="s">
        <v>25</v>
      </c>
      <c r="H76" s="49" t="s">
        <v>25</v>
      </c>
      <c r="I76" s="49" t="s">
        <v>25</v>
      </c>
      <c r="J76" s="49" t="s">
        <v>614</v>
      </c>
      <c r="K76" s="49" t="s">
        <v>615</v>
      </c>
      <c r="L76" s="49" t="s">
        <v>72</v>
      </c>
      <c r="M76" s="49">
        <v>2021</v>
      </c>
      <c r="N76" s="49">
        <v>0</v>
      </c>
      <c r="O76" s="49">
        <v>84.1</v>
      </c>
      <c r="P76" s="49"/>
    </row>
    <row r="77" spans="1:16" ht="11.25" customHeight="1" x14ac:dyDescent="0.3">
      <c r="A77" s="49">
        <v>76</v>
      </c>
      <c r="B77" s="49" t="s">
        <v>498</v>
      </c>
      <c r="C77" s="49" t="s">
        <v>22</v>
      </c>
      <c r="D77" s="49" t="s">
        <v>75</v>
      </c>
      <c r="E77" s="49" t="s">
        <v>24</v>
      </c>
      <c r="F77" s="49" t="s">
        <v>30</v>
      </c>
      <c r="G77" s="49" t="s">
        <v>25</v>
      </c>
      <c r="H77" s="49" t="s">
        <v>25</v>
      </c>
      <c r="I77" s="49" t="s">
        <v>25</v>
      </c>
      <c r="J77" s="49" t="s">
        <v>614</v>
      </c>
      <c r="K77" s="49" t="s">
        <v>615</v>
      </c>
      <c r="L77" s="49" t="s">
        <v>72</v>
      </c>
      <c r="M77" s="49">
        <v>2021</v>
      </c>
      <c r="N77" s="49">
        <v>0</v>
      </c>
      <c r="O77" s="49">
        <v>144.18</v>
      </c>
      <c r="P77" s="49"/>
    </row>
    <row r="78" spans="1:16" ht="11.25" customHeight="1" x14ac:dyDescent="0.3">
      <c r="A78" s="49">
        <v>77</v>
      </c>
      <c r="B78" s="49" t="s">
        <v>498</v>
      </c>
      <c r="C78" s="49" t="s">
        <v>22</v>
      </c>
      <c r="D78" s="49" t="s">
        <v>86</v>
      </c>
      <c r="E78" s="49" t="s">
        <v>24</v>
      </c>
      <c r="F78" s="49" t="s">
        <v>30</v>
      </c>
      <c r="G78" s="49" t="s">
        <v>25</v>
      </c>
      <c r="H78" s="49" t="s">
        <v>25</v>
      </c>
      <c r="I78" s="49" t="s">
        <v>25</v>
      </c>
      <c r="J78" s="49" t="s">
        <v>614</v>
      </c>
      <c r="K78" s="49" t="s">
        <v>615</v>
      </c>
      <c r="L78" s="49" t="s">
        <v>72</v>
      </c>
      <c r="M78" s="49">
        <v>2021</v>
      </c>
      <c r="N78" s="49">
        <v>0</v>
      </c>
      <c r="O78" s="49">
        <v>144.18</v>
      </c>
      <c r="P78" s="49"/>
    </row>
    <row r="79" spans="1:16" ht="11.25" customHeight="1" x14ac:dyDescent="0.3">
      <c r="A79" s="49">
        <v>78</v>
      </c>
      <c r="B79" s="49" t="s">
        <v>498</v>
      </c>
      <c r="C79" s="49" t="s">
        <v>22</v>
      </c>
      <c r="D79" s="49" t="s">
        <v>86</v>
      </c>
      <c r="E79" s="49" t="s">
        <v>24</v>
      </c>
      <c r="F79" s="49" t="s">
        <v>31</v>
      </c>
      <c r="G79" s="49" t="s">
        <v>25</v>
      </c>
      <c r="H79" s="49" t="s">
        <v>25</v>
      </c>
      <c r="I79" s="49" t="s">
        <v>25</v>
      </c>
      <c r="J79" s="49" t="s">
        <v>614</v>
      </c>
      <c r="K79" s="49" t="s">
        <v>615</v>
      </c>
      <c r="L79" s="49" t="s">
        <v>72</v>
      </c>
      <c r="M79" s="49">
        <v>2021</v>
      </c>
      <c r="N79" s="49">
        <v>0</v>
      </c>
      <c r="O79" s="49">
        <v>216.26</v>
      </c>
      <c r="P79" s="49"/>
    </row>
    <row r="80" spans="1:16" ht="11.25" customHeight="1" x14ac:dyDescent="0.3">
      <c r="A80" s="49">
        <v>79</v>
      </c>
      <c r="B80" s="49" t="s">
        <v>498</v>
      </c>
      <c r="C80" s="49" t="s">
        <v>22</v>
      </c>
      <c r="D80" s="49" t="s">
        <v>86</v>
      </c>
      <c r="E80" s="49" t="s">
        <v>24</v>
      </c>
      <c r="F80" s="49" t="s">
        <v>32</v>
      </c>
      <c r="G80" s="49" t="s">
        <v>25</v>
      </c>
      <c r="H80" s="49" t="s">
        <v>25</v>
      </c>
      <c r="I80" s="49" t="s">
        <v>25</v>
      </c>
      <c r="J80" s="49" t="s">
        <v>614</v>
      </c>
      <c r="K80" s="49" t="s">
        <v>615</v>
      </c>
      <c r="L80" s="49" t="s">
        <v>72</v>
      </c>
      <c r="M80" s="49">
        <v>2021</v>
      </c>
      <c r="N80" s="49">
        <v>0</v>
      </c>
      <c r="O80" s="49">
        <v>240.29</v>
      </c>
      <c r="P80" s="49"/>
    </row>
    <row r="81" spans="1:16" ht="11.25" customHeight="1" x14ac:dyDescent="0.3">
      <c r="A81" s="49">
        <v>80</v>
      </c>
      <c r="B81" s="49" t="s">
        <v>470</v>
      </c>
      <c r="C81" s="49" t="s">
        <v>37</v>
      </c>
      <c r="D81" s="49" t="s">
        <v>41</v>
      </c>
      <c r="E81" s="49" t="s">
        <v>25</v>
      </c>
      <c r="F81" s="49" t="s">
        <v>25</v>
      </c>
      <c r="G81" s="49" t="s">
        <v>25</v>
      </c>
      <c r="H81" s="49" t="s">
        <v>25</v>
      </c>
      <c r="I81" s="49" t="s">
        <v>25</v>
      </c>
      <c r="J81" s="49" t="s">
        <v>614</v>
      </c>
      <c r="K81" s="49" t="s">
        <v>615</v>
      </c>
      <c r="L81" s="49" t="s">
        <v>72</v>
      </c>
      <c r="M81" s="49">
        <v>2021</v>
      </c>
      <c r="N81" s="49">
        <v>0</v>
      </c>
      <c r="O81" s="49">
        <v>93.48</v>
      </c>
      <c r="P81" s="49">
        <v>64.757959170664805</v>
      </c>
    </row>
    <row r="82" spans="1:16" ht="11.25" customHeight="1" x14ac:dyDescent="0.3">
      <c r="A82" s="49">
        <v>81</v>
      </c>
      <c r="B82" s="49" t="s">
        <v>470</v>
      </c>
      <c r="C82" s="49" t="s">
        <v>37</v>
      </c>
      <c r="D82" s="49" t="s">
        <v>41</v>
      </c>
      <c r="E82" s="49" t="s">
        <v>25</v>
      </c>
      <c r="F82" s="49" t="s">
        <v>25</v>
      </c>
      <c r="G82" s="49" t="s">
        <v>80</v>
      </c>
      <c r="H82" s="49" t="s">
        <v>25</v>
      </c>
      <c r="I82" s="49" t="s">
        <v>25</v>
      </c>
      <c r="J82" s="49" t="s">
        <v>614</v>
      </c>
      <c r="K82" s="49" t="s">
        <v>615</v>
      </c>
      <c r="L82" s="49" t="s">
        <v>72</v>
      </c>
      <c r="M82" s="49">
        <v>2021</v>
      </c>
      <c r="N82" s="49">
        <v>0</v>
      </c>
      <c r="O82" s="49">
        <v>17.89</v>
      </c>
      <c r="P82" s="49">
        <v>0</v>
      </c>
    </row>
    <row r="83" spans="1:16" ht="11.25" customHeight="1" x14ac:dyDescent="0.3">
      <c r="A83" s="49">
        <v>82</v>
      </c>
      <c r="B83" s="49" t="s">
        <v>498</v>
      </c>
      <c r="C83" s="49" t="s">
        <v>46</v>
      </c>
      <c r="D83" s="49" t="s">
        <v>75</v>
      </c>
      <c r="E83" s="49" t="s">
        <v>47</v>
      </c>
      <c r="F83" s="49" t="s">
        <v>90</v>
      </c>
      <c r="G83" s="49" t="s">
        <v>25</v>
      </c>
      <c r="H83" s="49" t="s">
        <v>25</v>
      </c>
      <c r="I83" s="49" t="s">
        <v>25</v>
      </c>
      <c r="J83" s="49" t="s">
        <v>614</v>
      </c>
      <c r="K83" s="49" t="s">
        <v>615</v>
      </c>
      <c r="L83" s="49" t="s">
        <v>72</v>
      </c>
      <c r="M83" s="49">
        <v>2021</v>
      </c>
      <c r="N83" s="49">
        <v>0</v>
      </c>
      <c r="O83" s="49">
        <v>144.18</v>
      </c>
      <c r="P83" s="49"/>
    </row>
    <row r="84" spans="1:16" ht="11.25" customHeight="1" x14ac:dyDescent="0.3">
      <c r="A84" s="49">
        <v>83</v>
      </c>
      <c r="B84" s="49" t="s">
        <v>470</v>
      </c>
      <c r="C84" s="49" t="s">
        <v>37</v>
      </c>
      <c r="D84" s="49" t="s">
        <v>41</v>
      </c>
      <c r="E84" s="49" t="s">
        <v>25</v>
      </c>
      <c r="F84" s="49" t="s">
        <v>25</v>
      </c>
      <c r="G84" s="49" t="s">
        <v>25</v>
      </c>
      <c r="H84" s="49" t="s">
        <v>25</v>
      </c>
      <c r="I84" s="49" t="s">
        <v>39</v>
      </c>
      <c r="J84" s="49" t="s">
        <v>616</v>
      </c>
      <c r="K84" s="49" t="s">
        <v>615</v>
      </c>
      <c r="L84" s="49" t="s">
        <v>77</v>
      </c>
      <c r="M84" s="49">
        <v>2021</v>
      </c>
      <c r="N84" s="49">
        <v>0</v>
      </c>
      <c r="O84" s="49">
        <v>186.95</v>
      </c>
      <c r="P84" s="49">
        <v>0</v>
      </c>
    </row>
    <row r="85" spans="1:16" ht="11.25" customHeight="1" x14ac:dyDescent="0.3">
      <c r="A85" s="49">
        <v>84</v>
      </c>
      <c r="B85" s="49" t="s">
        <v>470</v>
      </c>
      <c r="C85" s="49" t="s">
        <v>37</v>
      </c>
      <c r="D85" s="49" t="s">
        <v>41</v>
      </c>
      <c r="E85" s="49" t="s">
        <v>25</v>
      </c>
      <c r="F85" s="49" t="s">
        <v>25</v>
      </c>
      <c r="G85" s="49" t="s">
        <v>25</v>
      </c>
      <c r="H85" s="49" t="s">
        <v>25</v>
      </c>
      <c r="I85" s="49" t="s">
        <v>34</v>
      </c>
      <c r="J85" s="49" t="s">
        <v>616</v>
      </c>
      <c r="K85" s="49" t="s">
        <v>615</v>
      </c>
      <c r="L85" s="49" t="s">
        <v>77</v>
      </c>
      <c r="M85" s="49">
        <v>2021</v>
      </c>
      <c r="N85" s="49">
        <v>0</v>
      </c>
      <c r="O85" s="49">
        <v>74.41</v>
      </c>
      <c r="P85" s="49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EF81-BF0A-4774-9D21-7179BAA4C39A}">
  <dimension ref="A1:AD49"/>
  <sheetViews>
    <sheetView showGridLines="0" workbookViewId="0">
      <selection sqref="A1:W49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20" width="7" style="9" bestFit="1" customWidth="1"/>
    <col min="21" max="21" width="14.109375" style="9" bestFit="1" customWidth="1"/>
    <col min="22" max="16384" width="9.109375" style="9"/>
  </cols>
  <sheetData>
    <row r="1" spans="1:30" ht="11.25" customHeight="1" x14ac:dyDescent="0.3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1">
        <v>44287</v>
      </c>
      <c r="J1" s="11">
        <v>44317</v>
      </c>
      <c r="K1" s="11">
        <v>44348</v>
      </c>
      <c r="L1" s="11">
        <v>44378</v>
      </c>
      <c r="M1" s="11">
        <v>44409</v>
      </c>
      <c r="N1" s="11">
        <v>44440</v>
      </c>
      <c r="O1" s="11">
        <v>44470</v>
      </c>
      <c r="P1" s="11">
        <v>44501</v>
      </c>
      <c r="Q1" s="11">
        <v>44531</v>
      </c>
      <c r="R1" s="11">
        <v>44562</v>
      </c>
      <c r="S1" s="11">
        <v>44593</v>
      </c>
      <c r="T1" s="11">
        <v>44621</v>
      </c>
      <c r="U1" s="10" t="s">
        <v>70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105" t="s">
        <v>37</v>
      </c>
      <c r="B2" s="105" t="s">
        <v>41</v>
      </c>
      <c r="C2" s="105" t="s">
        <v>25</v>
      </c>
      <c r="D2" s="105" t="s">
        <v>25</v>
      </c>
      <c r="E2" s="105" t="s">
        <v>25</v>
      </c>
      <c r="F2" s="105" t="s">
        <v>25</v>
      </c>
      <c r="G2" s="12" t="s">
        <v>78</v>
      </c>
      <c r="H2" s="12" t="s">
        <v>77</v>
      </c>
      <c r="I2" s="12">
        <f>SUMIF(Mercado_Receita!$S$2:$S$475,"44287A4AzulNão se aplicaNão se aplicaNão se aplicaNão se aplicaPonta",Mercado_Receita!$J$2:$J$475)+SUMIF(Mercado_Receita!$S$2:$S$475,"44287A4AzulNão se aplicaNão se aplicaAPENão se aplicaPonta",Mercado_Receita!$J$2:$J$475)</f>
        <v>100</v>
      </c>
      <c r="J2" s="12">
        <f>SUMIF(Mercado_Receita!$S$2:$S$475,"44317A4AzulNão se aplicaNão se aplicaNão se aplicaNão se aplicaPonta",Mercado_Receita!$J$2:$J$475)+SUMIF(Mercado_Receita!$S$2:$S$475,"44317A4AzulNão se aplicaNão se aplicaAPENão se aplicaPonta",Mercado_Receita!$J$2:$J$475)</f>
        <v>100</v>
      </c>
      <c r="K2" s="12">
        <f>SUMIF(Mercado_Receita!$S$2:$S$475,"44348A4AzulNão se aplicaNão se aplicaNão se aplicaNão se aplicaPonta",Mercado_Receita!$J$2:$J$475)+SUMIF(Mercado_Receita!$S$2:$S$475,"44348A4AzulNão se aplicaNão se aplicaAPENão se aplicaPonta",Mercado_Receita!$J$2:$J$475)</f>
        <v>100</v>
      </c>
      <c r="L2" s="12">
        <f>SUMIF(Mercado_Receita!$S$2:$S$475,"44378A4AzulNão se aplicaNão se aplicaNão se aplicaNão se aplicaPonta",Mercado_Receita!$J$2:$J$475)+SUMIF(Mercado_Receita!$S$2:$S$475,"44378A4AzulNão se aplicaNão se aplicaAPENão se aplicaPonta",Mercado_Receita!$J$2:$J$475)</f>
        <v>100</v>
      </c>
      <c r="M2" s="12">
        <f>SUMIF(Mercado_Receita!$S$2:$S$475,"44409A4AzulNão se aplicaNão se aplicaNão se aplicaNão se aplicaPonta",Mercado_Receita!$J$2:$J$475)+SUMIF(Mercado_Receita!$S$2:$S$475,"44409A4AzulNão se aplicaNão se aplicaAPENão se aplicaPonta",Mercado_Receita!$J$2:$J$475)</f>
        <v>100</v>
      </c>
      <c r="N2" s="12">
        <f>SUMIF(Mercado_Receita!$S$2:$S$475,"44440A4AzulNão se aplicaNão se aplicaNão se aplicaNão se aplicaPonta",Mercado_Receita!$J$2:$J$475)+SUMIF(Mercado_Receita!$S$2:$S$475,"44440A4AzulNão se aplicaNão se aplicaAPENão se aplicaPonta",Mercado_Receita!$J$2:$J$475)</f>
        <v>100</v>
      </c>
      <c r="O2" s="12">
        <f>SUMIF(Mercado_Receita!$S$2:$S$475,"44470A4AzulNão se aplicaNão se aplicaNão se aplicaNão se aplicaPonta",Mercado_Receita!$J$2:$J$475)+SUMIF(Mercado_Receita!$S$2:$S$475,"44470A4AzulNão se aplicaNão se aplicaAPENão se aplicaPonta",Mercado_Receita!$J$2:$J$475)</f>
        <v>100</v>
      </c>
      <c r="P2" s="12">
        <f>SUMIF(Mercado_Receita!$S$2:$S$475,"44501A4AzulNão se aplicaNão se aplicaNão se aplicaNão se aplicaPonta",Mercado_Receita!$J$2:$J$475)+SUMIF(Mercado_Receita!$S$2:$S$475,"44501A4AzulNão se aplicaNão se aplicaAPENão se aplicaPonta",Mercado_Receita!$J$2:$J$475)</f>
        <v>100</v>
      </c>
      <c r="Q2" s="12">
        <f>SUMIF(Mercado_Receita!$S$2:$S$475,"44531A4AzulNão se aplicaNão se aplicaNão se aplicaNão se aplicaPonta",Mercado_Receita!$J$2:$J$475)+SUMIF(Mercado_Receita!$S$2:$S$475,"44531A4AzulNão se aplicaNão se aplicaAPENão se aplicaPonta",Mercado_Receita!$J$2:$J$475)</f>
        <v>100</v>
      </c>
      <c r="R2" s="12">
        <f>SUMIF(Mercado_Receita!$S$2:$S$475,"44562A4AzulNão se aplicaNão se aplicaNão se aplicaNão se aplicaPonta",Mercado_Receita!$J$2:$J$475)+SUMIF(Mercado_Receita!$S$2:$S$475,"44562A4AzulNão se aplicaNão se aplicaAPENão se aplicaPonta",Mercado_Receita!$J$2:$J$475)</f>
        <v>100</v>
      </c>
      <c r="S2" s="12">
        <f>SUMIF(Mercado_Receita!$S$2:$S$475,"44593A4AzulNão se aplicaNão se aplicaNão se aplicaNão se aplicaPonta",Mercado_Receita!$J$2:$J$475)+SUMIF(Mercado_Receita!$S$2:$S$475,"44593A4AzulNão se aplicaNão se aplicaAPENão se aplicaPonta",Mercado_Receita!$J$2:$J$475)</f>
        <v>100</v>
      </c>
      <c r="T2" s="12">
        <f>SUMIF(Mercado_Receita!$S$2:$S$475,"44621A4AzulNão se aplicaNão se aplicaNão se aplicaNão se aplicaPonta",Mercado_Receita!$J$2:$J$475)+SUMIF(Mercado_Receita!$S$2:$S$475,"44621A4AzulNão se aplicaNão se aplicaAPENão se aplicaPonta",Mercado_Receita!$J$2:$J$475)</f>
        <v>100</v>
      </c>
      <c r="U2" s="12">
        <f t="shared" ref="U2:U48" si="0">SUM(I2:T2)</f>
        <v>1200</v>
      </c>
      <c r="V2" s="12"/>
      <c r="W2" s="12"/>
    </row>
    <row r="3" spans="1:30" ht="11.25" customHeight="1" x14ac:dyDescent="0.3">
      <c r="A3" s="106"/>
      <c r="B3" s="106"/>
      <c r="C3" s="106"/>
      <c r="D3" s="106"/>
      <c r="E3" s="106"/>
      <c r="F3" s="106"/>
      <c r="G3" s="12" t="s">
        <v>79</v>
      </c>
      <c r="H3" s="12" t="s">
        <v>77</v>
      </c>
      <c r="I3" s="12">
        <f>SUMIF(Mercado_Receita!$S$2:$S$475,"44287A4AzulNão se aplicaNão se aplicaNão se aplicaNão se aplicaFora ponta",Mercado_Receita!$J$2:$J$475)+SUMIF(Mercado_Receita!$S$2:$S$475,"44287A4AzulNão se aplicaNão se aplicaAPENão se aplicaFora ponta",Mercado_Receita!$J$2:$J$475)</f>
        <v>100</v>
      </c>
      <c r="J3" s="12">
        <f>SUMIF(Mercado_Receita!$S$2:$S$475,"44317A4AzulNão se aplicaNão se aplicaNão se aplicaNão se aplicaFora ponta",Mercado_Receita!$J$2:$J$475)+SUMIF(Mercado_Receita!$S$2:$S$475,"44317A4AzulNão se aplicaNão se aplicaAPENão se aplicaFora ponta",Mercado_Receita!$J$2:$J$475)</f>
        <v>100</v>
      </c>
      <c r="K3" s="12">
        <f>SUMIF(Mercado_Receita!$S$2:$S$475,"44348A4AzulNão se aplicaNão se aplicaNão se aplicaNão se aplicaFora ponta",Mercado_Receita!$J$2:$J$475)+SUMIF(Mercado_Receita!$S$2:$S$475,"44348A4AzulNão se aplicaNão se aplicaAPENão se aplicaFora ponta",Mercado_Receita!$J$2:$J$475)</f>
        <v>100</v>
      </c>
      <c r="L3" s="12">
        <f>SUMIF(Mercado_Receita!$S$2:$S$475,"44378A4AzulNão se aplicaNão se aplicaNão se aplicaNão se aplicaFora ponta",Mercado_Receita!$J$2:$J$475)+SUMIF(Mercado_Receita!$S$2:$S$475,"44378A4AzulNão se aplicaNão se aplicaAPENão se aplicaFora ponta",Mercado_Receita!$J$2:$J$475)</f>
        <v>100</v>
      </c>
      <c r="M3" s="12">
        <f>SUMIF(Mercado_Receita!$S$2:$S$475,"44409A4AzulNão se aplicaNão se aplicaNão se aplicaNão se aplicaFora ponta",Mercado_Receita!$J$2:$J$475)+SUMIF(Mercado_Receita!$S$2:$S$475,"44409A4AzulNão se aplicaNão se aplicaAPENão se aplicaFora ponta",Mercado_Receita!$J$2:$J$475)</f>
        <v>100</v>
      </c>
      <c r="N3" s="12">
        <f>SUMIF(Mercado_Receita!$S$2:$S$475,"44440A4AzulNão se aplicaNão se aplicaNão se aplicaNão se aplicaFora ponta",Mercado_Receita!$J$2:$J$475)+SUMIF(Mercado_Receita!$S$2:$S$475,"44440A4AzulNão se aplicaNão se aplicaAPENão se aplicaFora ponta",Mercado_Receita!$J$2:$J$475)</f>
        <v>100</v>
      </c>
      <c r="O3" s="12">
        <f>SUMIF(Mercado_Receita!$S$2:$S$475,"44470A4AzulNão se aplicaNão se aplicaNão se aplicaNão se aplicaFora ponta",Mercado_Receita!$J$2:$J$475)+SUMIF(Mercado_Receita!$S$2:$S$475,"44470A4AzulNão se aplicaNão se aplicaAPENão se aplicaFora ponta",Mercado_Receita!$J$2:$J$475)</f>
        <v>100</v>
      </c>
      <c r="P3" s="12">
        <f>SUMIF(Mercado_Receita!$S$2:$S$475,"44501A4AzulNão se aplicaNão se aplicaNão se aplicaNão se aplicaFora ponta",Mercado_Receita!$J$2:$J$475)+SUMIF(Mercado_Receita!$S$2:$S$475,"44501A4AzulNão se aplicaNão se aplicaAPENão se aplicaFora ponta",Mercado_Receita!$J$2:$J$475)</f>
        <v>100</v>
      </c>
      <c r="Q3" s="12">
        <f>SUMIF(Mercado_Receita!$S$2:$S$475,"44531A4AzulNão se aplicaNão se aplicaNão se aplicaNão se aplicaFora ponta",Mercado_Receita!$J$2:$J$475)+SUMIF(Mercado_Receita!$S$2:$S$475,"44531A4AzulNão se aplicaNão se aplicaAPENão se aplicaFora ponta",Mercado_Receita!$J$2:$J$475)</f>
        <v>100</v>
      </c>
      <c r="R3" s="12">
        <f>SUMIF(Mercado_Receita!$S$2:$S$475,"44562A4AzulNão se aplicaNão se aplicaNão se aplicaNão se aplicaFora ponta",Mercado_Receita!$J$2:$J$475)+SUMIF(Mercado_Receita!$S$2:$S$475,"44562A4AzulNão se aplicaNão se aplicaAPENão se aplicaFora ponta",Mercado_Receita!$J$2:$J$475)</f>
        <v>104</v>
      </c>
      <c r="S3" s="12">
        <f>SUMIF(Mercado_Receita!$S$2:$S$475,"44593A4AzulNão se aplicaNão se aplicaNão se aplicaNão se aplicaFora ponta",Mercado_Receita!$J$2:$J$475)+SUMIF(Mercado_Receita!$S$2:$S$475,"44593A4AzulNão se aplicaNão se aplicaAPENão se aplicaFora ponta",Mercado_Receita!$J$2:$J$475)</f>
        <v>101</v>
      </c>
      <c r="T3" s="12">
        <f>SUMIF(Mercado_Receita!$S$2:$S$475,"44621A4AzulNão se aplicaNão se aplicaNão se aplicaNão se aplicaFora ponta",Mercado_Receita!$J$2:$J$475)+SUMIF(Mercado_Receita!$S$2:$S$475,"44621A4AzulNão se aplicaNão se aplicaAPENão se aplicaFora ponta",Mercado_Receita!$J$2:$J$475)</f>
        <v>104</v>
      </c>
      <c r="U3" s="12">
        <f t="shared" si="0"/>
        <v>1209</v>
      </c>
      <c r="V3" s="12"/>
      <c r="W3" s="12"/>
    </row>
    <row r="4" spans="1:30" ht="11.25" customHeight="1" x14ac:dyDescent="0.3">
      <c r="A4" s="106"/>
      <c r="B4" s="106"/>
      <c r="C4" s="106"/>
      <c r="D4" s="106"/>
      <c r="E4" s="106"/>
      <c r="F4" s="106"/>
      <c r="G4" s="12" t="s">
        <v>76</v>
      </c>
      <c r="H4" s="12" t="s">
        <v>72</v>
      </c>
      <c r="I4" s="12">
        <f>SUMIF(Mercado_Receita!$S$2:$S$475,"44287A4AzulNão se aplicaNão se aplicaNão se aplicaNão se aplicaPonta",Mercado_Receita!$L$2:$L$475)+SUMIF(Mercado_Receita!$S$2:$S$475,"44287A4AzulNão se aplicaNão se aplicaNão se aplicaNão se aplicaFora ponta",Mercado_Receita!$L$2:$L$475)+SUMIF(Mercado_Receita!$S$2:$S$475,"44287A4AzulNão se aplicaNão se aplicaNão se aplicaNão se aplicaIntermediário",Mercado_Receita!$L$2:$L$475)+SUMIF(Mercado_Receita!$S$2:$S$475,"44287A4AzulNão se aplicaNão se aplicaNão se aplicaNão se aplicaNão se aplica",Mercado_Receita!$L$2:$L$475)</f>
        <v>36.027999999999999</v>
      </c>
      <c r="J4" s="12">
        <f>SUMIF(Mercado_Receita!$S$2:$S$475,"44317A4AzulNão se aplicaNão se aplicaNão se aplicaNão se aplicaPonta",Mercado_Receita!$L$2:$L$475)+SUMIF(Mercado_Receita!$S$2:$S$475,"44317A4AzulNão se aplicaNão se aplicaNão se aplicaNão se aplicaFora ponta",Mercado_Receita!$L$2:$L$475)+SUMIF(Mercado_Receita!$S$2:$S$475,"44317A4AzulNão se aplicaNão se aplicaNão se aplicaNão se aplicaIntermediário",Mercado_Receita!$L$2:$L$475)+SUMIF(Mercado_Receita!$S$2:$S$475,"44317A4AzulNão se aplicaNão se aplicaNão se aplicaNão se aplicaNão se aplica",Mercado_Receita!$L$2:$L$475)</f>
        <v>33.849000000000004</v>
      </c>
      <c r="K4" s="12">
        <f>SUMIF(Mercado_Receita!$S$2:$S$475,"44348A4AzulNão se aplicaNão se aplicaNão se aplicaNão se aplicaPonta",Mercado_Receita!$L$2:$L$475)+SUMIF(Mercado_Receita!$S$2:$S$475,"44348A4AzulNão se aplicaNão se aplicaNão se aplicaNão se aplicaFora ponta",Mercado_Receita!$L$2:$L$475)+SUMIF(Mercado_Receita!$S$2:$S$475,"44348A4AzulNão se aplicaNão se aplicaNão se aplicaNão se aplicaIntermediário",Mercado_Receita!$L$2:$L$475)+SUMIF(Mercado_Receita!$S$2:$S$475,"44348A4AzulNão se aplicaNão se aplicaNão se aplicaNão se aplicaNão se aplica",Mercado_Receita!$L$2:$L$475)</f>
        <v>29.922000000000001</v>
      </c>
      <c r="L4" s="12">
        <f>SUMIF(Mercado_Receita!$S$2:$S$475,"44378A4AzulNão se aplicaNão se aplicaNão se aplicaNão se aplicaPonta",Mercado_Receita!$L$2:$L$475)+SUMIF(Mercado_Receita!$S$2:$S$475,"44378A4AzulNão se aplicaNão se aplicaNão se aplicaNão se aplicaFora ponta",Mercado_Receita!$L$2:$L$475)+SUMIF(Mercado_Receita!$S$2:$S$475,"44378A4AzulNão se aplicaNão se aplicaNão se aplicaNão se aplicaIntermediário",Mercado_Receita!$L$2:$L$475)+SUMIF(Mercado_Receita!$S$2:$S$475,"44378A4AzulNão se aplicaNão se aplicaNão se aplicaNão se aplicaNão se aplica",Mercado_Receita!$L$2:$L$475)</f>
        <v>28.146000000000001</v>
      </c>
      <c r="M4" s="12">
        <f>SUMIF(Mercado_Receita!$S$2:$S$475,"44409A4AzulNão se aplicaNão se aplicaNão se aplicaNão se aplicaPonta",Mercado_Receita!$L$2:$L$475)+SUMIF(Mercado_Receita!$S$2:$S$475,"44409A4AzulNão se aplicaNão se aplicaNão se aplicaNão se aplicaFora ponta",Mercado_Receita!$L$2:$L$475)+SUMIF(Mercado_Receita!$S$2:$S$475,"44409A4AzulNão se aplicaNão se aplicaNão se aplicaNão se aplicaIntermediário",Mercado_Receita!$L$2:$L$475)+SUMIF(Mercado_Receita!$S$2:$S$475,"44409A4AzulNão se aplicaNão se aplicaNão se aplicaNão se aplicaNão se aplica",Mercado_Receita!$L$2:$L$475)</f>
        <v>30.41</v>
      </c>
      <c r="N4" s="12">
        <f>SUMIF(Mercado_Receita!$S$2:$S$475,"44440A4AzulNão se aplicaNão se aplicaNão se aplicaNão se aplicaPonta",Mercado_Receita!$L$2:$L$475)+SUMIF(Mercado_Receita!$S$2:$S$475,"44440A4AzulNão se aplicaNão se aplicaNão se aplicaNão se aplicaFora ponta",Mercado_Receita!$L$2:$L$475)+SUMIF(Mercado_Receita!$S$2:$S$475,"44440A4AzulNão se aplicaNão se aplicaNão se aplicaNão se aplicaIntermediário",Mercado_Receita!$L$2:$L$475)+SUMIF(Mercado_Receita!$S$2:$S$475,"44440A4AzulNão se aplicaNão se aplicaNão se aplicaNão se aplicaNão se aplica",Mercado_Receita!$L$2:$L$475)</f>
        <v>33.548999999999999</v>
      </c>
      <c r="O4" s="12">
        <f>SUMIF(Mercado_Receita!$S$2:$S$475,"44470A4AzulNão se aplicaNão se aplicaNão se aplicaNão se aplicaPonta",Mercado_Receita!$L$2:$L$475)+SUMIF(Mercado_Receita!$S$2:$S$475,"44470A4AzulNão se aplicaNão se aplicaNão se aplicaNão se aplicaFora ponta",Mercado_Receita!$L$2:$L$475)+SUMIF(Mercado_Receita!$S$2:$S$475,"44470A4AzulNão se aplicaNão se aplicaNão se aplicaNão se aplicaIntermediário",Mercado_Receita!$L$2:$L$475)+SUMIF(Mercado_Receita!$S$2:$S$475,"44470A4AzulNão se aplicaNão se aplicaNão se aplicaNão se aplicaNão se aplica",Mercado_Receita!$L$2:$L$475)</f>
        <v>33.173999999999999</v>
      </c>
      <c r="P4" s="12">
        <f>SUMIF(Mercado_Receita!$S$2:$S$475,"44501A4AzulNão se aplicaNão se aplicaNão se aplicaNão se aplicaPonta",Mercado_Receita!$L$2:$L$475)+SUMIF(Mercado_Receita!$S$2:$S$475,"44501A4AzulNão se aplicaNão se aplicaNão se aplicaNão se aplicaFora ponta",Mercado_Receita!$L$2:$L$475)+SUMIF(Mercado_Receita!$S$2:$S$475,"44501A4AzulNão se aplicaNão se aplicaNão se aplicaNão se aplicaIntermediário",Mercado_Receita!$L$2:$L$475)+SUMIF(Mercado_Receita!$S$2:$S$475,"44501A4AzulNão se aplicaNão se aplicaNão se aplicaNão se aplicaNão se aplica",Mercado_Receita!$L$2:$L$475)</f>
        <v>34.615000000000002</v>
      </c>
      <c r="Q4" s="12">
        <f>SUMIF(Mercado_Receita!$S$2:$S$475,"44531A4AzulNão se aplicaNão se aplicaNão se aplicaNão se aplicaPonta",Mercado_Receita!$L$2:$L$475)+SUMIF(Mercado_Receita!$S$2:$S$475,"44531A4AzulNão se aplicaNão se aplicaNão se aplicaNão se aplicaFora ponta",Mercado_Receita!$L$2:$L$475)+SUMIF(Mercado_Receita!$S$2:$S$475,"44531A4AzulNão se aplicaNão se aplicaNão se aplicaNão se aplicaIntermediário",Mercado_Receita!$L$2:$L$475)+SUMIF(Mercado_Receita!$S$2:$S$475,"44531A4AzulNão se aplicaNão se aplicaNão se aplicaNão se aplicaNão se aplica",Mercado_Receita!$L$2:$L$475)</f>
        <v>40.107999999999997</v>
      </c>
      <c r="R4" s="12">
        <f>SUMIF(Mercado_Receita!$S$2:$S$475,"44562A4AzulNão se aplicaNão se aplicaNão se aplicaNão se aplicaPonta",Mercado_Receita!$L$2:$L$475)+SUMIF(Mercado_Receita!$S$2:$S$475,"44562A4AzulNão se aplicaNão se aplicaNão se aplicaNão se aplicaFora ponta",Mercado_Receita!$L$2:$L$475)+SUMIF(Mercado_Receita!$S$2:$S$475,"44562A4AzulNão se aplicaNão se aplicaNão se aplicaNão se aplicaIntermediário",Mercado_Receita!$L$2:$L$475)+SUMIF(Mercado_Receita!$S$2:$S$475,"44562A4AzulNão se aplicaNão se aplicaNão se aplicaNão se aplicaNão se aplica",Mercado_Receita!$L$2:$L$475)</f>
        <v>45.012999999999998</v>
      </c>
      <c r="S4" s="12">
        <f>SUMIF(Mercado_Receita!$S$2:$S$475,"44593A4AzulNão se aplicaNão se aplicaNão se aplicaNão se aplicaPonta",Mercado_Receita!$L$2:$L$475)+SUMIF(Mercado_Receita!$S$2:$S$475,"44593A4AzulNão se aplicaNão se aplicaNão se aplicaNão se aplicaFora ponta",Mercado_Receita!$L$2:$L$475)+SUMIF(Mercado_Receita!$S$2:$S$475,"44593A4AzulNão se aplicaNão se aplicaNão se aplicaNão se aplicaIntermediário",Mercado_Receita!$L$2:$L$475)+SUMIF(Mercado_Receita!$S$2:$S$475,"44593A4AzulNão se aplicaNão se aplicaNão se aplicaNão se aplicaNão se aplica",Mercado_Receita!$L$2:$L$475)</f>
        <v>38.704000000000001</v>
      </c>
      <c r="T4" s="12">
        <f>SUMIF(Mercado_Receita!$S$2:$S$475,"44621A4AzulNão se aplicaNão se aplicaNão se aplicaNão se aplicaPonta",Mercado_Receita!$L$2:$L$475)+SUMIF(Mercado_Receita!$S$2:$S$475,"44621A4AzulNão se aplicaNão se aplicaNão se aplicaNão se aplicaFora ponta",Mercado_Receita!$L$2:$L$475)+SUMIF(Mercado_Receita!$S$2:$S$475,"44621A4AzulNão se aplicaNão se aplicaNão se aplicaNão se aplicaIntermediário",Mercado_Receita!$L$2:$L$475)+SUMIF(Mercado_Receita!$S$2:$S$475,"44621A4AzulNão se aplicaNão se aplicaNão se aplicaNão se aplicaNão se aplica",Mercado_Receita!$L$2:$L$475)</f>
        <v>47.512999999999998</v>
      </c>
      <c r="U4" s="12">
        <f t="shared" si="0"/>
        <v>431.03100000000001</v>
      </c>
      <c r="V4" s="12"/>
      <c r="W4" s="12"/>
    </row>
    <row r="5" spans="1:30" ht="11.25" customHeight="1" x14ac:dyDescent="0.3">
      <c r="A5" s="106"/>
      <c r="B5" s="106"/>
      <c r="C5" s="106"/>
      <c r="D5" s="106"/>
      <c r="E5" s="13" t="s">
        <v>80</v>
      </c>
      <c r="F5" s="13" t="s">
        <v>25</v>
      </c>
      <c r="G5" s="12" t="s">
        <v>76</v>
      </c>
      <c r="H5" s="12" t="s">
        <v>72</v>
      </c>
      <c r="I5" s="12">
        <f>SUMIF(Mercado_Receita!$S$2:$S$475,"44287A4AzulNão se aplicaNão se aplicaAPENão se aplicaPonta",Mercado_Receita!$L$2:$L$475)+SUMIF(Mercado_Receita!$S$2:$S$475,"44287A4AzulNão se aplicaNão se aplicaAPENão se aplicaFora ponta",Mercado_Receita!$L$2:$L$475)+SUMIF(Mercado_Receita!$S$2:$S$475,"44287A4AzulNão se aplicaNão se aplicaAPENão se aplicaIntermediário",Mercado_Receita!$L$2:$L$475)+SUMIF(Mercado_Receita!$S$2:$S$475,"44287A4AzulNão se aplicaNão se aplicaAPENão se aplicaNão se aplica",Mercado_Receita!$L$2:$L$475)</f>
        <v>0</v>
      </c>
      <c r="J5" s="12">
        <f>SUMIF(Mercado_Receita!$S$2:$S$475,"44317A4AzulNão se aplicaNão se aplicaAPENão se aplicaPonta",Mercado_Receita!$L$2:$L$475)+SUMIF(Mercado_Receita!$S$2:$S$475,"44317A4AzulNão se aplicaNão se aplicaAPENão se aplicaFora ponta",Mercado_Receita!$L$2:$L$475)+SUMIF(Mercado_Receita!$S$2:$S$475,"44317A4AzulNão se aplicaNão se aplicaAPENão se aplicaIntermediário",Mercado_Receita!$L$2:$L$475)+SUMIF(Mercado_Receita!$S$2:$S$475,"44317A4AzulNão se aplicaNão se aplicaAPENão se aplicaNão se aplica",Mercado_Receita!$L$2:$L$475)</f>
        <v>0</v>
      </c>
      <c r="K5" s="12">
        <f>SUMIF(Mercado_Receita!$S$2:$S$475,"44348A4AzulNão se aplicaNão se aplicaAPENão se aplicaPonta",Mercado_Receita!$L$2:$L$475)+SUMIF(Mercado_Receita!$S$2:$S$475,"44348A4AzulNão se aplicaNão se aplicaAPENão se aplicaFora ponta",Mercado_Receita!$L$2:$L$475)+SUMIF(Mercado_Receita!$S$2:$S$475,"44348A4AzulNão se aplicaNão se aplicaAPENão se aplicaIntermediário",Mercado_Receita!$L$2:$L$475)+SUMIF(Mercado_Receita!$S$2:$S$475,"44348A4AzulNão se aplicaNão se aplicaAPENão se aplicaNão se aplica",Mercado_Receita!$L$2:$L$475)</f>
        <v>0</v>
      </c>
      <c r="L5" s="12">
        <f>SUMIF(Mercado_Receita!$S$2:$S$475,"44378A4AzulNão se aplicaNão se aplicaAPENão se aplicaPonta",Mercado_Receita!$L$2:$L$475)+SUMIF(Mercado_Receita!$S$2:$S$475,"44378A4AzulNão se aplicaNão se aplicaAPENão se aplicaFora ponta",Mercado_Receita!$L$2:$L$475)+SUMIF(Mercado_Receita!$S$2:$S$475,"44378A4AzulNão se aplicaNão se aplicaAPENão se aplicaIntermediário",Mercado_Receita!$L$2:$L$475)+SUMIF(Mercado_Receita!$S$2:$S$475,"44378A4AzulNão se aplicaNão se aplicaAPENão se aplicaNão se aplica",Mercado_Receita!$L$2:$L$475)</f>
        <v>0</v>
      </c>
      <c r="M5" s="12">
        <f>SUMIF(Mercado_Receita!$S$2:$S$475,"44409A4AzulNão se aplicaNão se aplicaAPENão se aplicaPonta",Mercado_Receita!$L$2:$L$475)+SUMIF(Mercado_Receita!$S$2:$S$475,"44409A4AzulNão se aplicaNão se aplicaAPENão se aplicaFora ponta",Mercado_Receita!$L$2:$L$475)+SUMIF(Mercado_Receita!$S$2:$S$475,"44409A4AzulNão se aplicaNão se aplicaAPENão se aplicaIntermediário",Mercado_Receita!$L$2:$L$475)+SUMIF(Mercado_Receita!$S$2:$S$475,"44409A4AzulNão se aplicaNão se aplicaAPENão se aplicaNão se aplica",Mercado_Receita!$L$2:$L$475)</f>
        <v>0</v>
      </c>
      <c r="N5" s="12">
        <f>SUMIF(Mercado_Receita!$S$2:$S$475,"44440A4AzulNão se aplicaNão se aplicaAPENão se aplicaPonta",Mercado_Receita!$L$2:$L$475)+SUMIF(Mercado_Receita!$S$2:$S$475,"44440A4AzulNão se aplicaNão se aplicaAPENão se aplicaFora ponta",Mercado_Receita!$L$2:$L$475)+SUMIF(Mercado_Receita!$S$2:$S$475,"44440A4AzulNão se aplicaNão se aplicaAPENão se aplicaIntermediário",Mercado_Receita!$L$2:$L$475)+SUMIF(Mercado_Receita!$S$2:$S$475,"44440A4AzulNão se aplicaNão se aplicaAPENão se aplicaNão se aplica",Mercado_Receita!$L$2:$L$475)</f>
        <v>0</v>
      </c>
      <c r="O5" s="12">
        <f>SUMIF(Mercado_Receita!$S$2:$S$475,"44470A4AzulNão se aplicaNão se aplicaAPENão se aplicaPonta",Mercado_Receita!$L$2:$L$475)+SUMIF(Mercado_Receita!$S$2:$S$475,"44470A4AzulNão se aplicaNão se aplicaAPENão se aplicaFora ponta",Mercado_Receita!$L$2:$L$475)+SUMIF(Mercado_Receita!$S$2:$S$475,"44470A4AzulNão se aplicaNão se aplicaAPENão se aplicaIntermediário",Mercado_Receita!$L$2:$L$475)+SUMIF(Mercado_Receita!$S$2:$S$475,"44470A4AzulNão se aplicaNão se aplicaAPENão se aplicaNão se aplica",Mercado_Receita!$L$2:$L$475)</f>
        <v>0</v>
      </c>
      <c r="P5" s="12">
        <f>SUMIF(Mercado_Receita!$S$2:$S$475,"44501A4AzulNão se aplicaNão se aplicaAPENão se aplicaPonta",Mercado_Receita!$L$2:$L$475)+SUMIF(Mercado_Receita!$S$2:$S$475,"44501A4AzulNão se aplicaNão se aplicaAPENão se aplicaFora ponta",Mercado_Receita!$L$2:$L$475)+SUMIF(Mercado_Receita!$S$2:$S$475,"44501A4AzulNão se aplicaNão se aplicaAPENão se aplicaIntermediário",Mercado_Receita!$L$2:$L$475)+SUMIF(Mercado_Receita!$S$2:$S$475,"44501A4AzulNão se aplicaNão se aplicaAPENão se aplicaNão se aplica",Mercado_Receita!$L$2:$L$475)</f>
        <v>0</v>
      </c>
      <c r="Q5" s="12">
        <f>SUMIF(Mercado_Receita!$S$2:$S$475,"44531A4AzulNão se aplicaNão se aplicaAPENão se aplicaPonta",Mercado_Receita!$L$2:$L$475)+SUMIF(Mercado_Receita!$S$2:$S$475,"44531A4AzulNão se aplicaNão se aplicaAPENão se aplicaFora ponta",Mercado_Receita!$L$2:$L$475)+SUMIF(Mercado_Receita!$S$2:$S$475,"44531A4AzulNão se aplicaNão se aplicaAPENão se aplicaIntermediário",Mercado_Receita!$L$2:$L$475)+SUMIF(Mercado_Receita!$S$2:$S$475,"44531A4AzulNão se aplicaNão se aplicaAPENão se aplicaNão se aplica",Mercado_Receita!$L$2:$L$475)</f>
        <v>0</v>
      </c>
      <c r="R5" s="12">
        <f>SUMIF(Mercado_Receita!$S$2:$S$475,"44562A4AzulNão se aplicaNão se aplicaAPENão se aplicaPonta",Mercado_Receita!$L$2:$L$475)+SUMIF(Mercado_Receita!$S$2:$S$475,"44562A4AzulNão se aplicaNão se aplicaAPENão se aplicaFora ponta",Mercado_Receita!$L$2:$L$475)+SUMIF(Mercado_Receita!$S$2:$S$475,"44562A4AzulNão se aplicaNão se aplicaAPENão se aplicaIntermediário",Mercado_Receita!$L$2:$L$475)+SUMIF(Mercado_Receita!$S$2:$S$475,"44562A4AzulNão se aplicaNão se aplicaAPENão se aplicaNão se aplica",Mercado_Receita!$L$2:$L$475)</f>
        <v>0</v>
      </c>
      <c r="S5" s="12">
        <f>SUMIF(Mercado_Receita!$S$2:$S$475,"44593A4AzulNão se aplicaNão se aplicaAPENão se aplicaPonta",Mercado_Receita!$L$2:$L$475)+SUMIF(Mercado_Receita!$S$2:$S$475,"44593A4AzulNão se aplicaNão se aplicaAPENão se aplicaFora ponta",Mercado_Receita!$L$2:$L$475)+SUMIF(Mercado_Receita!$S$2:$S$475,"44593A4AzulNão se aplicaNão se aplicaAPENão se aplicaIntermediário",Mercado_Receita!$L$2:$L$475)+SUMIF(Mercado_Receita!$S$2:$S$475,"44593A4AzulNão se aplicaNão se aplicaAPENão se aplicaNão se aplica",Mercado_Receita!$L$2:$L$475)</f>
        <v>0</v>
      </c>
      <c r="T5" s="12">
        <f>SUMIF(Mercado_Receita!$S$2:$S$475,"44621A4AzulNão se aplicaNão se aplicaAPENão se aplicaPonta",Mercado_Receita!$L$2:$L$475)+SUMIF(Mercado_Receita!$S$2:$S$475,"44621A4AzulNão se aplicaNão se aplicaAPENão se aplicaFora ponta",Mercado_Receita!$L$2:$L$475)+SUMIF(Mercado_Receita!$S$2:$S$475,"44621A4AzulNão se aplicaNão se aplicaAPENão se aplicaIntermediário",Mercado_Receita!$L$2:$L$475)+SUMIF(Mercado_Receita!$S$2:$S$475,"44621A4AzulNão se aplicaNão se aplicaAPENão se aplicaNão se aplica",Mercado_Receita!$L$2:$L$475)</f>
        <v>0</v>
      </c>
      <c r="U5" s="12">
        <f t="shared" si="0"/>
        <v>0</v>
      </c>
      <c r="V5" s="12"/>
      <c r="W5" s="12"/>
    </row>
    <row r="6" spans="1:30" ht="11.25" customHeight="1" x14ac:dyDescent="0.3">
      <c r="A6" s="106"/>
      <c r="B6" s="13" t="s">
        <v>81</v>
      </c>
      <c r="C6" s="13" t="s">
        <v>25</v>
      </c>
      <c r="D6" s="13" t="s">
        <v>25</v>
      </c>
      <c r="E6" s="13" t="s">
        <v>25</v>
      </c>
      <c r="F6" s="13" t="s">
        <v>25</v>
      </c>
      <c r="G6" s="12" t="s">
        <v>9</v>
      </c>
      <c r="H6" s="12" t="s">
        <v>77</v>
      </c>
      <c r="I6" s="12">
        <f>SUMIF(Mercado_Receita!$S$2:$S$475,"44287A4GeraçãoNão se aplicaNão se aplicaNão se aplicaNão se aplicaNão se aplica",Mercado_Receita!$J$2:$J$475)+SUMIF(Mercado_Receita!$S$2:$S$475,"44287A4GeraçãoNão se aplicaNão se aplicaAPENão se aplicaNão se aplica",Mercado_Receita!$J$2:$J$475)</f>
        <v>0</v>
      </c>
      <c r="J6" s="12">
        <f>SUMIF(Mercado_Receita!$S$2:$S$475,"44317A4GeraçãoNão se aplicaNão se aplicaNão se aplicaNão se aplicaNão se aplica",Mercado_Receita!$J$2:$J$475)+SUMIF(Mercado_Receita!$S$2:$S$475,"44317A4GeraçãoNão se aplicaNão se aplicaAPENão se aplicaNão se aplica",Mercado_Receita!$J$2:$J$475)</f>
        <v>0</v>
      </c>
      <c r="K6" s="12">
        <f>SUMIF(Mercado_Receita!$S$2:$S$475,"44348A4GeraçãoNão se aplicaNão se aplicaNão se aplicaNão se aplicaNão se aplica",Mercado_Receita!$J$2:$J$475)+SUMIF(Mercado_Receita!$S$2:$S$475,"44348A4GeraçãoNão se aplicaNão se aplicaAPENão se aplicaNão se aplica",Mercado_Receita!$J$2:$J$475)</f>
        <v>0</v>
      </c>
      <c r="L6" s="12">
        <f>SUMIF(Mercado_Receita!$S$2:$S$475,"44378A4GeraçãoNão se aplicaNão se aplicaNão se aplicaNão se aplicaNão se aplica",Mercado_Receita!$J$2:$J$475)+SUMIF(Mercado_Receita!$S$2:$S$475,"44378A4GeraçãoNão se aplicaNão se aplicaAPENão se aplicaNão se aplica",Mercado_Receita!$J$2:$J$475)</f>
        <v>0</v>
      </c>
      <c r="M6" s="12">
        <f>SUMIF(Mercado_Receita!$S$2:$S$475,"44409A4GeraçãoNão se aplicaNão se aplicaNão se aplicaNão se aplicaNão se aplica",Mercado_Receita!$J$2:$J$475)+SUMIF(Mercado_Receita!$S$2:$S$475,"44409A4GeraçãoNão se aplicaNão se aplicaAPENão se aplicaNão se aplica",Mercado_Receita!$J$2:$J$475)</f>
        <v>0</v>
      </c>
      <c r="N6" s="12">
        <f>SUMIF(Mercado_Receita!$S$2:$S$475,"44440A4GeraçãoNão se aplicaNão se aplicaNão se aplicaNão se aplicaNão se aplica",Mercado_Receita!$J$2:$J$475)+SUMIF(Mercado_Receita!$S$2:$S$475,"44440A4GeraçãoNão se aplicaNão se aplicaAPENão se aplicaNão se aplica",Mercado_Receita!$J$2:$J$475)</f>
        <v>0</v>
      </c>
      <c r="O6" s="12">
        <f>SUMIF(Mercado_Receita!$S$2:$S$475,"44470A4GeraçãoNão se aplicaNão se aplicaNão se aplicaNão se aplicaNão se aplica",Mercado_Receita!$J$2:$J$475)+SUMIF(Mercado_Receita!$S$2:$S$475,"44470A4GeraçãoNão se aplicaNão se aplicaAPENão se aplicaNão se aplica",Mercado_Receita!$J$2:$J$475)</f>
        <v>0</v>
      </c>
      <c r="P6" s="12">
        <f>SUMIF(Mercado_Receita!$S$2:$S$475,"44501A4GeraçãoNão se aplicaNão se aplicaNão se aplicaNão se aplicaNão se aplica",Mercado_Receita!$J$2:$J$475)+SUMIF(Mercado_Receita!$S$2:$S$475,"44501A4GeraçãoNão se aplicaNão se aplicaAPENão se aplicaNão se aplica",Mercado_Receita!$J$2:$J$475)</f>
        <v>0</v>
      </c>
      <c r="Q6" s="12">
        <f>SUMIF(Mercado_Receita!$S$2:$S$475,"44531A4GeraçãoNão se aplicaNão se aplicaNão se aplicaNão se aplicaNão se aplica",Mercado_Receita!$J$2:$J$475)+SUMIF(Mercado_Receita!$S$2:$S$475,"44531A4GeraçãoNão se aplicaNão se aplicaAPENão se aplicaNão se aplica",Mercado_Receita!$J$2:$J$475)</f>
        <v>0</v>
      </c>
      <c r="R6" s="12">
        <f>SUMIF(Mercado_Receita!$S$2:$S$475,"44562A4GeraçãoNão se aplicaNão se aplicaNão se aplicaNão se aplicaNão se aplica",Mercado_Receita!$J$2:$J$475)+SUMIF(Mercado_Receita!$S$2:$S$475,"44562A4GeraçãoNão se aplicaNão se aplicaAPENão se aplicaNão se aplica",Mercado_Receita!$J$2:$J$475)</f>
        <v>0</v>
      </c>
      <c r="S6" s="12">
        <f>SUMIF(Mercado_Receita!$S$2:$S$475,"44593A4GeraçãoNão se aplicaNão se aplicaNão se aplicaNão se aplicaNão se aplica",Mercado_Receita!$J$2:$J$475)+SUMIF(Mercado_Receita!$S$2:$S$475,"44593A4GeraçãoNão se aplicaNão se aplicaAPENão se aplicaNão se aplica",Mercado_Receita!$J$2:$J$475)</f>
        <v>0</v>
      </c>
      <c r="T6" s="12">
        <f>SUMIF(Mercado_Receita!$S$2:$S$475,"44621A4GeraçãoNão se aplicaNão se aplicaNão se aplicaNão se aplicaNão se aplica",Mercado_Receita!$J$2:$J$475)+SUMIF(Mercado_Receita!$S$2:$S$475,"44621A4GeraçãoNão se aplicaNão se aplicaAPENão se aplicaNão se aplica",Mercado_Receita!$J$2:$J$475)</f>
        <v>0</v>
      </c>
      <c r="U6" s="12">
        <f t="shared" si="0"/>
        <v>0</v>
      </c>
      <c r="V6" s="12"/>
      <c r="W6" s="12"/>
    </row>
    <row r="7" spans="1:30" ht="11.25" customHeight="1" x14ac:dyDescent="0.3">
      <c r="A7" s="106"/>
      <c r="B7" s="105" t="s">
        <v>38</v>
      </c>
      <c r="C7" s="105" t="s">
        <v>25</v>
      </c>
      <c r="D7" s="105" t="s">
        <v>25</v>
      </c>
      <c r="E7" s="105" t="s">
        <v>25</v>
      </c>
      <c r="F7" s="105" t="s">
        <v>25</v>
      </c>
      <c r="G7" s="12" t="s">
        <v>9</v>
      </c>
      <c r="H7" s="12" t="s">
        <v>77</v>
      </c>
      <c r="I7" s="12">
        <f>SUMIF(Mercado_Receita!$S$2:$S$475,"44287A4VerdeNão se aplicaNão se aplicaNão se aplicaNão se aplicaNão se aplica",Mercado_Receita!$J$2:$J$475)+SUMIF(Mercado_Receita!$S$2:$S$475,"44287A4VerdeNão se aplicaNão se aplicaAPENão se aplicaNão se aplica",Mercado_Receita!$J$2:$J$475)</f>
        <v>1600</v>
      </c>
      <c r="J7" s="12">
        <f>SUMIF(Mercado_Receita!$S$2:$S$475,"44317A4VerdeNão se aplicaNão se aplicaNão se aplicaNão se aplicaNão se aplica",Mercado_Receita!$J$2:$J$475)+SUMIF(Mercado_Receita!$S$2:$S$475,"44317A4VerdeNão se aplicaNão se aplicaAPENão se aplicaNão se aplica",Mercado_Receita!$J$2:$J$475)</f>
        <v>1640</v>
      </c>
      <c r="K7" s="12">
        <f>SUMIF(Mercado_Receita!$S$2:$S$475,"44348A4VerdeNão se aplicaNão se aplicaNão se aplicaNão se aplicaNão se aplica",Mercado_Receita!$J$2:$J$475)+SUMIF(Mercado_Receita!$S$2:$S$475,"44348A4VerdeNão se aplicaNão se aplicaAPENão se aplicaNão se aplica",Mercado_Receita!$J$2:$J$475)</f>
        <v>1618</v>
      </c>
      <c r="L7" s="12">
        <f>SUMIF(Mercado_Receita!$S$2:$S$475,"44378A4VerdeNão se aplicaNão se aplicaNão se aplicaNão se aplicaNão se aplica",Mercado_Receita!$J$2:$J$475)+SUMIF(Mercado_Receita!$S$2:$S$475,"44378A4VerdeNão se aplicaNão se aplicaAPENão se aplicaNão se aplica",Mercado_Receita!$J$2:$J$475)</f>
        <v>1632</v>
      </c>
      <c r="M7" s="12">
        <f>SUMIF(Mercado_Receita!$S$2:$S$475,"44409A4VerdeNão se aplicaNão se aplicaNão se aplicaNão se aplicaNão se aplica",Mercado_Receita!$J$2:$J$475)+SUMIF(Mercado_Receita!$S$2:$S$475,"44409A4VerdeNão se aplicaNão se aplicaAPENão se aplicaNão se aplica",Mercado_Receita!$J$2:$J$475)</f>
        <v>1555</v>
      </c>
      <c r="N7" s="12">
        <f>SUMIF(Mercado_Receita!$S$2:$S$475,"44440A4VerdeNão se aplicaNão se aplicaNão se aplicaNão se aplicaNão se aplica",Mercado_Receita!$J$2:$J$475)+SUMIF(Mercado_Receita!$S$2:$S$475,"44440A4VerdeNão se aplicaNão se aplicaAPENão se aplicaNão se aplica",Mercado_Receita!$J$2:$J$475)</f>
        <v>1586</v>
      </c>
      <c r="O7" s="12">
        <f>SUMIF(Mercado_Receita!$S$2:$S$475,"44470A4VerdeNão se aplicaNão se aplicaNão se aplicaNão se aplicaNão se aplica",Mercado_Receita!$J$2:$J$475)+SUMIF(Mercado_Receita!$S$2:$S$475,"44470A4VerdeNão se aplicaNão se aplicaAPENão se aplicaNão se aplica",Mercado_Receita!$J$2:$J$475)</f>
        <v>1566</v>
      </c>
      <c r="P7" s="12">
        <f>SUMIF(Mercado_Receita!$S$2:$S$475,"44501A4VerdeNão se aplicaNão se aplicaNão se aplicaNão se aplicaNão se aplica",Mercado_Receita!$J$2:$J$475)+SUMIF(Mercado_Receita!$S$2:$S$475,"44501A4VerdeNão se aplicaNão se aplicaAPENão se aplicaNão se aplica",Mercado_Receita!$J$2:$J$475)</f>
        <v>1562</v>
      </c>
      <c r="Q7" s="12">
        <f>SUMIF(Mercado_Receita!$S$2:$S$475,"44531A4VerdeNão se aplicaNão se aplicaNão se aplicaNão se aplicaNão se aplica",Mercado_Receita!$J$2:$J$475)+SUMIF(Mercado_Receita!$S$2:$S$475,"44531A4VerdeNão se aplicaNão se aplicaAPENão se aplicaNão se aplica",Mercado_Receita!$J$2:$J$475)</f>
        <v>1592</v>
      </c>
      <c r="R7" s="12">
        <f>SUMIF(Mercado_Receita!$S$2:$S$475,"44562A4VerdeNão se aplicaNão se aplicaNão se aplicaNão se aplicaNão se aplica",Mercado_Receita!$J$2:$J$475)+SUMIF(Mercado_Receita!$S$2:$S$475,"44562A4VerdeNão se aplicaNão se aplicaAPENão se aplicaNão se aplica",Mercado_Receita!$J$2:$J$475)</f>
        <v>1632</v>
      </c>
      <c r="S7" s="12">
        <f>SUMIF(Mercado_Receita!$S$2:$S$475,"44593A4VerdeNão se aplicaNão se aplicaNão se aplicaNão se aplicaNão se aplica",Mercado_Receita!$J$2:$J$475)+SUMIF(Mercado_Receita!$S$2:$S$475,"44593A4VerdeNão se aplicaNão se aplicaAPENão se aplicaNão se aplica",Mercado_Receita!$J$2:$J$475)</f>
        <v>1675</v>
      </c>
      <c r="T7" s="12">
        <f>SUMIF(Mercado_Receita!$S$2:$S$475,"44621A4VerdeNão se aplicaNão se aplicaNão se aplicaNão se aplicaNão se aplica",Mercado_Receita!$J$2:$J$475)+SUMIF(Mercado_Receita!$S$2:$S$475,"44621A4VerdeNão se aplicaNão se aplicaAPENão se aplicaNão se aplica",Mercado_Receita!$J$2:$J$475)</f>
        <v>1734</v>
      </c>
      <c r="U7" s="12">
        <f t="shared" si="0"/>
        <v>19392</v>
      </c>
      <c r="V7" s="12"/>
      <c r="W7" s="12"/>
    </row>
    <row r="8" spans="1:30" ht="11.25" customHeight="1" x14ac:dyDescent="0.3">
      <c r="A8" s="106"/>
      <c r="B8" s="106"/>
      <c r="C8" s="106"/>
      <c r="D8" s="106"/>
      <c r="E8" s="106"/>
      <c r="F8" s="106"/>
      <c r="G8" s="12" t="s">
        <v>73</v>
      </c>
      <c r="H8" s="12" t="s">
        <v>72</v>
      </c>
      <c r="I8" s="12">
        <f>SUMIF(Mercado_Receita!$S$2:$S$475,"44287A4VerdeNão se aplicaNão se aplicaNão se aplicaNão se aplicaPonta",Mercado_Receita!$L$2:$L$475)</f>
        <v>3.589</v>
      </c>
      <c r="J8" s="12">
        <f>SUMIF(Mercado_Receita!$S$2:$S$475,"44317A4VerdeNão se aplicaNão se aplicaNão se aplicaNão se aplicaPonta",Mercado_Receita!$L$2:$L$475)</f>
        <v>3.673</v>
      </c>
      <c r="K8" s="12">
        <f>SUMIF(Mercado_Receita!$S$2:$S$475,"44348A4VerdeNão se aplicaNão se aplicaNão se aplicaNão se aplicaPonta",Mercado_Receita!$L$2:$L$475)</f>
        <v>3.8490000000000002</v>
      </c>
      <c r="L8" s="12">
        <f>SUMIF(Mercado_Receita!$S$2:$S$475,"44378A4VerdeNão se aplicaNão se aplicaNão se aplicaNão se aplicaPonta",Mercado_Receita!$L$2:$L$475)</f>
        <v>4.351</v>
      </c>
      <c r="M8" s="12">
        <f>SUMIF(Mercado_Receita!$S$2:$S$475,"44409A4VerdeNão se aplicaNão se aplicaNão se aplicaNão se aplicaPonta",Mercado_Receita!$L$2:$L$475)</f>
        <v>4.1509999999999998</v>
      </c>
      <c r="N8" s="12">
        <f>SUMIF(Mercado_Receita!$S$2:$S$475,"44440A4VerdeNão se aplicaNão se aplicaNão se aplicaNão se aplicaPonta",Mercado_Receita!$L$2:$L$475)</f>
        <v>3.9729999999999999</v>
      </c>
      <c r="O8" s="12">
        <f>SUMIF(Mercado_Receita!$S$2:$S$475,"44470A4VerdeNão se aplicaNão se aplicaNão se aplicaNão se aplicaPonta",Mercado_Receita!$L$2:$L$475)</f>
        <v>3.3570000000000002</v>
      </c>
      <c r="P8" s="12">
        <f>SUMIF(Mercado_Receita!$S$2:$S$475,"44501A4VerdeNão se aplicaNão se aplicaNão se aplicaNão se aplicaPonta",Mercado_Receita!$L$2:$L$475)</f>
        <v>3.3239999999999998</v>
      </c>
      <c r="Q8" s="12">
        <f>SUMIF(Mercado_Receita!$S$2:$S$475,"44531A4VerdeNão se aplicaNão se aplicaNão se aplicaNão se aplicaPonta",Mercado_Receita!$L$2:$L$475)</f>
        <v>4.0890000000000004</v>
      </c>
      <c r="R8" s="12">
        <f>SUMIF(Mercado_Receita!$S$2:$S$475,"44562A4VerdeNão se aplicaNão se aplicaNão se aplicaNão se aplicaPonta",Mercado_Receita!$L$2:$L$475)</f>
        <v>4.3810000000000002</v>
      </c>
      <c r="S8" s="12">
        <f>SUMIF(Mercado_Receita!$S$2:$S$475,"44593A4VerdeNão se aplicaNão se aplicaNão se aplicaNão se aplicaPonta",Mercado_Receita!$L$2:$L$475)</f>
        <v>4.2459999999999996</v>
      </c>
      <c r="T8" s="12">
        <f>SUMIF(Mercado_Receita!$S$2:$S$475,"44621A4VerdeNão se aplicaNão se aplicaNão se aplicaNão se aplicaPonta",Mercado_Receita!$L$2:$L$475)</f>
        <v>4.5129999999999999</v>
      </c>
      <c r="U8" s="12">
        <f t="shared" si="0"/>
        <v>47.495999999999995</v>
      </c>
      <c r="V8" s="12"/>
      <c r="W8" s="12"/>
    </row>
    <row r="9" spans="1:30" ht="11.25" customHeight="1" x14ac:dyDescent="0.3">
      <c r="A9" s="106"/>
      <c r="B9" s="106"/>
      <c r="C9" s="106"/>
      <c r="D9" s="106"/>
      <c r="E9" s="106"/>
      <c r="F9" s="106"/>
      <c r="G9" s="12" t="s">
        <v>74</v>
      </c>
      <c r="H9" s="12" t="s">
        <v>72</v>
      </c>
      <c r="I9" s="12">
        <f>SUMIF(Mercado_Receita!$S$2:$S$475,"44287A4VerdeNão se aplicaNão se aplicaNão se aplicaNão se aplicaFora ponta",Mercado_Receita!$L$2:$L$475)</f>
        <v>197.38800000000001</v>
      </c>
      <c r="J9" s="12">
        <f>SUMIF(Mercado_Receita!$S$2:$S$475,"44317A4VerdeNão se aplicaNão se aplicaNão se aplicaNão se aplicaFora ponta",Mercado_Receita!$L$2:$L$475)</f>
        <v>221.55499999999998</v>
      </c>
      <c r="K9" s="12">
        <f>SUMIF(Mercado_Receita!$S$2:$S$475,"44348A4VerdeNão se aplicaNão se aplicaNão se aplicaNão se aplicaFora ponta",Mercado_Receita!$L$2:$L$475)</f>
        <v>191.49799999999999</v>
      </c>
      <c r="L9" s="12">
        <f>SUMIF(Mercado_Receita!$S$2:$S$475,"44378A4VerdeNão se aplicaNão se aplicaNão se aplicaNão se aplicaFora ponta",Mercado_Receita!$L$2:$L$475)</f>
        <v>231.32300000000001</v>
      </c>
      <c r="M9" s="12">
        <f>SUMIF(Mercado_Receita!$S$2:$S$475,"44409A4VerdeNão se aplicaNão se aplicaNão se aplicaNão se aplicaFora ponta",Mercado_Receita!$L$2:$L$475)</f>
        <v>168.49300000000002</v>
      </c>
      <c r="N9" s="12">
        <f>SUMIF(Mercado_Receita!$S$2:$S$475,"44440A4VerdeNão se aplicaNão se aplicaNão se aplicaNão se aplicaFora ponta",Mercado_Receita!$L$2:$L$475)</f>
        <v>184.846</v>
      </c>
      <c r="O9" s="12">
        <f>SUMIF(Mercado_Receita!$S$2:$S$475,"44470A4VerdeNão se aplicaNão se aplicaNão se aplicaNão se aplicaFora ponta",Mercado_Receita!$L$2:$L$475)</f>
        <v>222.125</v>
      </c>
      <c r="P9" s="12">
        <f>SUMIF(Mercado_Receita!$S$2:$S$475,"44501A4VerdeNão se aplicaNão se aplicaNão se aplicaNão se aplicaFora ponta",Mercado_Receita!$L$2:$L$475)</f>
        <v>243.86799999999999</v>
      </c>
      <c r="Q9" s="12">
        <f>SUMIF(Mercado_Receita!$S$2:$S$475,"44531A4VerdeNão se aplicaNão se aplicaNão se aplicaNão se aplicaFora ponta",Mercado_Receita!$L$2:$L$475)</f>
        <v>256.48099999999999</v>
      </c>
      <c r="R9" s="12">
        <f>SUMIF(Mercado_Receita!$S$2:$S$475,"44562A4VerdeNão se aplicaNão se aplicaNão se aplicaNão se aplicaFora ponta",Mercado_Receita!$L$2:$L$475)</f>
        <v>298.11200000000002</v>
      </c>
      <c r="S9" s="12">
        <f>SUMIF(Mercado_Receita!$S$2:$S$475,"44593A4VerdeNão se aplicaNão se aplicaNão se aplicaNão se aplicaFora ponta",Mercado_Receita!$L$2:$L$475)</f>
        <v>262.38100000000003</v>
      </c>
      <c r="T9" s="12">
        <f>SUMIF(Mercado_Receita!$S$2:$S$475,"44621A4VerdeNão se aplicaNão se aplicaNão se aplicaNão se aplicaFora ponta",Mercado_Receita!$L$2:$L$475)</f>
        <v>390.34399999999994</v>
      </c>
      <c r="U9" s="12">
        <f t="shared" si="0"/>
        <v>2868.4139999999998</v>
      </c>
      <c r="V9" s="12"/>
      <c r="W9" s="12"/>
    </row>
    <row r="10" spans="1:30" ht="11.25" customHeight="1" x14ac:dyDescent="0.3">
      <c r="A10" s="106"/>
      <c r="B10" s="106"/>
      <c r="C10" s="106"/>
      <c r="D10" s="106"/>
      <c r="E10" s="105" t="s">
        <v>80</v>
      </c>
      <c r="F10" s="105" t="s">
        <v>25</v>
      </c>
      <c r="G10" s="12" t="s">
        <v>73</v>
      </c>
      <c r="H10" s="12" t="s">
        <v>72</v>
      </c>
      <c r="I10" s="12">
        <f>SUMIF(Mercado_Receita!$S$2:$S$475,"44287A4VerdeNão se aplicaNão se aplicaAPENão se aplicaPonta",Mercado_Receita!$L$2:$L$475)</f>
        <v>0</v>
      </c>
      <c r="J10" s="12">
        <f>SUMIF(Mercado_Receita!$S$2:$S$475,"44317A4VerdeNão se aplicaNão se aplicaAPENão se aplicaPonta",Mercado_Receita!$L$2:$L$475)</f>
        <v>0</v>
      </c>
      <c r="K10" s="12">
        <f>SUMIF(Mercado_Receita!$S$2:$S$475,"44348A4VerdeNão se aplicaNão se aplicaAPENão se aplicaPonta",Mercado_Receita!$L$2:$L$475)</f>
        <v>0</v>
      </c>
      <c r="L10" s="12">
        <f>SUMIF(Mercado_Receita!$S$2:$S$475,"44378A4VerdeNão se aplicaNão se aplicaAPENão se aplicaPonta",Mercado_Receita!$L$2:$L$475)</f>
        <v>0</v>
      </c>
      <c r="M10" s="12">
        <f>SUMIF(Mercado_Receita!$S$2:$S$475,"44409A4VerdeNão se aplicaNão se aplicaAPENão se aplicaPonta",Mercado_Receita!$L$2:$L$475)</f>
        <v>0</v>
      </c>
      <c r="N10" s="12">
        <f>SUMIF(Mercado_Receita!$S$2:$S$475,"44440A4VerdeNão se aplicaNão se aplicaAPENão se aplicaPonta",Mercado_Receita!$L$2:$L$475)</f>
        <v>0</v>
      </c>
      <c r="O10" s="12">
        <f>SUMIF(Mercado_Receita!$S$2:$S$475,"44470A4VerdeNão se aplicaNão se aplicaAPENão se aplicaPonta",Mercado_Receita!$L$2:$L$475)</f>
        <v>0</v>
      </c>
      <c r="P10" s="12">
        <f>SUMIF(Mercado_Receita!$S$2:$S$475,"44501A4VerdeNão se aplicaNão se aplicaAPENão se aplicaPonta",Mercado_Receita!$L$2:$L$475)</f>
        <v>0</v>
      </c>
      <c r="Q10" s="12">
        <f>SUMIF(Mercado_Receita!$S$2:$S$475,"44531A4VerdeNão se aplicaNão se aplicaAPENão se aplicaPonta",Mercado_Receita!$L$2:$L$475)</f>
        <v>0</v>
      </c>
      <c r="R10" s="12">
        <f>SUMIF(Mercado_Receita!$S$2:$S$475,"44562A4VerdeNão se aplicaNão se aplicaAPENão se aplicaPonta",Mercado_Receita!$L$2:$L$475)</f>
        <v>0</v>
      </c>
      <c r="S10" s="12">
        <f>SUMIF(Mercado_Receita!$S$2:$S$475,"44593A4VerdeNão se aplicaNão se aplicaAPENão se aplicaPonta",Mercado_Receita!$L$2:$L$475)</f>
        <v>0</v>
      </c>
      <c r="T10" s="12">
        <f>SUMIF(Mercado_Receita!$S$2:$S$475,"44621A4VerdeNão se aplicaNão se aplicaAPENão se aplicaPonta",Mercado_Receita!$L$2:$L$475)</f>
        <v>0</v>
      </c>
      <c r="U10" s="12">
        <f t="shared" si="0"/>
        <v>0</v>
      </c>
      <c r="V10" s="12"/>
      <c r="W10" s="12"/>
    </row>
    <row r="11" spans="1:30" ht="11.25" customHeight="1" x14ac:dyDescent="0.3">
      <c r="A11" s="106"/>
      <c r="B11" s="106"/>
      <c r="C11" s="106"/>
      <c r="D11" s="106"/>
      <c r="E11" s="106"/>
      <c r="F11" s="106"/>
      <c r="G11" s="12" t="s">
        <v>74</v>
      </c>
      <c r="H11" s="12" t="s">
        <v>72</v>
      </c>
      <c r="I11" s="12">
        <f>SUMIF(Mercado_Receita!$S$2:$S$475,"44287A4VerdeNão se aplicaNão se aplicaAPENão se aplicaFora ponta",Mercado_Receita!$L$2:$L$475)</f>
        <v>0</v>
      </c>
      <c r="J11" s="12">
        <f>SUMIF(Mercado_Receita!$S$2:$S$475,"44317A4VerdeNão se aplicaNão se aplicaAPENão se aplicaFora ponta",Mercado_Receita!$L$2:$L$475)</f>
        <v>0</v>
      </c>
      <c r="K11" s="12">
        <f>SUMIF(Mercado_Receita!$S$2:$S$475,"44348A4VerdeNão se aplicaNão se aplicaAPENão se aplicaFora ponta",Mercado_Receita!$L$2:$L$475)</f>
        <v>0</v>
      </c>
      <c r="L11" s="12">
        <f>SUMIF(Mercado_Receita!$S$2:$S$475,"44378A4VerdeNão se aplicaNão se aplicaAPENão se aplicaFora ponta",Mercado_Receita!$L$2:$L$475)</f>
        <v>0</v>
      </c>
      <c r="M11" s="12">
        <f>SUMIF(Mercado_Receita!$S$2:$S$475,"44409A4VerdeNão se aplicaNão se aplicaAPENão se aplicaFora ponta",Mercado_Receita!$L$2:$L$475)</f>
        <v>0</v>
      </c>
      <c r="N11" s="12">
        <f>SUMIF(Mercado_Receita!$S$2:$S$475,"44440A4VerdeNão se aplicaNão se aplicaAPENão se aplicaFora ponta",Mercado_Receita!$L$2:$L$475)</f>
        <v>0</v>
      </c>
      <c r="O11" s="12">
        <f>SUMIF(Mercado_Receita!$S$2:$S$475,"44470A4VerdeNão se aplicaNão se aplicaAPENão se aplicaFora ponta",Mercado_Receita!$L$2:$L$475)</f>
        <v>0</v>
      </c>
      <c r="P11" s="12">
        <f>SUMIF(Mercado_Receita!$S$2:$S$475,"44501A4VerdeNão se aplicaNão se aplicaAPENão se aplicaFora ponta",Mercado_Receita!$L$2:$L$475)</f>
        <v>0</v>
      </c>
      <c r="Q11" s="12">
        <f>SUMIF(Mercado_Receita!$S$2:$S$475,"44531A4VerdeNão se aplicaNão se aplicaAPENão se aplicaFora ponta",Mercado_Receita!$L$2:$L$475)</f>
        <v>0</v>
      </c>
      <c r="R11" s="12">
        <f>SUMIF(Mercado_Receita!$S$2:$S$475,"44562A4VerdeNão se aplicaNão se aplicaAPENão se aplicaFora ponta",Mercado_Receita!$L$2:$L$475)</f>
        <v>0</v>
      </c>
      <c r="S11" s="12">
        <f>SUMIF(Mercado_Receita!$S$2:$S$475,"44593A4VerdeNão se aplicaNão se aplicaAPENão se aplicaFora ponta",Mercado_Receita!$L$2:$L$475)</f>
        <v>0</v>
      </c>
      <c r="T11" s="12">
        <f>SUMIF(Mercado_Receita!$S$2:$S$475,"44621A4VerdeNão se aplicaNão se aplicaAPENão se aplicaFora ponta",Mercado_Receita!$L$2:$L$475)</f>
        <v>0</v>
      </c>
      <c r="U11" s="12">
        <f t="shared" si="0"/>
        <v>0</v>
      </c>
      <c r="V11" s="12"/>
      <c r="W11" s="12"/>
    </row>
    <row r="12" spans="1:30" ht="11.25" customHeight="1" x14ac:dyDescent="0.3">
      <c r="A12" s="105" t="s">
        <v>82</v>
      </c>
      <c r="B12" s="105" t="s">
        <v>81</v>
      </c>
      <c r="C12" s="105" t="s">
        <v>25</v>
      </c>
      <c r="D12" s="105" t="s">
        <v>25</v>
      </c>
      <c r="E12" s="13" t="s">
        <v>83</v>
      </c>
      <c r="F12" s="13" t="s">
        <v>25</v>
      </c>
      <c r="G12" s="12" t="s">
        <v>9</v>
      </c>
      <c r="H12" s="12" t="s">
        <v>77</v>
      </c>
      <c r="I12" s="12">
        <f>SUMIF(Mercado_Receita!$S$2:$S$475,"44287BGeraçãoNão se aplicaNão se aplicaTIPO 01Não se aplicaNão se aplica",Mercado_Receita!$J$2:$J$475)+SUMIF(Mercado_Receita!$S$2:$S$475,"44287BGeraçãoNão se aplicaNão se aplicaAPENão se aplicaNão se aplica",Mercado_Receita!$J$2:$J$475)</f>
        <v>0</v>
      </c>
      <c r="J12" s="12">
        <f>SUMIF(Mercado_Receita!$S$2:$S$475,"44317BGeraçãoNão se aplicaNão se aplicaTIPO 01Não se aplicaNão se aplica",Mercado_Receita!$J$2:$J$475)+SUMIF(Mercado_Receita!$S$2:$S$475,"44317BGeraçãoNão se aplicaNão se aplicaAPENão se aplicaNão se aplica",Mercado_Receita!$J$2:$J$475)</f>
        <v>0</v>
      </c>
      <c r="K12" s="12">
        <f>SUMIF(Mercado_Receita!$S$2:$S$475,"44348BGeraçãoNão se aplicaNão se aplicaTIPO 01Não se aplicaNão se aplica",Mercado_Receita!$J$2:$J$475)+SUMIF(Mercado_Receita!$S$2:$S$475,"44348BGeraçãoNão se aplicaNão se aplicaAPENão se aplicaNão se aplica",Mercado_Receita!$J$2:$J$475)</f>
        <v>0</v>
      </c>
      <c r="L12" s="12">
        <f>SUMIF(Mercado_Receita!$S$2:$S$475,"44378BGeraçãoNão se aplicaNão se aplicaTIPO 01Não se aplicaNão se aplica",Mercado_Receita!$J$2:$J$475)+SUMIF(Mercado_Receita!$S$2:$S$475,"44378BGeraçãoNão se aplicaNão se aplicaAPENão se aplicaNão se aplica",Mercado_Receita!$J$2:$J$475)</f>
        <v>0</v>
      </c>
      <c r="M12" s="12">
        <f>SUMIF(Mercado_Receita!$S$2:$S$475,"44409BGeraçãoNão se aplicaNão se aplicaTIPO 01Não se aplicaNão se aplica",Mercado_Receita!$J$2:$J$475)+SUMIF(Mercado_Receita!$S$2:$S$475,"44409BGeraçãoNão se aplicaNão se aplicaAPENão se aplicaNão se aplica",Mercado_Receita!$J$2:$J$475)</f>
        <v>0</v>
      </c>
      <c r="N12" s="12">
        <f>SUMIF(Mercado_Receita!$S$2:$S$475,"44440BGeraçãoNão se aplicaNão se aplicaTIPO 01Não se aplicaNão se aplica",Mercado_Receita!$J$2:$J$475)+SUMIF(Mercado_Receita!$S$2:$S$475,"44440BGeraçãoNão se aplicaNão se aplicaAPENão se aplicaNão se aplica",Mercado_Receita!$J$2:$J$475)</f>
        <v>0</v>
      </c>
      <c r="O12" s="12">
        <f>SUMIF(Mercado_Receita!$S$2:$S$475,"44470BGeraçãoNão se aplicaNão se aplicaTIPO 01Não se aplicaNão se aplica",Mercado_Receita!$J$2:$J$475)+SUMIF(Mercado_Receita!$S$2:$S$475,"44470BGeraçãoNão se aplicaNão se aplicaAPENão se aplicaNão se aplica",Mercado_Receita!$J$2:$J$475)</f>
        <v>0</v>
      </c>
      <c r="P12" s="12">
        <f>SUMIF(Mercado_Receita!$S$2:$S$475,"44501BGeraçãoNão se aplicaNão se aplicaTIPO 01Não se aplicaNão se aplica",Mercado_Receita!$J$2:$J$475)+SUMIF(Mercado_Receita!$S$2:$S$475,"44501BGeraçãoNão se aplicaNão se aplicaAPENão se aplicaNão se aplica",Mercado_Receita!$J$2:$J$475)</f>
        <v>0</v>
      </c>
      <c r="Q12" s="12">
        <f>SUMIF(Mercado_Receita!$S$2:$S$475,"44531BGeraçãoNão se aplicaNão se aplicaTIPO 01Não se aplicaNão se aplica",Mercado_Receita!$J$2:$J$475)+SUMIF(Mercado_Receita!$S$2:$S$475,"44531BGeraçãoNão se aplicaNão se aplicaAPENão se aplicaNão se aplica",Mercado_Receita!$J$2:$J$475)</f>
        <v>0</v>
      </c>
      <c r="R12" s="12">
        <f>SUMIF(Mercado_Receita!$S$2:$S$475,"44562BGeraçãoNão se aplicaNão se aplicaTIPO 01Não se aplicaNão se aplica",Mercado_Receita!$J$2:$J$475)+SUMIF(Mercado_Receita!$S$2:$S$475,"44562BGeraçãoNão se aplicaNão se aplicaAPENão se aplicaNão se aplica",Mercado_Receita!$J$2:$J$475)</f>
        <v>0</v>
      </c>
      <c r="S12" s="12">
        <f>SUMIF(Mercado_Receita!$S$2:$S$475,"44593BGeraçãoNão se aplicaNão se aplicaTIPO 01Não se aplicaNão se aplica",Mercado_Receita!$J$2:$J$475)+SUMIF(Mercado_Receita!$S$2:$S$475,"44593BGeraçãoNão se aplicaNão se aplicaAPENão se aplicaNão se aplica",Mercado_Receita!$J$2:$J$475)</f>
        <v>0</v>
      </c>
      <c r="T12" s="12">
        <f>SUMIF(Mercado_Receita!$S$2:$S$475,"44621BGeraçãoNão se aplicaNão se aplicaTIPO 01Não se aplicaNão se aplica",Mercado_Receita!$J$2:$J$475)+SUMIF(Mercado_Receita!$S$2:$S$475,"44621BGeraçãoNão se aplicaNão se aplicaAPENão se aplicaNão se aplica",Mercado_Receita!$J$2:$J$475)</f>
        <v>0</v>
      </c>
      <c r="U12" s="12">
        <f t="shared" si="0"/>
        <v>0</v>
      </c>
      <c r="V12" s="12"/>
      <c r="W12" s="12"/>
    </row>
    <row r="13" spans="1:30" ht="11.25" customHeight="1" x14ac:dyDescent="0.3">
      <c r="A13" s="106"/>
      <c r="B13" s="106"/>
      <c r="C13" s="106"/>
      <c r="D13" s="106"/>
      <c r="E13" s="13" t="s">
        <v>84</v>
      </c>
      <c r="F13" s="13" t="s">
        <v>25</v>
      </c>
      <c r="G13" s="12" t="s">
        <v>9</v>
      </c>
      <c r="H13" s="12" t="s">
        <v>77</v>
      </c>
      <c r="I13" s="12">
        <f>SUMIF(Mercado_Receita!$S$2:$S$475,"44287BGeraçãoNão se aplicaNão se aplicaTIPO 02Não se aplicaNão se aplica",Mercado_Receita!$J$2:$J$475)+SUMIF(Mercado_Receita!$S$2:$S$475,"44287BGeraçãoNão se aplicaNão se aplicaAPENão se aplicaNão se aplica",Mercado_Receita!$J$2:$J$475)</f>
        <v>0</v>
      </c>
      <c r="J13" s="12">
        <f>SUMIF(Mercado_Receita!$S$2:$S$475,"44317BGeraçãoNão se aplicaNão se aplicaTIPO 02Não se aplicaNão se aplica",Mercado_Receita!$J$2:$J$475)+SUMIF(Mercado_Receita!$S$2:$S$475,"44317BGeraçãoNão se aplicaNão se aplicaAPENão se aplicaNão se aplica",Mercado_Receita!$J$2:$J$475)</f>
        <v>0</v>
      </c>
      <c r="K13" s="12">
        <f>SUMIF(Mercado_Receita!$S$2:$S$475,"44348BGeraçãoNão se aplicaNão se aplicaTIPO 02Não se aplicaNão se aplica",Mercado_Receita!$J$2:$J$475)+SUMIF(Mercado_Receita!$S$2:$S$475,"44348BGeraçãoNão se aplicaNão se aplicaAPENão se aplicaNão se aplica",Mercado_Receita!$J$2:$J$475)</f>
        <v>0</v>
      </c>
      <c r="L13" s="12">
        <f>SUMIF(Mercado_Receita!$S$2:$S$475,"44378BGeraçãoNão se aplicaNão se aplicaTIPO 02Não se aplicaNão se aplica",Mercado_Receita!$J$2:$J$475)+SUMIF(Mercado_Receita!$S$2:$S$475,"44378BGeraçãoNão se aplicaNão se aplicaAPENão se aplicaNão se aplica",Mercado_Receita!$J$2:$J$475)</f>
        <v>0</v>
      </c>
      <c r="M13" s="12">
        <f>SUMIF(Mercado_Receita!$S$2:$S$475,"44409BGeraçãoNão se aplicaNão se aplicaTIPO 02Não se aplicaNão se aplica",Mercado_Receita!$J$2:$J$475)+SUMIF(Mercado_Receita!$S$2:$S$475,"44409BGeraçãoNão se aplicaNão se aplicaAPENão se aplicaNão se aplica",Mercado_Receita!$J$2:$J$475)</f>
        <v>0</v>
      </c>
      <c r="N13" s="12">
        <f>SUMIF(Mercado_Receita!$S$2:$S$475,"44440BGeraçãoNão se aplicaNão se aplicaTIPO 02Não se aplicaNão se aplica",Mercado_Receita!$J$2:$J$475)+SUMIF(Mercado_Receita!$S$2:$S$475,"44440BGeraçãoNão se aplicaNão se aplicaAPENão se aplicaNão se aplica",Mercado_Receita!$J$2:$J$475)</f>
        <v>0</v>
      </c>
      <c r="O13" s="12">
        <f>SUMIF(Mercado_Receita!$S$2:$S$475,"44470BGeraçãoNão se aplicaNão se aplicaTIPO 02Não se aplicaNão se aplica",Mercado_Receita!$J$2:$J$475)+SUMIF(Mercado_Receita!$S$2:$S$475,"44470BGeraçãoNão se aplicaNão se aplicaAPENão se aplicaNão se aplica",Mercado_Receita!$J$2:$J$475)</f>
        <v>0</v>
      </c>
      <c r="P13" s="12">
        <f>SUMIF(Mercado_Receita!$S$2:$S$475,"44501BGeraçãoNão se aplicaNão se aplicaTIPO 02Não se aplicaNão se aplica",Mercado_Receita!$J$2:$J$475)+SUMIF(Mercado_Receita!$S$2:$S$475,"44501BGeraçãoNão se aplicaNão se aplicaAPENão se aplicaNão se aplica",Mercado_Receita!$J$2:$J$475)</f>
        <v>0</v>
      </c>
      <c r="Q13" s="12">
        <f>SUMIF(Mercado_Receita!$S$2:$S$475,"44531BGeraçãoNão se aplicaNão se aplicaTIPO 02Não se aplicaNão se aplica",Mercado_Receita!$J$2:$J$475)+SUMIF(Mercado_Receita!$S$2:$S$475,"44531BGeraçãoNão se aplicaNão se aplicaAPENão se aplicaNão se aplica",Mercado_Receita!$J$2:$J$475)</f>
        <v>0</v>
      </c>
      <c r="R13" s="12">
        <f>SUMIF(Mercado_Receita!$S$2:$S$475,"44562BGeraçãoNão se aplicaNão se aplicaTIPO 02Não se aplicaNão se aplica",Mercado_Receita!$J$2:$J$475)+SUMIF(Mercado_Receita!$S$2:$S$475,"44562BGeraçãoNão se aplicaNão se aplicaAPENão se aplicaNão se aplica",Mercado_Receita!$J$2:$J$475)</f>
        <v>0</v>
      </c>
      <c r="S13" s="12">
        <f>SUMIF(Mercado_Receita!$S$2:$S$475,"44593BGeraçãoNão se aplicaNão se aplicaTIPO 02Não se aplicaNão se aplica",Mercado_Receita!$J$2:$J$475)+SUMIF(Mercado_Receita!$S$2:$S$475,"44593BGeraçãoNão se aplicaNão se aplicaAPENão se aplicaNão se aplica",Mercado_Receita!$J$2:$J$475)</f>
        <v>0</v>
      </c>
      <c r="T13" s="12">
        <f>SUMIF(Mercado_Receita!$S$2:$S$475,"44621BGeraçãoNão se aplicaNão se aplicaTIPO 02Não se aplicaNão se aplica",Mercado_Receita!$J$2:$J$475)+SUMIF(Mercado_Receita!$S$2:$S$475,"44621BGeraçãoNão se aplicaNão se aplicaAPENão se aplicaNão se aplica",Mercado_Receita!$J$2:$J$475)</f>
        <v>0</v>
      </c>
      <c r="U13" s="12">
        <f t="shared" si="0"/>
        <v>0</v>
      </c>
      <c r="V13" s="12"/>
      <c r="W13" s="12"/>
    </row>
    <row r="14" spans="1:30" ht="11.25" customHeight="1" x14ac:dyDescent="0.3">
      <c r="A14" s="105" t="s">
        <v>22</v>
      </c>
      <c r="B14" s="105" t="s">
        <v>33</v>
      </c>
      <c r="C14" s="105" t="s">
        <v>24</v>
      </c>
      <c r="D14" s="105" t="s">
        <v>24</v>
      </c>
      <c r="E14" s="105" t="s">
        <v>25</v>
      </c>
      <c r="F14" s="105" t="s">
        <v>25</v>
      </c>
      <c r="G14" s="12" t="s">
        <v>73</v>
      </c>
      <c r="H14" s="12" t="s">
        <v>72</v>
      </c>
      <c r="I14" s="12">
        <f>SUMIF(Mercado_Receita!$S$2:$S$475,"44287B1BrancaResidencialResidencialNão se aplicaNão se aplicaPonta",Mercado_Receita!$L$2:$L$475)</f>
        <v>0</v>
      </c>
      <c r="J14" s="12">
        <f>SUMIF(Mercado_Receita!$S$2:$S$475,"44317B1BrancaResidencialResidencialNão se aplicaNão se aplicaPonta",Mercado_Receita!$L$2:$L$475)</f>
        <v>0</v>
      </c>
      <c r="K14" s="12">
        <f>SUMIF(Mercado_Receita!$S$2:$S$475,"44348B1BrancaResidencialResidencialNão se aplicaNão se aplicaPonta",Mercado_Receita!$L$2:$L$475)</f>
        <v>2.8000000000000001E-2</v>
      </c>
      <c r="L14" s="12">
        <f>SUMIF(Mercado_Receita!$S$2:$S$475,"44378B1BrancaResidencialResidencialNão se aplicaNão se aplicaPonta",Mercado_Receita!$L$2:$L$475)</f>
        <v>3.0000000000000001E-3</v>
      </c>
      <c r="M14" s="12">
        <f>SUMIF(Mercado_Receita!$S$2:$S$475,"44409B1BrancaResidencialResidencialNão se aplicaNão se aplicaPonta",Mercado_Receita!$L$2:$L$475)</f>
        <v>0</v>
      </c>
      <c r="N14" s="12">
        <f>SUMIF(Mercado_Receita!$S$2:$S$475,"44440B1BrancaResidencialResidencialNão se aplicaNão se aplicaPonta",Mercado_Receita!$L$2:$L$475)</f>
        <v>0</v>
      </c>
      <c r="O14" s="12">
        <f>SUMIF(Mercado_Receita!$S$2:$S$475,"44470B1BrancaResidencialResidencialNão se aplicaNão se aplicaPonta",Mercado_Receita!$L$2:$L$475)</f>
        <v>0</v>
      </c>
      <c r="P14" s="12">
        <f>SUMIF(Mercado_Receita!$S$2:$S$475,"44501B1BrancaResidencialResidencialNão se aplicaNão se aplicaPonta",Mercado_Receita!$L$2:$L$475)</f>
        <v>0</v>
      </c>
      <c r="Q14" s="12">
        <f>SUMIF(Mercado_Receita!$S$2:$S$475,"44531B1BrancaResidencialResidencialNão se aplicaNão se aplicaPonta",Mercado_Receita!$L$2:$L$475)</f>
        <v>0</v>
      </c>
      <c r="R14" s="12">
        <f>SUMIF(Mercado_Receita!$S$2:$S$475,"44562B1BrancaResidencialResidencialNão se aplicaNão se aplicaPonta",Mercado_Receita!$L$2:$L$475)</f>
        <v>0</v>
      </c>
      <c r="S14" s="12">
        <f>SUMIF(Mercado_Receita!$S$2:$S$475,"44593B1BrancaResidencialResidencialNão se aplicaNão se aplicaPonta",Mercado_Receita!$L$2:$L$475)</f>
        <v>0</v>
      </c>
      <c r="T14" s="12">
        <f>SUMIF(Mercado_Receita!$S$2:$S$475,"44621B1BrancaResidencialResidencialNão se aplicaNão se aplicaPonta",Mercado_Receita!$L$2:$L$475)</f>
        <v>0</v>
      </c>
      <c r="U14" s="12">
        <f t="shared" si="0"/>
        <v>3.1E-2</v>
      </c>
      <c r="V14" s="12"/>
      <c r="W14" s="12"/>
    </row>
    <row r="15" spans="1:30" ht="11.25" customHeight="1" x14ac:dyDescent="0.3">
      <c r="A15" s="106"/>
      <c r="B15" s="106"/>
      <c r="C15" s="106"/>
      <c r="D15" s="106"/>
      <c r="E15" s="106"/>
      <c r="F15" s="106"/>
      <c r="G15" s="12" t="s">
        <v>85</v>
      </c>
      <c r="H15" s="12" t="s">
        <v>72</v>
      </c>
      <c r="I15" s="12">
        <f>SUMIF(Mercado_Receita!$S$2:$S$475,"44287B1BrancaResidencialResidencialNão se aplicaNão se aplicaIntermediário",Mercado_Receita!$L$2:$L$475)</f>
        <v>0</v>
      </c>
      <c r="J15" s="12">
        <f>SUMIF(Mercado_Receita!$S$2:$S$475,"44317B1BrancaResidencialResidencialNão se aplicaNão se aplicaIntermediário",Mercado_Receita!$L$2:$L$475)</f>
        <v>0</v>
      </c>
      <c r="K15" s="12">
        <f>SUMIF(Mercado_Receita!$S$2:$S$475,"44348B1BrancaResidencialResidencialNão se aplicaNão se aplicaIntermediário",Mercado_Receita!$L$2:$L$475)</f>
        <v>0</v>
      </c>
      <c r="L15" s="12">
        <f>SUMIF(Mercado_Receita!$S$2:$S$475,"44378B1BrancaResidencialResidencialNão se aplicaNão se aplicaIntermediário",Mercado_Receita!$L$2:$L$475)</f>
        <v>0</v>
      </c>
      <c r="M15" s="12">
        <f>SUMIF(Mercado_Receita!$S$2:$S$475,"44409B1BrancaResidencialResidencialNão se aplicaNão se aplicaIntermediário",Mercado_Receita!$L$2:$L$475)</f>
        <v>0</v>
      </c>
      <c r="N15" s="12">
        <f>SUMIF(Mercado_Receita!$S$2:$S$475,"44440B1BrancaResidencialResidencialNão se aplicaNão se aplicaIntermediário",Mercado_Receita!$L$2:$L$475)</f>
        <v>0</v>
      </c>
      <c r="O15" s="12">
        <f>SUMIF(Mercado_Receita!$S$2:$S$475,"44470B1BrancaResidencialResidencialNão se aplicaNão se aplicaIntermediário",Mercado_Receita!$L$2:$L$475)</f>
        <v>0</v>
      </c>
      <c r="P15" s="12">
        <f>SUMIF(Mercado_Receita!$S$2:$S$475,"44501B1BrancaResidencialResidencialNão se aplicaNão se aplicaIntermediário",Mercado_Receita!$L$2:$L$475)</f>
        <v>0</v>
      </c>
      <c r="Q15" s="12">
        <f>SUMIF(Mercado_Receita!$S$2:$S$475,"44531B1BrancaResidencialResidencialNão se aplicaNão se aplicaIntermediário",Mercado_Receita!$L$2:$L$475)</f>
        <v>0</v>
      </c>
      <c r="R15" s="12">
        <f>SUMIF(Mercado_Receita!$S$2:$S$475,"44562B1BrancaResidencialResidencialNão se aplicaNão se aplicaIntermediário",Mercado_Receita!$L$2:$L$475)</f>
        <v>0</v>
      </c>
      <c r="S15" s="12">
        <f>SUMIF(Mercado_Receita!$S$2:$S$475,"44593B1BrancaResidencialResidencialNão se aplicaNão se aplicaIntermediário",Mercado_Receita!$L$2:$L$475)</f>
        <v>0</v>
      </c>
      <c r="T15" s="12">
        <f>SUMIF(Mercado_Receita!$S$2:$S$475,"44621B1BrancaResidencialResidencialNão se aplicaNão se aplicaIntermediário",Mercado_Receita!$L$2:$L$475)</f>
        <v>0</v>
      </c>
      <c r="U15" s="12">
        <f t="shared" si="0"/>
        <v>0</v>
      </c>
      <c r="V15" s="12"/>
      <c r="W15" s="12"/>
    </row>
    <row r="16" spans="1:30" ht="11.25" customHeight="1" x14ac:dyDescent="0.3">
      <c r="A16" s="106"/>
      <c r="B16" s="106"/>
      <c r="C16" s="106"/>
      <c r="D16" s="106"/>
      <c r="E16" s="106"/>
      <c r="F16" s="106"/>
      <c r="G16" s="12" t="s">
        <v>74</v>
      </c>
      <c r="H16" s="12" t="s">
        <v>72</v>
      </c>
      <c r="I16" s="12">
        <f>SUMIF(Mercado_Receita!$S$2:$S$475,"44287B1BrancaResidencialResidencialNão se aplicaNão se aplicaFora ponta",Mercado_Receita!$L$2:$L$475)</f>
        <v>7.1999999999999995E-2</v>
      </c>
      <c r="J16" s="12">
        <f>SUMIF(Mercado_Receita!$S$2:$S$475,"44317B1BrancaResidencialResidencialNão se aplicaNão se aplicaFora ponta",Mercado_Receita!$L$2:$L$475)</f>
        <v>7.1999999999999995E-2</v>
      </c>
      <c r="K16" s="12">
        <f>SUMIF(Mercado_Receita!$S$2:$S$475,"44348B1BrancaResidencialResidencialNão se aplicaNão se aplicaFora ponta",Mercado_Receita!$L$2:$L$475)</f>
        <v>0</v>
      </c>
      <c r="L16" s="12">
        <f>SUMIF(Mercado_Receita!$S$2:$S$475,"44378B1BrancaResidencialResidencialNão se aplicaNão se aplicaFora ponta",Mercado_Receita!$L$2:$L$475)</f>
        <v>6.3E-2</v>
      </c>
      <c r="M16" s="12">
        <f>SUMIF(Mercado_Receita!$S$2:$S$475,"44409B1BrancaResidencialResidencialNão se aplicaNão se aplicaFora ponta",Mercado_Receita!$L$2:$L$475)</f>
        <v>7.1999999999999995E-2</v>
      </c>
      <c r="N16" s="12">
        <f>SUMIF(Mercado_Receita!$S$2:$S$475,"44440B1BrancaResidencialResidencialNão se aplicaNão se aplicaFora ponta",Mercado_Receita!$L$2:$L$475)</f>
        <v>7.1999999999999995E-2</v>
      </c>
      <c r="O16" s="12">
        <f>SUMIF(Mercado_Receita!$S$2:$S$475,"44470B1BrancaResidencialResidencialNão se aplicaNão se aplicaFora ponta",Mercado_Receita!$L$2:$L$475)</f>
        <v>7.1999999999999995E-2</v>
      </c>
      <c r="P16" s="12">
        <f>SUMIF(Mercado_Receita!$S$2:$S$475,"44501B1BrancaResidencialResidencialNão se aplicaNão se aplicaFora ponta",Mercado_Receita!$L$2:$L$475)</f>
        <v>7.1999999999999995E-2</v>
      </c>
      <c r="Q16" s="12">
        <f>SUMIF(Mercado_Receita!$S$2:$S$475,"44531B1BrancaResidencialResidencialNão se aplicaNão se aplicaFora ponta",Mercado_Receita!$L$2:$L$475)</f>
        <v>7.1999999999999995E-2</v>
      </c>
      <c r="R16" s="12">
        <f>SUMIF(Mercado_Receita!$S$2:$S$475,"44562B1BrancaResidencialResidencialNão se aplicaNão se aplicaFora ponta",Mercado_Receita!$L$2:$L$475)</f>
        <v>7.1999999999999995E-2</v>
      </c>
      <c r="S16" s="12">
        <f>SUMIF(Mercado_Receita!$S$2:$S$475,"44593B1BrancaResidencialResidencialNão se aplicaNão se aplicaFora ponta",Mercado_Receita!$L$2:$L$475)</f>
        <v>7.1999999999999995E-2</v>
      </c>
      <c r="T16" s="12">
        <f>SUMIF(Mercado_Receita!$S$2:$S$475,"44621B1BrancaResidencialResidencialNão se aplicaNão se aplicaFora ponta",Mercado_Receita!$L$2:$L$475)</f>
        <v>0</v>
      </c>
      <c r="U16" s="12">
        <f t="shared" si="0"/>
        <v>0.71099999999999985</v>
      </c>
      <c r="V16" s="12"/>
      <c r="W16" s="12"/>
    </row>
    <row r="17" spans="1:23" ht="11.25" customHeight="1" x14ac:dyDescent="0.3">
      <c r="A17" s="106"/>
      <c r="B17" s="105" t="s">
        <v>23</v>
      </c>
      <c r="C17" s="105" t="s">
        <v>24</v>
      </c>
      <c r="D17" s="13" t="s">
        <v>24</v>
      </c>
      <c r="E17" s="13" t="s">
        <v>25</v>
      </c>
      <c r="F17" s="13" t="s">
        <v>25</v>
      </c>
      <c r="G17" s="12" t="s">
        <v>76</v>
      </c>
      <c r="H17" s="12" t="s">
        <v>72</v>
      </c>
      <c r="I17" s="12">
        <f>SUMIF(Mercado_Receita!$S$2:$S$475,"44287B1ConvencionalResidencialResidencialNão se aplicaNão se aplicaPonta",Mercado_Receita!$L$2:$L$475)+SUMIF(Mercado_Receita!$S$2:$S$475,"44287B1ConvencionalResidencialResidencialNão se aplicaNão se aplicaFora ponta",Mercado_Receita!$L$2:$L$475)+SUMIF(Mercado_Receita!$S$2:$S$475,"44287B1ConvencionalResidencialResidencialNão se aplicaNão se aplicaIntermediário",Mercado_Receita!$L$2:$L$475)+SUMIF(Mercado_Receita!$S$2:$S$475,"44287B1ConvencionalResidencialResidencialNão se aplicaNão se aplicaNão se aplica",Mercado_Receita!$L$2:$L$475)</f>
        <v>966.3309999999999</v>
      </c>
      <c r="J17" s="12">
        <f>SUMIF(Mercado_Receita!$S$2:$S$475,"44317B1ConvencionalResidencialResidencialNão se aplicaNão se aplicaPonta",Mercado_Receita!$L$2:$L$475)+SUMIF(Mercado_Receita!$S$2:$S$475,"44317B1ConvencionalResidencialResidencialNão se aplicaNão se aplicaFora ponta",Mercado_Receita!$L$2:$L$475)+SUMIF(Mercado_Receita!$S$2:$S$475,"44317B1ConvencionalResidencialResidencialNão se aplicaNão se aplicaIntermediário",Mercado_Receita!$L$2:$L$475)+SUMIF(Mercado_Receita!$S$2:$S$475,"44317B1ConvencionalResidencialResidencialNão se aplicaNão se aplicaNão se aplica",Mercado_Receita!$L$2:$L$475)</f>
        <v>750.7120000000001</v>
      </c>
      <c r="K17" s="12">
        <f>SUMIF(Mercado_Receita!$S$2:$S$475,"44348B1ConvencionalResidencialResidencialNão se aplicaNão se aplicaPonta",Mercado_Receita!$L$2:$L$475)+SUMIF(Mercado_Receita!$S$2:$S$475,"44348B1ConvencionalResidencialResidencialNão se aplicaNão se aplicaFora ponta",Mercado_Receita!$L$2:$L$475)+SUMIF(Mercado_Receita!$S$2:$S$475,"44348B1ConvencionalResidencialResidencialNão se aplicaNão se aplicaIntermediário",Mercado_Receita!$L$2:$L$475)+SUMIF(Mercado_Receita!$S$2:$S$475,"44348B1ConvencionalResidencialResidencialNão se aplicaNão se aplicaNão se aplica",Mercado_Receita!$L$2:$L$475)</f>
        <v>802.43500000000006</v>
      </c>
      <c r="L17" s="12">
        <f>SUMIF(Mercado_Receita!$S$2:$S$475,"44378B1ConvencionalResidencialResidencialNão se aplicaNão se aplicaPonta",Mercado_Receita!$L$2:$L$475)+SUMIF(Mercado_Receita!$S$2:$S$475,"44378B1ConvencionalResidencialResidencialNão se aplicaNão se aplicaFora ponta",Mercado_Receita!$L$2:$L$475)+SUMIF(Mercado_Receita!$S$2:$S$475,"44378B1ConvencionalResidencialResidencialNão se aplicaNão se aplicaIntermediário",Mercado_Receita!$L$2:$L$475)+SUMIF(Mercado_Receita!$S$2:$S$475,"44378B1ConvencionalResidencialResidencialNão se aplicaNão se aplicaNão se aplica",Mercado_Receita!$L$2:$L$475)</f>
        <v>682.10699999999997</v>
      </c>
      <c r="M17" s="12">
        <f>SUMIF(Mercado_Receita!$S$2:$S$475,"44409B1ConvencionalResidencialResidencialNão se aplicaNão se aplicaPonta",Mercado_Receita!$L$2:$L$475)+SUMIF(Mercado_Receita!$S$2:$S$475,"44409B1ConvencionalResidencialResidencialNão se aplicaNão se aplicaFora ponta",Mercado_Receita!$L$2:$L$475)+SUMIF(Mercado_Receita!$S$2:$S$475,"44409B1ConvencionalResidencialResidencialNão se aplicaNão se aplicaIntermediário",Mercado_Receita!$L$2:$L$475)+SUMIF(Mercado_Receita!$S$2:$S$475,"44409B1ConvencionalResidencialResidencialNão se aplicaNão se aplicaNão se aplica",Mercado_Receita!$L$2:$L$475)</f>
        <v>726.83800000000008</v>
      </c>
      <c r="N17" s="12">
        <f>SUMIF(Mercado_Receita!$S$2:$S$475,"44440B1ConvencionalResidencialResidencialNão se aplicaNão se aplicaPonta",Mercado_Receita!$L$2:$L$475)+SUMIF(Mercado_Receita!$S$2:$S$475,"44440B1ConvencionalResidencialResidencialNão se aplicaNão se aplicaFora ponta",Mercado_Receita!$L$2:$L$475)+SUMIF(Mercado_Receita!$S$2:$S$475,"44440B1ConvencionalResidencialResidencialNão se aplicaNão se aplicaIntermediário",Mercado_Receita!$L$2:$L$475)+SUMIF(Mercado_Receita!$S$2:$S$475,"44440B1ConvencionalResidencialResidencialNão se aplicaNão se aplicaNão se aplica",Mercado_Receita!$L$2:$L$475)</f>
        <v>751.00200000000007</v>
      </c>
      <c r="O17" s="12">
        <f>SUMIF(Mercado_Receita!$S$2:$S$475,"44470B1ConvencionalResidencialResidencialNão se aplicaNão se aplicaPonta",Mercado_Receita!$L$2:$L$475)+SUMIF(Mercado_Receita!$S$2:$S$475,"44470B1ConvencionalResidencialResidencialNão se aplicaNão se aplicaFora ponta",Mercado_Receita!$L$2:$L$475)+SUMIF(Mercado_Receita!$S$2:$S$475,"44470B1ConvencionalResidencialResidencialNão se aplicaNão se aplicaIntermediário",Mercado_Receita!$L$2:$L$475)+SUMIF(Mercado_Receita!$S$2:$S$475,"44470B1ConvencionalResidencialResidencialNão se aplicaNão se aplicaNão se aplica",Mercado_Receita!$L$2:$L$475)</f>
        <v>803.80799999999999</v>
      </c>
      <c r="P17" s="12">
        <f>SUMIF(Mercado_Receita!$S$2:$S$475,"44501B1ConvencionalResidencialResidencialNão se aplicaNão se aplicaPonta",Mercado_Receita!$L$2:$L$475)+SUMIF(Mercado_Receita!$S$2:$S$475,"44501B1ConvencionalResidencialResidencialNão se aplicaNão se aplicaFora ponta",Mercado_Receita!$L$2:$L$475)+SUMIF(Mercado_Receita!$S$2:$S$475,"44501B1ConvencionalResidencialResidencialNão se aplicaNão se aplicaIntermediário",Mercado_Receita!$L$2:$L$475)+SUMIF(Mercado_Receita!$S$2:$S$475,"44501B1ConvencionalResidencialResidencialNão se aplicaNão se aplicaNão se aplica",Mercado_Receita!$L$2:$L$475)</f>
        <v>752.51900000000001</v>
      </c>
      <c r="Q17" s="12">
        <f>SUMIF(Mercado_Receita!$S$2:$S$475,"44531B1ConvencionalResidencialResidencialNão se aplicaNão se aplicaPonta",Mercado_Receita!$L$2:$L$475)+SUMIF(Mercado_Receita!$S$2:$S$475,"44531B1ConvencionalResidencialResidencialNão se aplicaNão se aplicaFora ponta",Mercado_Receita!$L$2:$L$475)+SUMIF(Mercado_Receita!$S$2:$S$475,"44531B1ConvencionalResidencialResidencialNão se aplicaNão se aplicaIntermediário",Mercado_Receita!$L$2:$L$475)+SUMIF(Mercado_Receita!$S$2:$S$475,"44531B1ConvencionalResidencialResidencialNão se aplicaNão se aplicaNão se aplica",Mercado_Receita!$L$2:$L$475)</f>
        <v>813.21799999999996</v>
      </c>
      <c r="R17" s="12">
        <f>SUMIF(Mercado_Receita!$S$2:$S$475,"44562B1ConvencionalResidencialResidencialNão se aplicaNão se aplicaPonta",Mercado_Receita!$L$2:$L$475)+SUMIF(Mercado_Receita!$S$2:$S$475,"44562B1ConvencionalResidencialResidencialNão se aplicaNão se aplicaFora ponta",Mercado_Receita!$L$2:$L$475)+SUMIF(Mercado_Receita!$S$2:$S$475,"44562B1ConvencionalResidencialResidencialNão se aplicaNão se aplicaIntermediário",Mercado_Receita!$L$2:$L$475)+SUMIF(Mercado_Receita!$S$2:$S$475,"44562B1ConvencionalResidencialResidencialNão se aplicaNão se aplicaNão se aplica",Mercado_Receita!$L$2:$L$475)</f>
        <v>932.66300000000001</v>
      </c>
      <c r="S17" s="12">
        <f>SUMIF(Mercado_Receita!$S$2:$S$475,"44593B1ConvencionalResidencialResidencialNão se aplicaNão se aplicaPonta",Mercado_Receita!$L$2:$L$475)+SUMIF(Mercado_Receita!$S$2:$S$475,"44593B1ConvencionalResidencialResidencialNão se aplicaNão se aplicaFora ponta",Mercado_Receita!$L$2:$L$475)+SUMIF(Mercado_Receita!$S$2:$S$475,"44593B1ConvencionalResidencialResidencialNão se aplicaNão se aplicaIntermediário",Mercado_Receita!$L$2:$L$475)+SUMIF(Mercado_Receita!$S$2:$S$475,"44593B1ConvencionalResidencialResidencialNão se aplicaNão se aplicaNão se aplica",Mercado_Receita!$L$2:$L$475)</f>
        <v>955.67</v>
      </c>
      <c r="T17" s="12">
        <f>SUMIF(Mercado_Receita!$S$2:$S$475,"44621B1ConvencionalResidencialResidencialNão se aplicaNão se aplicaPonta",Mercado_Receita!$L$2:$L$475)+SUMIF(Mercado_Receita!$S$2:$S$475,"44621B1ConvencionalResidencialResidencialNão se aplicaNão se aplicaFora ponta",Mercado_Receita!$L$2:$L$475)+SUMIF(Mercado_Receita!$S$2:$S$475,"44621B1ConvencionalResidencialResidencialNão se aplicaNão se aplicaIntermediário",Mercado_Receita!$L$2:$L$475)+SUMIF(Mercado_Receita!$S$2:$S$475,"44621B1ConvencionalResidencialResidencialNão se aplicaNão se aplicaNão se aplica",Mercado_Receita!$L$2:$L$475)</f>
        <v>939.08800000000008</v>
      </c>
      <c r="U17" s="12">
        <f t="shared" si="0"/>
        <v>9876.3909999999996</v>
      </c>
      <c r="V17" s="12"/>
      <c r="W17" s="12"/>
    </row>
    <row r="18" spans="1:23" ht="11.25" customHeight="1" x14ac:dyDescent="0.3">
      <c r="A18" s="106"/>
      <c r="B18" s="106"/>
      <c r="C18" s="106"/>
      <c r="D18" s="13" t="s">
        <v>29</v>
      </c>
      <c r="E18" s="13" t="s">
        <v>25</v>
      </c>
      <c r="F18" s="13" t="s">
        <v>25</v>
      </c>
      <c r="G18" s="12" t="s">
        <v>76</v>
      </c>
      <c r="H18" s="12" t="s">
        <v>72</v>
      </c>
      <c r="I18" s="12">
        <f>SUMIF(Mercado_Receita!$S$2:$S$475,"44287B1ConvencionalResidencialResidencial baixa renda – faixa 01Não se aplicaNão se aplicaPonta",Mercado_Receita!$L$2:$L$475)+SUMIF(Mercado_Receita!$S$2:$S$475,"44287B1ConvencionalResidencialResidencial baixa renda – faixa 01Não se aplicaNão se aplicaFora ponta",Mercado_Receita!$L$2:$L$475)+SUMIF(Mercado_Receita!$S$2:$S$475,"44287B1ConvencionalResidencialResidencial baixa renda – faixa 01Não se aplicaNão se aplicaIntermediário",Mercado_Receita!$L$2:$L$475)+SUMIF(Mercado_Receita!$S$2:$S$475,"44287B1ConvencionalResidencialResidencial baixa renda – faixa 01Não se aplicaNão se aplicaNão se aplica",Mercado_Receita!$L$2:$L$475)</f>
        <v>1.95</v>
      </c>
      <c r="J18" s="12">
        <f>SUMIF(Mercado_Receita!$S$2:$S$475,"44317B1ConvencionalResidencialResidencial baixa renda – faixa 01Não se aplicaNão se aplicaPonta",Mercado_Receita!$L$2:$L$475)+SUMIF(Mercado_Receita!$S$2:$S$475,"44317B1ConvencionalResidencialResidencial baixa renda – faixa 01Não se aplicaNão se aplicaFora ponta",Mercado_Receita!$L$2:$L$475)+SUMIF(Mercado_Receita!$S$2:$S$475,"44317B1ConvencionalResidencialResidencial baixa renda – faixa 01Não se aplicaNão se aplicaIntermediário",Mercado_Receita!$L$2:$L$475)+SUMIF(Mercado_Receita!$S$2:$S$475,"44317B1ConvencionalResidencialResidencial baixa renda – faixa 01Não se aplicaNão se aplicaNão se aplica",Mercado_Receita!$L$2:$L$475)</f>
        <v>2.13</v>
      </c>
      <c r="K18" s="12">
        <f>SUMIF(Mercado_Receita!$S$2:$S$475,"44348B1ConvencionalResidencialResidencial baixa renda – faixa 01Não se aplicaNão se aplicaPonta",Mercado_Receita!$L$2:$L$475)+SUMIF(Mercado_Receita!$S$2:$S$475,"44348B1ConvencionalResidencialResidencial baixa renda – faixa 01Não se aplicaNão se aplicaFora ponta",Mercado_Receita!$L$2:$L$475)+SUMIF(Mercado_Receita!$S$2:$S$475,"44348B1ConvencionalResidencialResidencial baixa renda – faixa 01Não se aplicaNão se aplicaIntermediário",Mercado_Receita!$L$2:$L$475)+SUMIF(Mercado_Receita!$S$2:$S$475,"44348B1ConvencionalResidencialResidencial baixa renda – faixa 01Não se aplicaNão se aplicaNão se aplica",Mercado_Receita!$L$2:$L$475)</f>
        <v>2.2200000000000002</v>
      </c>
      <c r="L18" s="12">
        <f>SUMIF(Mercado_Receita!$S$2:$S$475,"44378B1ConvencionalResidencialResidencial baixa renda – faixa 01Não se aplicaNão se aplicaPonta",Mercado_Receita!$L$2:$L$475)+SUMIF(Mercado_Receita!$S$2:$S$475,"44378B1ConvencionalResidencialResidencial baixa renda – faixa 01Não se aplicaNão se aplicaFora ponta",Mercado_Receita!$L$2:$L$475)+SUMIF(Mercado_Receita!$S$2:$S$475,"44378B1ConvencionalResidencialResidencial baixa renda – faixa 01Não se aplicaNão se aplicaIntermediário",Mercado_Receita!$L$2:$L$475)+SUMIF(Mercado_Receita!$S$2:$S$475,"44378B1ConvencionalResidencialResidencial baixa renda – faixa 01Não se aplicaNão se aplicaNão se aplica",Mercado_Receita!$L$2:$L$475)</f>
        <v>2.2799999999999998</v>
      </c>
      <c r="M18" s="12">
        <f>SUMIF(Mercado_Receita!$S$2:$S$475,"44409B1ConvencionalResidencialResidencial baixa renda – faixa 01Não se aplicaNão se aplicaPonta",Mercado_Receita!$L$2:$L$475)+SUMIF(Mercado_Receita!$S$2:$S$475,"44409B1ConvencionalResidencialResidencial baixa renda – faixa 01Não se aplicaNão se aplicaFora ponta",Mercado_Receita!$L$2:$L$475)+SUMIF(Mercado_Receita!$S$2:$S$475,"44409B1ConvencionalResidencialResidencial baixa renda – faixa 01Não se aplicaNão se aplicaIntermediário",Mercado_Receita!$L$2:$L$475)+SUMIF(Mercado_Receita!$S$2:$S$475,"44409B1ConvencionalResidencialResidencial baixa renda – faixa 01Não se aplicaNão se aplicaNão se aplica",Mercado_Receita!$L$2:$L$475)</f>
        <v>2.31</v>
      </c>
      <c r="N18" s="12">
        <f>SUMIF(Mercado_Receita!$S$2:$S$475,"44440B1ConvencionalResidencialResidencial baixa renda – faixa 01Não se aplicaNão se aplicaPonta",Mercado_Receita!$L$2:$L$475)+SUMIF(Mercado_Receita!$S$2:$S$475,"44440B1ConvencionalResidencialResidencial baixa renda – faixa 01Não se aplicaNão se aplicaFora ponta",Mercado_Receita!$L$2:$L$475)+SUMIF(Mercado_Receita!$S$2:$S$475,"44440B1ConvencionalResidencialResidencial baixa renda – faixa 01Não se aplicaNão se aplicaIntermediário",Mercado_Receita!$L$2:$L$475)+SUMIF(Mercado_Receita!$S$2:$S$475,"44440B1ConvencionalResidencialResidencial baixa renda – faixa 01Não se aplicaNão se aplicaNão se aplica",Mercado_Receita!$L$2:$L$475)</f>
        <v>2.34</v>
      </c>
      <c r="O18" s="12">
        <f>SUMIF(Mercado_Receita!$S$2:$S$475,"44470B1ConvencionalResidencialResidencial baixa renda – faixa 01Não se aplicaNão se aplicaPonta",Mercado_Receita!$L$2:$L$475)+SUMIF(Mercado_Receita!$S$2:$S$475,"44470B1ConvencionalResidencialResidencial baixa renda – faixa 01Não se aplicaNão se aplicaFora ponta",Mercado_Receita!$L$2:$L$475)+SUMIF(Mercado_Receita!$S$2:$S$475,"44470B1ConvencionalResidencialResidencial baixa renda – faixa 01Não se aplicaNão se aplicaIntermediário",Mercado_Receita!$L$2:$L$475)+SUMIF(Mercado_Receita!$S$2:$S$475,"44470B1ConvencionalResidencialResidencial baixa renda – faixa 01Não se aplicaNão se aplicaNão se aplica",Mercado_Receita!$L$2:$L$475)</f>
        <v>2.4300000000000002</v>
      </c>
      <c r="P18" s="12">
        <f>SUMIF(Mercado_Receita!$S$2:$S$475,"44501B1ConvencionalResidencialResidencial baixa renda – faixa 01Não se aplicaNão se aplicaPonta",Mercado_Receita!$L$2:$L$475)+SUMIF(Mercado_Receita!$S$2:$S$475,"44501B1ConvencionalResidencialResidencial baixa renda – faixa 01Não se aplicaNão se aplicaFora ponta",Mercado_Receita!$L$2:$L$475)+SUMIF(Mercado_Receita!$S$2:$S$475,"44501B1ConvencionalResidencialResidencial baixa renda – faixa 01Não se aplicaNão se aplicaIntermediário",Mercado_Receita!$L$2:$L$475)+SUMIF(Mercado_Receita!$S$2:$S$475,"44501B1ConvencionalResidencialResidencial baixa renda – faixa 01Não se aplicaNão se aplicaNão se aplica",Mercado_Receita!$L$2:$L$475)</f>
        <v>2.64</v>
      </c>
      <c r="Q18" s="12">
        <f>SUMIF(Mercado_Receita!$S$2:$S$475,"44531B1ConvencionalResidencialResidencial baixa renda – faixa 01Não se aplicaNão se aplicaPonta",Mercado_Receita!$L$2:$L$475)+SUMIF(Mercado_Receita!$S$2:$S$475,"44531B1ConvencionalResidencialResidencial baixa renda – faixa 01Não se aplicaNão se aplicaFora ponta",Mercado_Receita!$L$2:$L$475)+SUMIF(Mercado_Receita!$S$2:$S$475,"44531B1ConvencionalResidencialResidencial baixa renda – faixa 01Não se aplicaNão se aplicaIntermediário",Mercado_Receita!$L$2:$L$475)+SUMIF(Mercado_Receita!$S$2:$S$475,"44531B1ConvencionalResidencialResidencial baixa renda – faixa 01Não se aplicaNão se aplicaNão se aplica",Mercado_Receita!$L$2:$L$475)</f>
        <v>2.73</v>
      </c>
      <c r="R18" s="12">
        <f>SUMIF(Mercado_Receita!$S$2:$S$475,"44562B1ConvencionalResidencialResidencial baixa renda – faixa 01Não se aplicaNão se aplicaPonta",Mercado_Receita!$L$2:$L$475)+SUMIF(Mercado_Receita!$S$2:$S$475,"44562B1ConvencionalResidencialResidencial baixa renda – faixa 01Não se aplicaNão se aplicaFora ponta",Mercado_Receita!$L$2:$L$475)+SUMIF(Mercado_Receita!$S$2:$S$475,"44562B1ConvencionalResidencialResidencial baixa renda – faixa 01Não se aplicaNão se aplicaIntermediário",Mercado_Receita!$L$2:$L$475)+SUMIF(Mercado_Receita!$S$2:$S$475,"44562B1ConvencionalResidencialResidencial baixa renda – faixa 01Não se aplicaNão se aplicaNão se aplica",Mercado_Receita!$L$2:$L$475)</f>
        <v>2.73</v>
      </c>
      <c r="S18" s="12">
        <f>SUMIF(Mercado_Receita!$S$2:$S$475,"44593B1ConvencionalResidencialResidencial baixa renda – faixa 01Não se aplicaNão se aplicaPonta",Mercado_Receita!$L$2:$L$475)+SUMIF(Mercado_Receita!$S$2:$S$475,"44593B1ConvencionalResidencialResidencial baixa renda – faixa 01Não se aplicaNão se aplicaFora ponta",Mercado_Receita!$L$2:$L$475)+SUMIF(Mercado_Receita!$S$2:$S$475,"44593B1ConvencionalResidencialResidencial baixa renda – faixa 01Não se aplicaNão se aplicaIntermediário",Mercado_Receita!$L$2:$L$475)+SUMIF(Mercado_Receita!$S$2:$S$475,"44593B1ConvencionalResidencialResidencial baixa renda – faixa 01Não se aplicaNão se aplicaNão se aplica",Mercado_Receita!$L$2:$L$475)</f>
        <v>3.15</v>
      </c>
      <c r="T18" s="12">
        <f>SUMIF(Mercado_Receita!$S$2:$S$475,"44621B1ConvencionalResidencialResidencial baixa renda – faixa 01Não se aplicaNão se aplicaPonta",Mercado_Receita!$L$2:$L$475)+SUMIF(Mercado_Receita!$S$2:$S$475,"44621B1ConvencionalResidencialResidencial baixa renda – faixa 01Não se aplicaNão se aplicaFora ponta",Mercado_Receita!$L$2:$L$475)+SUMIF(Mercado_Receita!$S$2:$S$475,"44621B1ConvencionalResidencialResidencial baixa renda – faixa 01Não se aplicaNão se aplicaIntermediário",Mercado_Receita!$L$2:$L$475)+SUMIF(Mercado_Receita!$S$2:$S$475,"44621B1ConvencionalResidencialResidencial baixa renda – faixa 01Não se aplicaNão se aplicaNão se aplica",Mercado_Receita!$L$2:$L$475)</f>
        <v>11.67</v>
      </c>
      <c r="U18" s="12">
        <f t="shared" si="0"/>
        <v>38.58</v>
      </c>
      <c r="V18" s="12"/>
      <c r="W18" s="12"/>
    </row>
    <row r="19" spans="1:23" ht="11.25" customHeight="1" x14ac:dyDescent="0.3">
      <c r="A19" s="106"/>
      <c r="B19" s="106"/>
      <c r="C19" s="106"/>
      <c r="D19" s="13" t="s">
        <v>30</v>
      </c>
      <c r="E19" s="13" t="s">
        <v>25</v>
      </c>
      <c r="F19" s="13" t="s">
        <v>25</v>
      </c>
      <c r="G19" s="12" t="s">
        <v>76</v>
      </c>
      <c r="H19" s="12" t="s">
        <v>72</v>
      </c>
      <c r="I19" s="12">
        <f>SUMIF(Mercado_Receita!$S$2:$S$475,"44287B1ConvencionalResidencialResidencial baixa renda – faixa 02Não se aplicaNão se aplicaPonta",Mercado_Receita!$L$2:$L$475)+SUMIF(Mercado_Receita!$S$2:$S$475,"44287B1ConvencionalResidencialResidencial baixa renda – faixa 02Não se aplicaNão se aplicaFora ponta",Mercado_Receita!$L$2:$L$475)+SUMIF(Mercado_Receita!$S$2:$S$475,"44287B1ConvencionalResidencialResidencial baixa renda – faixa 02Não se aplicaNão se aplicaIntermediário",Mercado_Receita!$L$2:$L$475)+SUMIF(Mercado_Receita!$S$2:$S$475,"44287B1ConvencionalResidencialResidencial baixa renda – faixa 02Não se aplicaNão se aplicaNão se aplica",Mercado_Receita!$L$2:$L$475)</f>
        <v>4.2549999999999999</v>
      </c>
      <c r="J19" s="12">
        <f>SUMIF(Mercado_Receita!$S$2:$S$475,"44317B1ConvencionalResidencialResidencial baixa renda – faixa 02Não se aplicaNão se aplicaPonta",Mercado_Receita!$L$2:$L$475)+SUMIF(Mercado_Receita!$S$2:$S$475,"44317B1ConvencionalResidencialResidencial baixa renda – faixa 02Não se aplicaNão se aplicaFora ponta",Mercado_Receita!$L$2:$L$475)+SUMIF(Mercado_Receita!$S$2:$S$475,"44317B1ConvencionalResidencialResidencial baixa renda – faixa 02Não se aplicaNão se aplicaIntermediário",Mercado_Receita!$L$2:$L$475)+SUMIF(Mercado_Receita!$S$2:$S$475,"44317B1ConvencionalResidencialResidencial baixa renda – faixa 02Não se aplicaNão se aplicaNão se aplica",Mercado_Receita!$L$2:$L$475)</f>
        <v>4.4409999999999998</v>
      </c>
      <c r="K19" s="12">
        <f>SUMIF(Mercado_Receita!$S$2:$S$475,"44348B1ConvencionalResidencialResidencial baixa renda – faixa 02Não se aplicaNão se aplicaPonta",Mercado_Receita!$L$2:$L$475)+SUMIF(Mercado_Receita!$S$2:$S$475,"44348B1ConvencionalResidencialResidencial baixa renda – faixa 02Não se aplicaNão se aplicaFora ponta",Mercado_Receita!$L$2:$L$475)+SUMIF(Mercado_Receita!$S$2:$S$475,"44348B1ConvencionalResidencialResidencial baixa renda – faixa 02Não se aplicaNão se aplicaIntermediário",Mercado_Receita!$L$2:$L$475)+SUMIF(Mercado_Receita!$S$2:$S$475,"44348B1ConvencionalResidencialResidencial baixa renda – faixa 02Não se aplicaNão se aplicaNão se aplica",Mercado_Receita!$L$2:$L$475)</f>
        <v>4.7050000000000001</v>
      </c>
      <c r="L19" s="12">
        <f>SUMIF(Mercado_Receita!$S$2:$S$475,"44378B1ConvencionalResidencialResidencial baixa renda – faixa 02Não se aplicaNão se aplicaPonta",Mercado_Receita!$L$2:$L$475)+SUMIF(Mercado_Receita!$S$2:$S$475,"44378B1ConvencionalResidencialResidencial baixa renda – faixa 02Não se aplicaNão se aplicaFora ponta",Mercado_Receita!$L$2:$L$475)+SUMIF(Mercado_Receita!$S$2:$S$475,"44378B1ConvencionalResidencialResidencial baixa renda – faixa 02Não se aplicaNão se aplicaIntermediário",Mercado_Receita!$L$2:$L$475)+SUMIF(Mercado_Receita!$S$2:$S$475,"44378B1ConvencionalResidencialResidencial baixa renda – faixa 02Não se aplicaNão se aplicaNão se aplica",Mercado_Receita!$L$2:$L$475)</f>
        <v>4.46</v>
      </c>
      <c r="M19" s="12">
        <f>SUMIF(Mercado_Receita!$S$2:$S$475,"44409B1ConvencionalResidencialResidencial baixa renda – faixa 02Não se aplicaNão se aplicaPonta",Mercado_Receita!$L$2:$L$475)+SUMIF(Mercado_Receita!$S$2:$S$475,"44409B1ConvencionalResidencialResidencial baixa renda – faixa 02Não se aplicaNão se aplicaFora ponta",Mercado_Receita!$L$2:$L$475)+SUMIF(Mercado_Receita!$S$2:$S$475,"44409B1ConvencionalResidencialResidencial baixa renda – faixa 02Não se aplicaNão se aplicaIntermediário",Mercado_Receita!$L$2:$L$475)+SUMIF(Mercado_Receita!$S$2:$S$475,"44409B1ConvencionalResidencialResidencial baixa renda – faixa 02Não se aplicaNão se aplicaNão se aplica",Mercado_Receita!$L$2:$L$475)</f>
        <v>4.375</v>
      </c>
      <c r="N19" s="12">
        <f>SUMIF(Mercado_Receita!$S$2:$S$475,"44440B1ConvencionalResidencialResidencial baixa renda – faixa 02Não se aplicaNão se aplicaPonta",Mercado_Receita!$L$2:$L$475)+SUMIF(Mercado_Receita!$S$2:$S$475,"44440B1ConvencionalResidencialResidencial baixa renda – faixa 02Não se aplicaNão se aplicaFora ponta",Mercado_Receita!$L$2:$L$475)+SUMIF(Mercado_Receita!$S$2:$S$475,"44440B1ConvencionalResidencialResidencial baixa renda – faixa 02Não se aplicaNão se aplicaIntermediário",Mercado_Receita!$L$2:$L$475)+SUMIF(Mercado_Receita!$S$2:$S$475,"44440B1ConvencionalResidencialResidencial baixa renda – faixa 02Não se aplicaNão se aplicaNão se aplica",Mercado_Receita!$L$2:$L$475)</f>
        <v>4.665</v>
      </c>
      <c r="O19" s="12">
        <f>SUMIF(Mercado_Receita!$S$2:$S$475,"44470B1ConvencionalResidencialResidencial baixa renda – faixa 02Não se aplicaNão se aplicaPonta",Mercado_Receita!$L$2:$L$475)+SUMIF(Mercado_Receita!$S$2:$S$475,"44470B1ConvencionalResidencialResidencial baixa renda – faixa 02Não se aplicaNão se aplicaFora ponta",Mercado_Receita!$L$2:$L$475)+SUMIF(Mercado_Receita!$S$2:$S$475,"44470B1ConvencionalResidencialResidencial baixa renda – faixa 02Não se aplicaNão se aplicaIntermediário",Mercado_Receita!$L$2:$L$475)+SUMIF(Mercado_Receita!$S$2:$S$475,"44470B1ConvencionalResidencialResidencial baixa renda – faixa 02Não se aplicaNão se aplicaNão se aplica",Mercado_Receita!$L$2:$L$475)</f>
        <v>4.9409999999999998</v>
      </c>
      <c r="P19" s="12">
        <f>SUMIF(Mercado_Receita!$S$2:$S$475,"44501B1ConvencionalResidencialResidencial baixa renda – faixa 02Não se aplicaNão se aplicaPonta",Mercado_Receita!$L$2:$L$475)+SUMIF(Mercado_Receita!$S$2:$S$475,"44501B1ConvencionalResidencialResidencial baixa renda – faixa 02Não se aplicaNão se aplicaFora ponta",Mercado_Receita!$L$2:$L$475)+SUMIF(Mercado_Receita!$S$2:$S$475,"44501B1ConvencionalResidencialResidencial baixa renda – faixa 02Não se aplicaNão se aplicaIntermediário",Mercado_Receita!$L$2:$L$475)+SUMIF(Mercado_Receita!$S$2:$S$475,"44501B1ConvencionalResidencialResidencial baixa renda – faixa 02Não se aplicaNão se aplicaNão se aplica",Mercado_Receita!$L$2:$L$475)</f>
        <v>5.03</v>
      </c>
      <c r="Q19" s="12">
        <f>SUMIF(Mercado_Receita!$S$2:$S$475,"44531B1ConvencionalResidencialResidencial baixa renda – faixa 02Não se aplicaNão se aplicaPonta",Mercado_Receita!$L$2:$L$475)+SUMIF(Mercado_Receita!$S$2:$S$475,"44531B1ConvencionalResidencialResidencial baixa renda – faixa 02Não se aplicaNão se aplicaFora ponta",Mercado_Receita!$L$2:$L$475)+SUMIF(Mercado_Receita!$S$2:$S$475,"44531B1ConvencionalResidencialResidencial baixa renda – faixa 02Não se aplicaNão se aplicaIntermediário",Mercado_Receita!$L$2:$L$475)+SUMIF(Mercado_Receita!$S$2:$S$475,"44531B1ConvencionalResidencialResidencial baixa renda – faixa 02Não se aplicaNão se aplicaNão se aplica",Mercado_Receita!$L$2:$L$475)</f>
        <v>5.51</v>
      </c>
      <c r="R19" s="12">
        <f>SUMIF(Mercado_Receita!$S$2:$S$475,"44562B1ConvencionalResidencialResidencial baixa renda – faixa 02Não se aplicaNão se aplicaPonta",Mercado_Receita!$L$2:$L$475)+SUMIF(Mercado_Receita!$S$2:$S$475,"44562B1ConvencionalResidencialResidencial baixa renda – faixa 02Não se aplicaNão se aplicaFora ponta",Mercado_Receita!$L$2:$L$475)+SUMIF(Mercado_Receita!$S$2:$S$475,"44562B1ConvencionalResidencialResidencial baixa renda – faixa 02Não se aplicaNão se aplicaIntermediário",Mercado_Receita!$L$2:$L$475)+SUMIF(Mercado_Receita!$S$2:$S$475,"44562B1ConvencionalResidencialResidencial baixa renda – faixa 02Não se aplicaNão se aplicaNão se aplica",Mercado_Receita!$L$2:$L$475)</f>
        <v>5.641</v>
      </c>
      <c r="S19" s="12">
        <f>SUMIF(Mercado_Receita!$S$2:$S$475,"44593B1ConvencionalResidencialResidencial baixa renda – faixa 02Não se aplicaNão se aplicaPonta",Mercado_Receita!$L$2:$L$475)+SUMIF(Mercado_Receita!$S$2:$S$475,"44593B1ConvencionalResidencialResidencial baixa renda – faixa 02Não se aplicaNão se aplicaFora ponta",Mercado_Receita!$L$2:$L$475)+SUMIF(Mercado_Receita!$S$2:$S$475,"44593B1ConvencionalResidencialResidencial baixa renda – faixa 02Não se aplicaNão se aplicaIntermediário",Mercado_Receita!$L$2:$L$475)+SUMIF(Mercado_Receita!$S$2:$S$475,"44593B1ConvencionalResidencialResidencial baixa renda – faixa 02Não se aplicaNão se aplicaNão se aplica",Mercado_Receita!$L$2:$L$475)</f>
        <v>6.7670000000000003</v>
      </c>
      <c r="T19" s="12">
        <f>SUMIF(Mercado_Receita!$S$2:$S$475,"44621B1ConvencionalResidencialResidencial baixa renda – faixa 02Não se aplicaNão se aplicaPonta",Mercado_Receita!$L$2:$L$475)+SUMIF(Mercado_Receita!$S$2:$S$475,"44621B1ConvencionalResidencialResidencial baixa renda – faixa 02Não se aplicaNão se aplicaFora ponta",Mercado_Receita!$L$2:$L$475)+SUMIF(Mercado_Receita!$S$2:$S$475,"44621B1ConvencionalResidencialResidencial baixa renda – faixa 02Não se aplicaNão se aplicaIntermediário",Mercado_Receita!$L$2:$L$475)+SUMIF(Mercado_Receita!$S$2:$S$475,"44621B1ConvencionalResidencialResidencial baixa renda – faixa 02Não se aplicaNão se aplicaNão se aplica",Mercado_Receita!$L$2:$L$475)</f>
        <v>22.331</v>
      </c>
      <c r="U19" s="12">
        <f t="shared" si="0"/>
        <v>77.120999999999995</v>
      </c>
      <c r="V19" s="12"/>
      <c r="W19" s="12"/>
    </row>
    <row r="20" spans="1:23" ht="11.25" customHeight="1" x14ac:dyDescent="0.3">
      <c r="A20" s="106"/>
      <c r="B20" s="106"/>
      <c r="C20" s="106"/>
      <c r="D20" s="13" t="s">
        <v>31</v>
      </c>
      <c r="E20" s="13" t="s">
        <v>25</v>
      </c>
      <c r="F20" s="13" t="s">
        <v>25</v>
      </c>
      <c r="G20" s="12" t="s">
        <v>76</v>
      </c>
      <c r="H20" s="12" t="s">
        <v>72</v>
      </c>
      <c r="I20" s="12">
        <f>SUMIF(Mercado_Receita!$S$2:$S$475,"44287B1ConvencionalResidencialResidencial baixa renda – faixa 03Não se aplicaNão se aplicaPonta",Mercado_Receita!$L$2:$L$475)+SUMIF(Mercado_Receita!$S$2:$S$475,"44287B1ConvencionalResidencialResidencial baixa renda – faixa 03Não se aplicaNão se aplicaFora ponta",Mercado_Receita!$L$2:$L$475)+SUMIF(Mercado_Receita!$S$2:$S$475,"44287B1ConvencionalResidencialResidencial baixa renda – faixa 03Não se aplicaNão se aplicaIntermediário",Mercado_Receita!$L$2:$L$475)+SUMIF(Mercado_Receita!$S$2:$S$475,"44287B1ConvencionalResidencialResidencial baixa renda – faixa 03Não se aplicaNão se aplicaNão se aplica",Mercado_Receita!$L$2:$L$475)</f>
        <v>4.0590000000000002</v>
      </c>
      <c r="J20" s="12">
        <f>SUMIF(Mercado_Receita!$S$2:$S$475,"44317B1ConvencionalResidencialResidencial baixa renda – faixa 03Não se aplicaNão se aplicaPonta",Mercado_Receita!$L$2:$L$475)+SUMIF(Mercado_Receita!$S$2:$S$475,"44317B1ConvencionalResidencialResidencial baixa renda – faixa 03Não se aplicaNão se aplicaFora ponta",Mercado_Receita!$L$2:$L$475)+SUMIF(Mercado_Receita!$S$2:$S$475,"44317B1ConvencionalResidencialResidencial baixa renda – faixa 03Não se aplicaNão se aplicaIntermediário",Mercado_Receita!$L$2:$L$475)+SUMIF(Mercado_Receita!$S$2:$S$475,"44317B1ConvencionalResidencialResidencial baixa renda – faixa 03Não se aplicaNão se aplicaNão se aplica",Mercado_Receita!$L$2:$L$475)</f>
        <v>2.5710000000000002</v>
      </c>
      <c r="K20" s="12">
        <f>SUMIF(Mercado_Receita!$S$2:$S$475,"44348B1ConvencionalResidencialResidencial baixa renda – faixa 03Não se aplicaNão se aplicaPonta",Mercado_Receita!$L$2:$L$475)+SUMIF(Mercado_Receita!$S$2:$S$475,"44348B1ConvencionalResidencialResidencial baixa renda – faixa 03Não se aplicaNão se aplicaFora ponta",Mercado_Receita!$L$2:$L$475)+SUMIF(Mercado_Receita!$S$2:$S$475,"44348B1ConvencionalResidencialResidencial baixa renda – faixa 03Não se aplicaNão se aplicaIntermediário",Mercado_Receita!$L$2:$L$475)+SUMIF(Mercado_Receita!$S$2:$S$475,"44348B1ConvencionalResidencialResidencial baixa renda – faixa 03Não se aplicaNão se aplicaNão se aplica",Mercado_Receita!$L$2:$L$475)</f>
        <v>3.3809999999999998</v>
      </c>
      <c r="L20" s="12">
        <f>SUMIF(Mercado_Receita!$S$2:$S$475,"44378B1ConvencionalResidencialResidencial baixa renda – faixa 03Não se aplicaNão se aplicaPonta",Mercado_Receita!$L$2:$L$475)+SUMIF(Mercado_Receita!$S$2:$S$475,"44378B1ConvencionalResidencialResidencial baixa renda – faixa 03Não se aplicaNão se aplicaFora ponta",Mercado_Receita!$L$2:$L$475)+SUMIF(Mercado_Receita!$S$2:$S$475,"44378B1ConvencionalResidencialResidencial baixa renda – faixa 03Não se aplicaNão se aplicaIntermediário",Mercado_Receita!$L$2:$L$475)+SUMIF(Mercado_Receita!$S$2:$S$475,"44378B1ConvencionalResidencialResidencial baixa renda – faixa 03Não se aplicaNão se aplicaNão se aplica",Mercado_Receita!$L$2:$L$475)</f>
        <v>1.5980000000000001</v>
      </c>
      <c r="M20" s="12">
        <f>SUMIF(Mercado_Receita!$S$2:$S$475,"44409B1ConvencionalResidencialResidencial baixa renda – faixa 03Não se aplicaNão se aplicaPonta",Mercado_Receita!$L$2:$L$475)+SUMIF(Mercado_Receita!$S$2:$S$475,"44409B1ConvencionalResidencialResidencial baixa renda – faixa 03Não se aplicaNão se aplicaFora ponta",Mercado_Receita!$L$2:$L$475)+SUMIF(Mercado_Receita!$S$2:$S$475,"44409B1ConvencionalResidencialResidencial baixa renda – faixa 03Não se aplicaNão se aplicaIntermediário",Mercado_Receita!$L$2:$L$475)+SUMIF(Mercado_Receita!$S$2:$S$475,"44409B1ConvencionalResidencialResidencial baixa renda – faixa 03Não se aplicaNão se aplicaNão se aplica",Mercado_Receita!$L$2:$L$475)</f>
        <v>1.5640000000000001</v>
      </c>
      <c r="N20" s="12">
        <f>SUMIF(Mercado_Receita!$S$2:$S$475,"44440B1ConvencionalResidencialResidencial baixa renda – faixa 03Não se aplicaNão se aplicaPonta",Mercado_Receita!$L$2:$L$475)+SUMIF(Mercado_Receita!$S$2:$S$475,"44440B1ConvencionalResidencialResidencial baixa renda – faixa 03Não se aplicaNão se aplicaFora ponta",Mercado_Receita!$L$2:$L$475)+SUMIF(Mercado_Receita!$S$2:$S$475,"44440B1ConvencionalResidencialResidencial baixa renda – faixa 03Não se aplicaNão se aplicaIntermediário",Mercado_Receita!$L$2:$L$475)+SUMIF(Mercado_Receita!$S$2:$S$475,"44440B1ConvencionalResidencialResidencial baixa renda – faixa 03Não se aplicaNão se aplicaNão se aplica",Mercado_Receita!$L$2:$L$475)</f>
        <v>2.6970000000000001</v>
      </c>
      <c r="O20" s="12">
        <f>SUMIF(Mercado_Receita!$S$2:$S$475,"44470B1ConvencionalResidencialResidencial baixa renda – faixa 03Não se aplicaNão se aplicaPonta",Mercado_Receita!$L$2:$L$475)+SUMIF(Mercado_Receita!$S$2:$S$475,"44470B1ConvencionalResidencialResidencial baixa renda – faixa 03Não se aplicaNão se aplicaFora ponta",Mercado_Receita!$L$2:$L$475)+SUMIF(Mercado_Receita!$S$2:$S$475,"44470B1ConvencionalResidencialResidencial baixa renda – faixa 03Não se aplicaNão se aplicaIntermediário",Mercado_Receita!$L$2:$L$475)+SUMIF(Mercado_Receita!$S$2:$S$475,"44470B1ConvencionalResidencialResidencial baixa renda – faixa 03Não se aplicaNão se aplicaNão se aplica",Mercado_Receita!$L$2:$L$475)</f>
        <v>2.8450000000000002</v>
      </c>
      <c r="P20" s="12">
        <f>SUMIF(Mercado_Receita!$S$2:$S$475,"44501B1ConvencionalResidencialResidencial baixa renda – faixa 03Não se aplicaNão se aplicaPonta",Mercado_Receita!$L$2:$L$475)+SUMIF(Mercado_Receita!$S$2:$S$475,"44501B1ConvencionalResidencialResidencial baixa renda – faixa 03Não se aplicaNão se aplicaFora ponta",Mercado_Receita!$L$2:$L$475)+SUMIF(Mercado_Receita!$S$2:$S$475,"44501B1ConvencionalResidencialResidencial baixa renda – faixa 03Não se aplicaNão se aplicaIntermediário",Mercado_Receita!$L$2:$L$475)+SUMIF(Mercado_Receita!$S$2:$S$475,"44501B1ConvencionalResidencialResidencial baixa renda – faixa 03Não se aplicaNão se aplicaNão se aplica",Mercado_Receita!$L$2:$L$475)</f>
        <v>2.488</v>
      </c>
      <c r="Q20" s="12">
        <f>SUMIF(Mercado_Receita!$S$2:$S$475,"44531B1ConvencionalResidencialResidencial baixa renda – faixa 03Não se aplicaNão se aplicaPonta",Mercado_Receita!$L$2:$L$475)+SUMIF(Mercado_Receita!$S$2:$S$475,"44531B1ConvencionalResidencialResidencial baixa renda – faixa 03Não se aplicaNão se aplicaFora ponta",Mercado_Receita!$L$2:$L$475)+SUMIF(Mercado_Receita!$S$2:$S$475,"44531B1ConvencionalResidencialResidencial baixa renda – faixa 03Não se aplicaNão se aplicaIntermediário",Mercado_Receita!$L$2:$L$475)+SUMIF(Mercado_Receita!$S$2:$S$475,"44531B1ConvencionalResidencialResidencial baixa renda – faixa 03Não se aplicaNão se aplicaNão se aplica",Mercado_Receita!$L$2:$L$475)</f>
        <v>3.766</v>
      </c>
      <c r="R20" s="12">
        <f>SUMIF(Mercado_Receita!$S$2:$S$475,"44562B1ConvencionalResidencialResidencial baixa renda – faixa 03Não se aplicaNão se aplicaPonta",Mercado_Receita!$L$2:$L$475)+SUMIF(Mercado_Receita!$S$2:$S$475,"44562B1ConvencionalResidencialResidencial baixa renda – faixa 03Não se aplicaNão se aplicaFora ponta",Mercado_Receita!$L$2:$L$475)+SUMIF(Mercado_Receita!$S$2:$S$475,"44562B1ConvencionalResidencialResidencial baixa renda – faixa 03Não se aplicaNão se aplicaIntermediário",Mercado_Receita!$L$2:$L$475)+SUMIF(Mercado_Receita!$S$2:$S$475,"44562B1ConvencionalResidencialResidencial baixa renda – faixa 03Não se aplicaNão se aplicaNão se aplica",Mercado_Receita!$L$2:$L$475)</f>
        <v>4.38</v>
      </c>
      <c r="S20" s="12">
        <f>SUMIF(Mercado_Receita!$S$2:$S$475,"44593B1ConvencionalResidencialResidencial baixa renda – faixa 03Não se aplicaNão se aplicaPonta",Mercado_Receita!$L$2:$L$475)+SUMIF(Mercado_Receita!$S$2:$S$475,"44593B1ConvencionalResidencialResidencial baixa renda – faixa 03Não se aplicaNão se aplicaFora ponta",Mercado_Receita!$L$2:$L$475)+SUMIF(Mercado_Receita!$S$2:$S$475,"44593B1ConvencionalResidencialResidencial baixa renda – faixa 03Não se aplicaNão se aplicaIntermediário",Mercado_Receita!$L$2:$L$475)+SUMIF(Mercado_Receita!$S$2:$S$475,"44593B1ConvencionalResidencialResidencial baixa renda – faixa 03Não se aplicaNão se aplicaNão se aplica",Mercado_Receita!$L$2:$L$475)</f>
        <v>6.0750000000000002</v>
      </c>
      <c r="T20" s="12">
        <f>SUMIF(Mercado_Receita!$S$2:$S$475,"44621B1ConvencionalResidencialResidencial baixa renda – faixa 03Não se aplicaNão se aplicaPonta",Mercado_Receita!$L$2:$L$475)+SUMIF(Mercado_Receita!$S$2:$S$475,"44621B1ConvencionalResidencialResidencial baixa renda – faixa 03Não se aplicaNão se aplicaFora ponta",Mercado_Receita!$L$2:$L$475)+SUMIF(Mercado_Receita!$S$2:$S$475,"44621B1ConvencionalResidencialResidencial baixa renda – faixa 03Não se aplicaNão se aplicaIntermediário",Mercado_Receita!$L$2:$L$475)+SUMIF(Mercado_Receita!$S$2:$S$475,"44621B1ConvencionalResidencialResidencial baixa renda – faixa 03Não se aplicaNão se aplicaNão se aplica",Mercado_Receita!$L$2:$L$475)</f>
        <v>19.045999999999999</v>
      </c>
      <c r="U20" s="12">
        <f t="shared" si="0"/>
        <v>54.47</v>
      </c>
      <c r="V20" s="12"/>
      <c r="W20" s="12"/>
    </row>
    <row r="21" spans="1:23" ht="11.25" customHeight="1" x14ac:dyDescent="0.3">
      <c r="A21" s="106"/>
      <c r="B21" s="106"/>
      <c r="C21" s="106"/>
      <c r="D21" s="13" t="s">
        <v>32</v>
      </c>
      <c r="E21" s="13" t="s">
        <v>25</v>
      </c>
      <c r="F21" s="13" t="s">
        <v>25</v>
      </c>
      <c r="G21" s="12" t="s">
        <v>76</v>
      </c>
      <c r="H21" s="12" t="s">
        <v>72</v>
      </c>
      <c r="I21" s="12">
        <f>SUMIF(Mercado_Receita!$S$2:$S$475,"44287B1ConvencionalResidencialResidencial baixa renda – faixa 04Não se aplicaNão se aplicaPonta",Mercado_Receita!$L$2:$L$475)+SUMIF(Mercado_Receita!$S$2:$S$475,"44287B1ConvencionalResidencialResidencial baixa renda – faixa 04Não se aplicaNão se aplicaFora ponta",Mercado_Receita!$L$2:$L$475)+SUMIF(Mercado_Receita!$S$2:$S$475,"44287B1ConvencionalResidencialResidencial baixa renda – faixa 04Não se aplicaNão se aplicaIntermediário",Mercado_Receita!$L$2:$L$475)+SUMIF(Mercado_Receita!$S$2:$S$475,"44287B1ConvencionalResidencialResidencial baixa renda – faixa 04Não se aplicaNão se aplicaNão se aplica",Mercado_Receita!$L$2:$L$475)</f>
        <v>0.97699999999999998</v>
      </c>
      <c r="J21" s="12">
        <f>SUMIF(Mercado_Receita!$S$2:$S$475,"44317B1ConvencionalResidencialResidencial baixa renda – faixa 04Não se aplicaNão se aplicaPonta",Mercado_Receita!$L$2:$L$475)+SUMIF(Mercado_Receita!$S$2:$S$475,"44317B1ConvencionalResidencialResidencial baixa renda – faixa 04Não se aplicaNão se aplicaFora ponta",Mercado_Receita!$L$2:$L$475)+SUMIF(Mercado_Receita!$S$2:$S$475,"44317B1ConvencionalResidencialResidencial baixa renda – faixa 04Não se aplicaNão se aplicaIntermediário",Mercado_Receita!$L$2:$L$475)+SUMIF(Mercado_Receita!$S$2:$S$475,"44317B1ConvencionalResidencialResidencial baixa renda – faixa 04Não se aplicaNão se aplicaNão se aplica",Mercado_Receita!$L$2:$L$475)</f>
        <v>0.21199999999999999</v>
      </c>
      <c r="K21" s="12">
        <f>SUMIF(Mercado_Receita!$S$2:$S$475,"44348B1ConvencionalResidencialResidencial baixa renda – faixa 04Não se aplicaNão se aplicaPonta",Mercado_Receita!$L$2:$L$475)+SUMIF(Mercado_Receita!$S$2:$S$475,"44348B1ConvencionalResidencialResidencial baixa renda – faixa 04Não se aplicaNão se aplicaFora ponta",Mercado_Receita!$L$2:$L$475)+SUMIF(Mercado_Receita!$S$2:$S$475,"44348B1ConvencionalResidencialResidencial baixa renda – faixa 04Não se aplicaNão se aplicaIntermediário",Mercado_Receita!$L$2:$L$475)+SUMIF(Mercado_Receita!$S$2:$S$475,"44348B1ConvencionalResidencialResidencial baixa renda – faixa 04Não se aplicaNão se aplicaNão se aplica",Mercado_Receita!$L$2:$L$475)</f>
        <v>0.38800000000000001</v>
      </c>
      <c r="L21" s="12">
        <f>SUMIF(Mercado_Receita!$S$2:$S$475,"44378B1ConvencionalResidencialResidencial baixa renda – faixa 04Não se aplicaNão se aplicaPonta",Mercado_Receita!$L$2:$L$475)+SUMIF(Mercado_Receita!$S$2:$S$475,"44378B1ConvencionalResidencialResidencial baixa renda – faixa 04Não se aplicaNão se aplicaFora ponta",Mercado_Receita!$L$2:$L$475)+SUMIF(Mercado_Receita!$S$2:$S$475,"44378B1ConvencionalResidencialResidencial baixa renda – faixa 04Não se aplicaNão se aplicaIntermediário",Mercado_Receita!$L$2:$L$475)+SUMIF(Mercado_Receita!$S$2:$S$475,"44378B1ConvencionalResidencialResidencial baixa renda – faixa 04Não se aplicaNão se aplicaNão se aplica",Mercado_Receita!$L$2:$L$475)</f>
        <v>0.18</v>
      </c>
      <c r="M21" s="12">
        <f>SUMIF(Mercado_Receita!$S$2:$S$475,"44409B1ConvencionalResidencialResidencial baixa renda – faixa 04Não se aplicaNão se aplicaPonta",Mercado_Receita!$L$2:$L$475)+SUMIF(Mercado_Receita!$S$2:$S$475,"44409B1ConvencionalResidencialResidencial baixa renda – faixa 04Não se aplicaNão se aplicaFora ponta",Mercado_Receita!$L$2:$L$475)+SUMIF(Mercado_Receita!$S$2:$S$475,"44409B1ConvencionalResidencialResidencial baixa renda – faixa 04Não se aplicaNão se aplicaIntermediário",Mercado_Receita!$L$2:$L$475)+SUMIF(Mercado_Receita!$S$2:$S$475,"44409B1ConvencionalResidencialResidencial baixa renda – faixa 04Não se aplicaNão se aplicaNão se aplica",Mercado_Receita!$L$2:$L$475)</f>
        <v>6.2E-2</v>
      </c>
      <c r="N21" s="12">
        <f>SUMIF(Mercado_Receita!$S$2:$S$475,"44440B1ConvencionalResidencialResidencial baixa renda – faixa 04Não se aplicaNão se aplicaPonta",Mercado_Receita!$L$2:$L$475)+SUMIF(Mercado_Receita!$S$2:$S$475,"44440B1ConvencionalResidencialResidencial baixa renda – faixa 04Não se aplicaNão se aplicaFora ponta",Mercado_Receita!$L$2:$L$475)+SUMIF(Mercado_Receita!$S$2:$S$475,"44440B1ConvencionalResidencialResidencial baixa renda – faixa 04Não se aplicaNão se aplicaIntermediário",Mercado_Receita!$L$2:$L$475)+SUMIF(Mercado_Receita!$S$2:$S$475,"44440B1ConvencionalResidencialResidencial baixa renda – faixa 04Não se aplicaNão se aplicaNão se aplica",Mercado_Receita!$L$2:$L$475)</f>
        <v>0.153</v>
      </c>
      <c r="O21" s="12">
        <f>SUMIF(Mercado_Receita!$S$2:$S$475,"44470B1ConvencionalResidencialResidencial baixa renda – faixa 04Não se aplicaNão se aplicaPonta",Mercado_Receita!$L$2:$L$475)+SUMIF(Mercado_Receita!$S$2:$S$475,"44470B1ConvencionalResidencialResidencial baixa renda – faixa 04Não se aplicaNão se aplicaFora ponta",Mercado_Receita!$L$2:$L$475)+SUMIF(Mercado_Receita!$S$2:$S$475,"44470B1ConvencionalResidencialResidencial baixa renda – faixa 04Não se aplicaNão se aplicaIntermediário",Mercado_Receita!$L$2:$L$475)+SUMIF(Mercado_Receita!$S$2:$S$475,"44470B1ConvencionalResidencialResidencial baixa renda – faixa 04Não se aplicaNão se aplicaNão se aplica",Mercado_Receita!$L$2:$L$475)</f>
        <v>0.43</v>
      </c>
      <c r="P21" s="12">
        <f>SUMIF(Mercado_Receita!$S$2:$S$475,"44501B1ConvencionalResidencialResidencial baixa renda – faixa 04Não se aplicaNão se aplicaPonta",Mercado_Receita!$L$2:$L$475)+SUMIF(Mercado_Receita!$S$2:$S$475,"44501B1ConvencionalResidencialResidencial baixa renda – faixa 04Não se aplicaNão se aplicaFora ponta",Mercado_Receita!$L$2:$L$475)+SUMIF(Mercado_Receita!$S$2:$S$475,"44501B1ConvencionalResidencialResidencial baixa renda – faixa 04Não se aplicaNão se aplicaIntermediário",Mercado_Receita!$L$2:$L$475)+SUMIF(Mercado_Receita!$S$2:$S$475,"44501B1ConvencionalResidencialResidencial baixa renda – faixa 04Não se aplicaNão se aplicaNão se aplica",Mercado_Receita!$L$2:$L$475)</f>
        <v>0.222</v>
      </c>
      <c r="Q21" s="12">
        <f>SUMIF(Mercado_Receita!$S$2:$S$475,"44531B1ConvencionalResidencialResidencial baixa renda – faixa 04Não se aplicaNão se aplicaPonta",Mercado_Receita!$L$2:$L$475)+SUMIF(Mercado_Receita!$S$2:$S$475,"44531B1ConvencionalResidencialResidencial baixa renda – faixa 04Não se aplicaNão se aplicaFora ponta",Mercado_Receita!$L$2:$L$475)+SUMIF(Mercado_Receita!$S$2:$S$475,"44531B1ConvencionalResidencialResidencial baixa renda – faixa 04Não se aplicaNão se aplicaIntermediário",Mercado_Receita!$L$2:$L$475)+SUMIF(Mercado_Receita!$S$2:$S$475,"44531B1ConvencionalResidencialResidencial baixa renda – faixa 04Não se aplicaNão se aplicaNão se aplica",Mercado_Receita!$L$2:$L$475)</f>
        <v>0.36599999999999999</v>
      </c>
      <c r="R21" s="12">
        <f>SUMIF(Mercado_Receita!$S$2:$S$475,"44562B1ConvencionalResidencialResidencial baixa renda – faixa 04Não se aplicaNão se aplicaPonta",Mercado_Receita!$L$2:$L$475)+SUMIF(Mercado_Receita!$S$2:$S$475,"44562B1ConvencionalResidencialResidencial baixa renda – faixa 04Não se aplicaNão se aplicaFora ponta",Mercado_Receita!$L$2:$L$475)+SUMIF(Mercado_Receita!$S$2:$S$475,"44562B1ConvencionalResidencialResidencial baixa renda – faixa 04Não se aplicaNão se aplicaIntermediário",Mercado_Receita!$L$2:$L$475)+SUMIF(Mercado_Receita!$S$2:$S$475,"44562B1ConvencionalResidencialResidencial baixa renda – faixa 04Não se aplicaNão se aplicaNão se aplica",Mercado_Receita!$L$2:$L$475)</f>
        <v>0.46</v>
      </c>
      <c r="S21" s="12">
        <f>SUMIF(Mercado_Receita!$S$2:$S$475,"44593B1ConvencionalResidencialResidencial baixa renda – faixa 04Não se aplicaNão se aplicaPonta",Mercado_Receita!$L$2:$L$475)+SUMIF(Mercado_Receita!$S$2:$S$475,"44593B1ConvencionalResidencialResidencial baixa renda – faixa 04Não se aplicaNão se aplicaFora ponta",Mercado_Receita!$L$2:$L$475)+SUMIF(Mercado_Receita!$S$2:$S$475,"44593B1ConvencionalResidencialResidencial baixa renda – faixa 04Não se aplicaNão se aplicaIntermediário",Mercado_Receita!$L$2:$L$475)+SUMIF(Mercado_Receita!$S$2:$S$475,"44593B1ConvencionalResidencialResidencial baixa renda – faixa 04Não se aplicaNão se aplicaNão se aplica",Mercado_Receita!$L$2:$L$475)</f>
        <v>1.0629999999999999</v>
      </c>
      <c r="T21" s="12">
        <f>SUMIF(Mercado_Receita!$S$2:$S$475,"44621B1ConvencionalResidencialResidencial baixa renda – faixa 04Não se aplicaNão se aplicaPonta",Mercado_Receita!$L$2:$L$475)+SUMIF(Mercado_Receita!$S$2:$S$475,"44621B1ConvencionalResidencialResidencial baixa renda – faixa 04Não se aplicaNão se aplicaFora ponta",Mercado_Receita!$L$2:$L$475)+SUMIF(Mercado_Receita!$S$2:$S$475,"44621B1ConvencionalResidencialResidencial baixa renda – faixa 04Não se aplicaNão se aplicaIntermediário",Mercado_Receita!$L$2:$L$475)+SUMIF(Mercado_Receita!$S$2:$S$475,"44621B1ConvencionalResidencialResidencial baixa renda – faixa 04Não se aplicaNão se aplicaNão se aplica",Mercado_Receita!$L$2:$L$475)</f>
        <v>4.6040000000000001</v>
      </c>
      <c r="U21" s="12">
        <f t="shared" si="0"/>
        <v>9.1170000000000009</v>
      </c>
      <c r="V21" s="12"/>
      <c r="W21" s="12"/>
    </row>
    <row r="22" spans="1:23" ht="11.25" customHeight="1" x14ac:dyDescent="0.3">
      <c r="A22" s="106"/>
      <c r="B22" s="105" t="s">
        <v>87</v>
      </c>
      <c r="C22" s="105" t="s">
        <v>24</v>
      </c>
      <c r="D22" s="13" t="s">
        <v>24</v>
      </c>
      <c r="E22" s="13" t="s">
        <v>25</v>
      </c>
      <c r="F22" s="13" t="s">
        <v>25</v>
      </c>
      <c r="G22" s="12" t="s">
        <v>76</v>
      </c>
      <c r="H22" s="12" t="s">
        <v>72</v>
      </c>
      <c r="I22" s="12">
        <f>SUMIF(Mercado_Receita!$S$2:$S$475,"44287B1Convencional pré-pagamentoResidencialResidencialNão se aplicaNão se aplicaPonta",Mercado_Receita!$L$2:$L$475)+SUMIF(Mercado_Receita!$S$2:$S$475,"44287B1Convencional pré-pagamentoResidencialResidencialNão se aplicaNão se aplicaFora ponta",Mercado_Receita!$L$2:$L$475)+SUMIF(Mercado_Receita!$S$2:$S$475,"44287B1Convencional pré-pagamentoResidencialResidencialNão se aplicaNão se aplicaIntermediário",Mercado_Receita!$L$2:$L$475)+SUMIF(Mercado_Receita!$S$2:$S$475,"44287B1Convencional pré-pagamentoResidencialResidencialNão se aplicaNão se aplicaNão se aplica",Mercado_Receita!$L$2:$L$475)</f>
        <v>0</v>
      </c>
      <c r="J22" s="12">
        <f>SUMIF(Mercado_Receita!$S$2:$S$475,"44317B1Convencional pré-pagamentoResidencialResidencialNão se aplicaNão se aplicaPonta",Mercado_Receita!$L$2:$L$475)+SUMIF(Mercado_Receita!$S$2:$S$475,"44317B1Convencional pré-pagamentoResidencialResidencialNão se aplicaNão se aplicaFora ponta",Mercado_Receita!$L$2:$L$475)+SUMIF(Mercado_Receita!$S$2:$S$475,"44317B1Convencional pré-pagamentoResidencialResidencialNão se aplicaNão se aplicaIntermediário",Mercado_Receita!$L$2:$L$475)+SUMIF(Mercado_Receita!$S$2:$S$475,"44317B1Convencional pré-pagamentoResidencialResidencialNão se aplicaNão se aplicaNão se aplica",Mercado_Receita!$L$2:$L$475)</f>
        <v>0</v>
      </c>
      <c r="K22" s="12">
        <f>SUMIF(Mercado_Receita!$S$2:$S$475,"44348B1Convencional pré-pagamentoResidencialResidencialNão se aplicaNão se aplicaPonta",Mercado_Receita!$L$2:$L$475)+SUMIF(Mercado_Receita!$S$2:$S$475,"44348B1Convencional pré-pagamentoResidencialResidencialNão se aplicaNão se aplicaFora ponta",Mercado_Receita!$L$2:$L$475)+SUMIF(Mercado_Receita!$S$2:$S$475,"44348B1Convencional pré-pagamentoResidencialResidencialNão se aplicaNão se aplicaIntermediário",Mercado_Receita!$L$2:$L$475)+SUMIF(Mercado_Receita!$S$2:$S$475,"44348B1Convencional pré-pagamentoResidencialResidencialNão se aplicaNão se aplicaNão se aplica",Mercado_Receita!$L$2:$L$475)</f>
        <v>0</v>
      </c>
      <c r="L22" s="12">
        <f>SUMIF(Mercado_Receita!$S$2:$S$475,"44378B1Convencional pré-pagamentoResidencialResidencialNão se aplicaNão se aplicaPonta",Mercado_Receita!$L$2:$L$475)+SUMIF(Mercado_Receita!$S$2:$S$475,"44378B1Convencional pré-pagamentoResidencialResidencialNão se aplicaNão se aplicaFora ponta",Mercado_Receita!$L$2:$L$475)+SUMIF(Mercado_Receita!$S$2:$S$475,"44378B1Convencional pré-pagamentoResidencialResidencialNão se aplicaNão se aplicaIntermediário",Mercado_Receita!$L$2:$L$475)+SUMIF(Mercado_Receita!$S$2:$S$475,"44378B1Convencional pré-pagamentoResidencialResidencialNão se aplicaNão se aplicaNão se aplica",Mercado_Receita!$L$2:$L$475)</f>
        <v>0</v>
      </c>
      <c r="M22" s="12">
        <f>SUMIF(Mercado_Receita!$S$2:$S$475,"44409B1Convencional pré-pagamentoResidencialResidencialNão se aplicaNão se aplicaPonta",Mercado_Receita!$L$2:$L$475)+SUMIF(Mercado_Receita!$S$2:$S$475,"44409B1Convencional pré-pagamentoResidencialResidencialNão se aplicaNão se aplicaFora ponta",Mercado_Receita!$L$2:$L$475)+SUMIF(Mercado_Receita!$S$2:$S$475,"44409B1Convencional pré-pagamentoResidencialResidencialNão se aplicaNão se aplicaIntermediário",Mercado_Receita!$L$2:$L$475)+SUMIF(Mercado_Receita!$S$2:$S$475,"44409B1Convencional pré-pagamentoResidencialResidencialNão se aplicaNão se aplicaNão se aplica",Mercado_Receita!$L$2:$L$475)</f>
        <v>0</v>
      </c>
      <c r="N22" s="12">
        <f>SUMIF(Mercado_Receita!$S$2:$S$475,"44440B1Convencional pré-pagamentoResidencialResidencialNão se aplicaNão se aplicaPonta",Mercado_Receita!$L$2:$L$475)+SUMIF(Mercado_Receita!$S$2:$S$475,"44440B1Convencional pré-pagamentoResidencialResidencialNão se aplicaNão se aplicaFora ponta",Mercado_Receita!$L$2:$L$475)+SUMIF(Mercado_Receita!$S$2:$S$475,"44440B1Convencional pré-pagamentoResidencialResidencialNão se aplicaNão se aplicaIntermediário",Mercado_Receita!$L$2:$L$475)+SUMIF(Mercado_Receita!$S$2:$S$475,"44440B1Convencional pré-pagamentoResidencialResidencialNão se aplicaNão se aplicaNão se aplica",Mercado_Receita!$L$2:$L$475)</f>
        <v>0</v>
      </c>
      <c r="O22" s="12">
        <f>SUMIF(Mercado_Receita!$S$2:$S$475,"44470B1Convencional pré-pagamentoResidencialResidencialNão se aplicaNão se aplicaPonta",Mercado_Receita!$L$2:$L$475)+SUMIF(Mercado_Receita!$S$2:$S$475,"44470B1Convencional pré-pagamentoResidencialResidencialNão se aplicaNão se aplicaFora ponta",Mercado_Receita!$L$2:$L$475)+SUMIF(Mercado_Receita!$S$2:$S$475,"44470B1Convencional pré-pagamentoResidencialResidencialNão se aplicaNão se aplicaIntermediário",Mercado_Receita!$L$2:$L$475)+SUMIF(Mercado_Receita!$S$2:$S$475,"44470B1Convencional pré-pagamentoResidencialResidencialNão se aplicaNão se aplicaNão se aplica",Mercado_Receita!$L$2:$L$475)</f>
        <v>0</v>
      </c>
      <c r="P22" s="12">
        <f>SUMIF(Mercado_Receita!$S$2:$S$475,"44501B1Convencional pré-pagamentoResidencialResidencialNão se aplicaNão se aplicaPonta",Mercado_Receita!$L$2:$L$475)+SUMIF(Mercado_Receita!$S$2:$S$475,"44501B1Convencional pré-pagamentoResidencialResidencialNão se aplicaNão se aplicaFora ponta",Mercado_Receita!$L$2:$L$475)+SUMIF(Mercado_Receita!$S$2:$S$475,"44501B1Convencional pré-pagamentoResidencialResidencialNão se aplicaNão se aplicaIntermediário",Mercado_Receita!$L$2:$L$475)+SUMIF(Mercado_Receita!$S$2:$S$475,"44501B1Convencional pré-pagamentoResidencialResidencialNão se aplicaNão se aplicaNão se aplica",Mercado_Receita!$L$2:$L$475)</f>
        <v>0</v>
      </c>
      <c r="Q22" s="12">
        <f>SUMIF(Mercado_Receita!$S$2:$S$475,"44531B1Convencional pré-pagamentoResidencialResidencialNão se aplicaNão se aplicaPonta",Mercado_Receita!$L$2:$L$475)+SUMIF(Mercado_Receita!$S$2:$S$475,"44531B1Convencional pré-pagamentoResidencialResidencialNão se aplicaNão se aplicaFora ponta",Mercado_Receita!$L$2:$L$475)+SUMIF(Mercado_Receita!$S$2:$S$475,"44531B1Convencional pré-pagamentoResidencialResidencialNão se aplicaNão se aplicaIntermediário",Mercado_Receita!$L$2:$L$475)+SUMIF(Mercado_Receita!$S$2:$S$475,"44531B1Convencional pré-pagamentoResidencialResidencialNão se aplicaNão se aplicaNão se aplica",Mercado_Receita!$L$2:$L$475)</f>
        <v>0</v>
      </c>
      <c r="R22" s="12">
        <f>SUMIF(Mercado_Receita!$S$2:$S$475,"44562B1Convencional pré-pagamentoResidencialResidencialNão se aplicaNão se aplicaPonta",Mercado_Receita!$L$2:$L$475)+SUMIF(Mercado_Receita!$S$2:$S$475,"44562B1Convencional pré-pagamentoResidencialResidencialNão se aplicaNão se aplicaFora ponta",Mercado_Receita!$L$2:$L$475)+SUMIF(Mercado_Receita!$S$2:$S$475,"44562B1Convencional pré-pagamentoResidencialResidencialNão se aplicaNão se aplicaIntermediário",Mercado_Receita!$L$2:$L$475)+SUMIF(Mercado_Receita!$S$2:$S$475,"44562B1Convencional pré-pagamentoResidencialResidencialNão se aplicaNão se aplicaNão se aplica",Mercado_Receita!$L$2:$L$475)</f>
        <v>0</v>
      </c>
      <c r="S22" s="12">
        <f>SUMIF(Mercado_Receita!$S$2:$S$475,"44593B1Convencional pré-pagamentoResidencialResidencialNão se aplicaNão se aplicaPonta",Mercado_Receita!$L$2:$L$475)+SUMIF(Mercado_Receita!$S$2:$S$475,"44593B1Convencional pré-pagamentoResidencialResidencialNão se aplicaNão se aplicaFora ponta",Mercado_Receita!$L$2:$L$475)+SUMIF(Mercado_Receita!$S$2:$S$475,"44593B1Convencional pré-pagamentoResidencialResidencialNão se aplicaNão se aplicaIntermediário",Mercado_Receita!$L$2:$L$475)+SUMIF(Mercado_Receita!$S$2:$S$475,"44593B1Convencional pré-pagamentoResidencialResidencialNão se aplicaNão se aplicaNão se aplica",Mercado_Receita!$L$2:$L$475)</f>
        <v>0</v>
      </c>
      <c r="T22" s="12">
        <f>SUMIF(Mercado_Receita!$S$2:$S$475,"44621B1Convencional pré-pagamentoResidencialResidencialNão se aplicaNão se aplicaPonta",Mercado_Receita!$L$2:$L$475)+SUMIF(Mercado_Receita!$S$2:$S$475,"44621B1Convencional pré-pagamentoResidencialResidencialNão se aplicaNão se aplicaFora ponta",Mercado_Receita!$L$2:$L$475)+SUMIF(Mercado_Receita!$S$2:$S$475,"44621B1Convencional pré-pagamentoResidencialResidencialNão se aplicaNão se aplicaIntermediário",Mercado_Receita!$L$2:$L$475)+SUMIF(Mercado_Receita!$S$2:$S$475,"44621B1Convencional pré-pagamentoResidencialResidencialNão se aplicaNão se aplicaNão se aplica",Mercado_Receita!$L$2:$L$475)</f>
        <v>0</v>
      </c>
      <c r="U22" s="12">
        <f t="shared" si="0"/>
        <v>0</v>
      </c>
      <c r="V22" s="12"/>
      <c r="W22" s="12"/>
    </row>
    <row r="23" spans="1:23" ht="11.25" customHeight="1" x14ac:dyDescent="0.3">
      <c r="A23" s="106"/>
      <c r="B23" s="106"/>
      <c r="C23" s="106"/>
      <c r="D23" s="13" t="s">
        <v>29</v>
      </c>
      <c r="E23" s="13" t="s">
        <v>25</v>
      </c>
      <c r="F23" s="13" t="s">
        <v>25</v>
      </c>
      <c r="G23" s="12" t="s">
        <v>76</v>
      </c>
      <c r="H23" s="12" t="s">
        <v>72</v>
      </c>
      <c r="I23" s="12">
        <f>SUMIF(Mercado_Receita!$S$2:$S$475,"44287B1Convencional pré-pagamentoResidencialResidencial baixa renda – faixa 01Não se aplicaNão se aplicaPonta",Mercado_Receita!$L$2:$L$475)+SUMIF(Mercado_Receita!$S$2:$S$475,"44287B1Convencional pré-pagamentoResidencialResidencial baixa renda – faixa 01Não se aplicaNão se aplicaFora ponta",Mercado_Receita!$L$2:$L$475)+SUMIF(Mercado_Receita!$S$2:$S$475,"44287B1Convencional pré-pagamentoResidencialResidencial baixa renda – faixa 01Não se aplicaNão se aplicaIntermediário",Mercado_Receita!$L$2:$L$475)+SUMIF(Mercado_Receita!$S$2:$S$475,"44287B1Convencional pré-pagamentoResidencialResidencial baixa renda – faixa 01Não se aplicaNão se aplicaNão se aplica",Mercado_Receita!$L$2:$L$475)</f>
        <v>0</v>
      </c>
      <c r="J23" s="12">
        <f>SUMIF(Mercado_Receita!$S$2:$S$475,"44317B1Convencional pré-pagamentoResidencialResidencial baixa renda – faixa 01Não se aplicaNão se aplicaPonta",Mercado_Receita!$L$2:$L$475)+SUMIF(Mercado_Receita!$S$2:$S$475,"44317B1Convencional pré-pagamentoResidencialResidencial baixa renda – faixa 01Não se aplicaNão se aplicaFora ponta",Mercado_Receita!$L$2:$L$475)+SUMIF(Mercado_Receita!$S$2:$S$475,"44317B1Convencional pré-pagamentoResidencialResidencial baixa renda – faixa 01Não se aplicaNão se aplicaIntermediário",Mercado_Receita!$L$2:$L$475)+SUMIF(Mercado_Receita!$S$2:$S$475,"44317B1Convencional pré-pagamentoResidencialResidencial baixa renda – faixa 01Não se aplicaNão se aplicaNão se aplica",Mercado_Receita!$L$2:$L$475)</f>
        <v>0</v>
      </c>
      <c r="K23" s="12">
        <f>SUMIF(Mercado_Receita!$S$2:$S$475,"44348B1Convencional pré-pagamentoResidencialResidencial baixa renda – faixa 01Não se aplicaNão se aplicaPonta",Mercado_Receita!$L$2:$L$475)+SUMIF(Mercado_Receita!$S$2:$S$475,"44348B1Convencional pré-pagamentoResidencialResidencial baixa renda – faixa 01Não se aplicaNão se aplicaFora ponta",Mercado_Receita!$L$2:$L$475)+SUMIF(Mercado_Receita!$S$2:$S$475,"44348B1Convencional pré-pagamentoResidencialResidencial baixa renda – faixa 01Não se aplicaNão se aplicaIntermediário",Mercado_Receita!$L$2:$L$475)+SUMIF(Mercado_Receita!$S$2:$S$475,"44348B1Convencional pré-pagamentoResidencialResidencial baixa renda – faixa 01Não se aplicaNão se aplicaNão se aplica",Mercado_Receita!$L$2:$L$475)</f>
        <v>0</v>
      </c>
      <c r="L23" s="12">
        <f>SUMIF(Mercado_Receita!$S$2:$S$475,"44378B1Convencional pré-pagamentoResidencialResidencial baixa renda – faixa 01Não se aplicaNão se aplicaPonta",Mercado_Receita!$L$2:$L$475)+SUMIF(Mercado_Receita!$S$2:$S$475,"44378B1Convencional pré-pagamentoResidencialResidencial baixa renda – faixa 01Não se aplicaNão se aplicaFora ponta",Mercado_Receita!$L$2:$L$475)+SUMIF(Mercado_Receita!$S$2:$S$475,"44378B1Convencional pré-pagamentoResidencialResidencial baixa renda – faixa 01Não se aplicaNão se aplicaIntermediário",Mercado_Receita!$L$2:$L$475)+SUMIF(Mercado_Receita!$S$2:$S$475,"44378B1Convencional pré-pagamentoResidencialResidencial baixa renda – faixa 01Não se aplicaNão se aplicaNão se aplica",Mercado_Receita!$L$2:$L$475)</f>
        <v>0</v>
      </c>
      <c r="M23" s="12">
        <f>SUMIF(Mercado_Receita!$S$2:$S$475,"44409B1Convencional pré-pagamentoResidencialResidencial baixa renda – faixa 01Não se aplicaNão se aplicaPonta",Mercado_Receita!$L$2:$L$475)+SUMIF(Mercado_Receita!$S$2:$S$475,"44409B1Convencional pré-pagamentoResidencialResidencial baixa renda – faixa 01Não se aplicaNão se aplicaFora ponta",Mercado_Receita!$L$2:$L$475)+SUMIF(Mercado_Receita!$S$2:$S$475,"44409B1Convencional pré-pagamentoResidencialResidencial baixa renda – faixa 01Não se aplicaNão se aplicaIntermediário",Mercado_Receita!$L$2:$L$475)+SUMIF(Mercado_Receita!$S$2:$S$475,"44409B1Convencional pré-pagamentoResidencialResidencial baixa renda – faixa 01Não se aplicaNão se aplicaNão se aplica",Mercado_Receita!$L$2:$L$475)</f>
        <v>0</v>
      </c>
      <c r="N23" s="12">
        <f>SUMIF(Mercado_Receita!$S$2:$S$475,"44440B1Convencional pré-pagamentoResidencialResidencial baixa renda – faixa 01Não se aplicaNão se aplicaPonta",Mercado_Receita!$L$2:$L$475)+SUMIF(Mercado_Receita!$S$2:$S$475,"44440B1Convencional pré-pagamentoResidencialResidencial baixa renda – faixa 01Não se aplicaNão se aplicaFora ponta",Mercado_Receita!$L$2:$L$475)+SUMIF(Mercado_Receita!$S$2:$S$475,"44440B1Convencional pré-pagamentoResidencialResidencial baixa renda – faixa 01Não se aplicaNão se aplicaIntermediário",Mercado_Receita!$L$2:$L$475)+SUMIF(Mercado_Receita!$S$2:$S$475,"44440B1Convencional pré-pagamentoResidencialResidencial baixa renda – faixa 01Não se aplicaNão se aplicaNão se aplica",Mercado_Receita!$L$2:$L$475)</f>
        <v>0</v>
      </c>
      <c r="O23" s="12">
        <f>SUMIF(Mercado_Receita!$S$2:$S$475,"44470B1Convencional pré-pagamentoResidencialResidencial baixa renda – faixa 01Não se aplicaNão se aplicaPonta",Mercado_Receita!$L$2:$L$475)+SUMIF(Mercado_Receita!$S$2:$S$475,"44470B1Convencional pré-pagamentoResidencialResidencial baixa renda – faixa 01Não se aplicaNão se aplicaFora ponta",Mercado_Receita!$L$2:$L$475)+SUMIF(Mercado_Receita!$S$2:$S$475,"44470B1Convencional pré-pagamentoResidencialResidencial baixa renda – faixa 01Não se aplicaNão se aplicaIntermediário",Mercado_Receita!$L$2:$L$475)+SUMIF(Mercado_Receita!$S$2:$S$475,"44470B1Convencional pré-pagamentoResidencialResidencial baixa renda – faixa 01Não se aplicaNão se aplicaNão se aplica",Mercado_Receita!$L$2:$L$475)</f>
        <v>0</v>
      </c>
      <c r="P23" s="12">
        <f>SUMIF(Mercado_Receita!$S$2:$S$475,"44501B1Convencional pré-pagamentoResidencialResidencial baixa renda – faixa 01Não se aplicaNão se aplicaPonta",Mercado_Receita!$L$2:$L$475)+SUMIF(Mercado_Receita!$S$2:$S$475,"44501B1Convencional pré-pagamentoResidencialResidencial baixa renda – faixa 01Não se aplicaNão se aplicaFora ponta",Mercado_Receita!$L$2:$L$475)+SUMIF(Mercado_Receita!$S$2:$S$475,"44501B1Convencional pré-pagamentoResidencialResidencial baixa renda – faixa 01Não se aplicaNão se aplicaIntermediário",Mercado_Receita!$L$2:$L$475)+SUMIF(Mercado_Receita!$S$2:$S$475,"44501B1Convencional pré-pagamentoResidencialResidencial baixa renda – faixa 01Não se aplicaNão se aplicaNão se aplica",Mercado_Receita!$L$2:$L$475)</f>
        <v>0</v>
      </c>
      <c r="Q23" s="12">
        <f>SUMIF(Mercado_Receita!$S$2:$S$475,"44531B1Convencional pré-pagamentoResidencialResidencial baixa renda – faixa 01Não se aplicaNão se aplicaPonta",Mercado_Receita!$L$2:$L$475)+SUMIF(Mercado_Receita!$S$2:$S$475,"44531B1Convencional pré-pagamentoResidencialResidencial baixa renda – faixa 01Não se aplicaNão se aplicaFora ponta",Mercado_Receita!$L$2:$L$475)+SUMIF(Mercado_Receita!$S$2:$S$475,"44531B1Convencional pré-pagamentoResidencialResidencial baixa renda – faixa 01Não se aplicaNão se aplicaIntermediário",Mercado_Receita!$L$2:$L$475)+SUMIF(Mercado_Receita!$S$2:$S$475,"44531B1Convencional pré-pagamentoResidencialResidencial baixa renda – faixa 01Não se aplicaNão se aplicaNão se aplica",Mercado_Receita!$L$2:$L$475)</f>
        <v>0</v>
      </c>
      <c r="R23" s="12">
        <f>SUMIF(Mercado_Receita!$S$2:$S$475,"44562B1Convencional pré-pagamentoResidencialResidencial baixa renda – faixa 01Não se aplicaNão se aplicaPonta",Mercado_Receita!$L$2:$L$475)+SUMIF(Mercado_Receita!$S$2:$S$475,"44562B1Convencional pré-pagamentoResidencialResidencial baixa renda – faixa 01Não se aplicaNão se aplicaFora ponta",Mercado_Receita!$L$2:$L$475)+SUMIF(Mercado_Receita!$S$2:$S$475,"44562B1Convencional pré-pagamentoResidencialResidencial baixa renda – faixa 01Não se aplicaNão se aplicaIntermediário",Mercado_Receita!$L$2:$L$475)+SUMIF(Mercado_Receita!$S$2:$S$475,"44562B1Convencional pré-pagamentoResidencialResidencial baixa renda – faixa 01Não se aplicaNão se aplicaNão se aplica",Mercado_Receita!$L$2:$L$475)</f>
        <v>0</v>
      </c>
      <c r="S23" s="12">
        <f>SUMIF(Mercado_Receita!$S$2:$S$475,"44593B1Convencional pré-pagamentoResidencialResidencial baixa renda – faixa 01Não se aplicaNão se aplicaPonta",Mercado_Receita!$L$2:$L$475)+SUMIF(Mercado_Receita!$S$2:$S$475,"44593B1Convencional pré-pagamentoResidencialResidencial baixa renda – faixa 01Não se aplicaNão se aplicaFora ponta",Mercado_Receita!$L$2:$L$475)+SUMIF(Mercado_Receita!$S$2:$S$475,"44593B1Convencional pré-pagamentoResidencialResidencial baixa renda – faixa 01Não se aplicaNão se aplicaIntermediário",Mercado_Receita!$L$2:$L$475)+SUMIF(Mercado_Receita!$S$2:$S$475,"44593B1Convencional pré-pagamentoResidencialResidencial baixa renda – faixa 01Não se aplicaNão se aplicaNão se aplica",Mercado_Receita!$L$2:$L$475)</f>
        <v>0</v>
      </c>
      <c r="T23" s="12">
        <f>SUMIF(Mercado_Receita!$S$2:$S$475,"44621B1Convencional pré-pagamentoResidencialResidencial baixa renda – faixa 01Não se aplicaNão se aplicaPonta",Mercado_Receita!$L$2:$L$475)+SUMIF(Mercado_Receita!$S$2:$S$475,"44621B1Convencional pré-pagamentoResidencialResidencial baixa renda – faixa 01Não se aplicaNão se aplicaFora ponta",Mercado_Receita!$L$2:$L$475)+SUMIF(Mercado_Receita!$S$2:$S$475,"44621B1Convencional pré-pagamentoResidencialResidencial baixa renda – faixa 01Não se aplicaNão se aplicaIntermediário",Mercado_Receita!$L$2:$L$475)+SUMIF(Mercado_Receita!$S$2:$S$475,"44621B1Convencional pré-pagamentoResidencialResidencial baixa renda – faixa 01Não se aplicaNão se aplicaNão se aplica",Mercado_Receita!$L$2:$L$475)</f>
        <v>0</v>
      </c>
      <c r="U23" s="12">
        <f t="shared" si="0"/>
        <v>0</v>
      </c>
      <c r="V23" s="12"/>
      <c r="W23" s="12"/>
    </row>
    <row r="24" spans="1:23" ht="11.25" customHeight="1" x14ac:dyDescent="0.3">
      <c r="A24" s="106"/>
      <c r="B24" s="106"/>
      <c r="C24" s="106"/>
      <c r="D24" s="13" t="s">
        <v>30</v>
      </c>
      <c r="E24" s="13" t="s">
        <v>25</v>
      </c>
      <c r="F24" s="13" t="s">
        <v>25</v>
      </c>
      <c r="G24" s="12" t="s">
        <v>76</v>
      </c>
      <c r="H24" s="12" t="s">
        <v>72</v>
      </c>
      <c r="I24" s="12">
        <f>SUMIF(Mercado_Receita!$S$2:$S$475,"44287B1Convencional pré-pagamentoResidencialResidencial baixa renda – faixa 02Não se aplicaNão se aplicaPonta",Mercado_Receita!$L$2:$L$475)+SUMIF(Mercado_Receita!$S$2:$S$475,"44287B1Convencional pré-pagamentoResidencialResidencial baixa renda – faixa 02Não se aplicaNão se aplicaFora ponta",Mercado_Receita!$L$2:$L$475)+SUMIF(Mercado_Receita!$S$2:$S$475,"44287B1Convencional pré-pagamentoResidencialResidencial baixa renda – faixa 02Não se aplicaNão se aplicaIntermediário",Mercado_Receita!$L$2:$L$475)+SUMIF(Mercado_Receita!$S$2:$S$475,"44287B1Convencional pré-pagamentoResidencialResidencial baixa renda – faixa 02Não se aplicaNão se aplicaNão se aplica",Mercado_Receita!$L$2:$L$475)</f>
        <v>0</v>
      </c>
      <c r="J24" s="12">
        <f>SUMIF(Mercado_Receita!$S$2:$S$475,"44317B1Convencional pré-pagamentoResidencialResidencial baixa renda – faixa 02Não se aplicaNão se aplicaPonta",Mercado_Receita!$L$2:$L$475)+SUMIF(Mercado_Receita!$S$2:$S$475,"44317B1Convencional pré-pagamentoResidencialResidencial baixa renda – faixa 02Não se aplicaNão se aplicaFora ponta",Mercado_Receita!$L$2:$L$475)+SUMIF(Mercado_Receita!$S$2:$S$475,"44317B1Convencional pré-pagamentoResidencialResidencial baixa renda – faixa 02Não se aplicaNão se aplicaIntermediário",Mercado_Receita!$L$2:$L$475)+SUMIF(Mercado_Receita!$S$2:$S$475,"44317B1Convencional pré-pagamentoResidencialResidencial baixa renda – faixa 02Não se aplicaNão se aplicaNão se aplica",Mercado_Receita!$L$2:$L$475)</f>
        <v>0</v>
      </c>
      <c r="K24" s="12">
        <f>SUMIF(Mercado_Receita!$S$2:$S$475,"44348B1Convencional pré-pagamentoResidencialResidencial baixa renda – faixa 02Não se aplicaNão se aplicaPonta",Mercado_Receita!$L$2:$L$475)+SUMIF(Mercado_Receita!$S$2:$S$475,"44348B1Convencional pré-pagamentoResidencialResidencial baixa renda – faixa 02Não se aplicaNão se aplicaFora ponta",Mercado_Receita!$L$2:$L$475)+SUMIF(Mercado_Receita!$S$2:$S$475,"44348B1Convencional pré-pagamentoResidencialResidencial baixa renda – faixa 02Não se aplicaNão se aplicaIntermediário",Mercado_Receita!$L$2:$L$475)+SUMIF(Mercado_Receita!$S$2:$S$475,"44348B1Convencional pré-pagamentoResidencialResidencial baixa renda – faixa 02Não se aplicaNão se aplicaNão se aplica",Mercado_Receita!$L$2:$L$475)</f>
        <v>0</v>
      </c>
      <c r="L24" s="12">
        <f>SUMIF(Mercado_Receita!$S$2:$S$475,"44378B1Convencional pré-pagamentoResidencialResidencial baixa renda – faixa 02Não se aplicaNão se aplicaPonta",Mercado_Receita!$L$2:$L$475)+SUMIF(Mercado_Receita!$S$2:$S$475,"44378B1Convencional pré-pagamentoResidencialResidencial baixa renda – faixa 02Não se aplicaNão se aplicaFora ponta",Mercado_Receita!$L$2:$L$475)+SUMIF(Mercado_Receita!$S$2:$S$475,"44378B1Convencional pré-pagamentoResidencialResidencial baixa renda – faixa 02Não se aplicaNão se aplicaIntermediário",Mercado_Receita!$L$2:$L$475)+SUMIF(Mercado_Receita!$S$2:$S$475,"44378B1Convencional pré-pagamentoResidencialResidencial baixa renda – faixa 02Não se aplicaNão se aplicaNão se aplica",Mercado_Receita!$L$2:$L$475)</f>
        <v>0</v>
      </c>
      <c r="M24" s="12">
        <f>SUMIF(Mercado_Receita!$S$2:$S$475,"44409B1Convencional pré-pagamentoResidencialResidencial baixa renda – faixa 02Não se aplicaNão se aplicaPonta",Mercado_Receita!$L$2:$L$475)+SUMIF(Mercado_Receita!$S$2:$S$475,"44409B1Convencional pré-pagamentoResidencialResidencial baixa renda – faixa 02Não se aplicaNão se aplicaFora ponta",Mercado_Receita!$L$2:$L$475)+SUMIF(Mercado_Receita!$S$2:$S$475,"44409B1Convencional pré-pagamentoResidencialResidencial baixa renda – faixa 02Não se aplicaNão se aplicaIntermediário",Mercado_Receita!$L$2:$L$475)+SUMIF(Mercado_Receita!$S$2:$S$475,"44409B1Convencional pré-pagamentoResidencialResidencial baixa renda – faixa 02Não se aplicaNão se aplicaNão se aplica",Mercado_Receita!$L$2:$L$475)</f>
        <v>0</v>
      </c>
      <c r="N24" s="12">
        <f>SUMIF(Mercado_Receita!$S$2:$S$475,"44440B1Convencional pré-pagamentoResidencialResidencial baixa renda – faixa 02Não se aplicaNão se aplicaPonta",Mercado_Receita!$L$2:$L$475)+SUMIF(Mercado_Receita!$S$2:$S$475,"44440B1Convencional pré-pagamentoResidencialResidencial baixa renda – faixa 02Não se aplicaNão se aplicaFora ponta",Mercado_Receita!$L$2:$L$475)+SUMIF(Mercado_Receita!$S$2:$S$475,"44440B1Convencional pré-pagamentoResidencialResidencial baixa renda – faixa 02Não se aplicaNão se aplicaIntermediário",Mercado_Receita!$L$2:$L$475)+SUMIF(Mercado_Receita!$S$2:$S$475,"44440B1Convencional pré-pagamentoResidencialResidencial baixa renda – faixa 02Não se aplicaNão se aplicaNão se aplica",Mercado_Receita!$L$2:$L$475)</f>
        <v>0</v>
      </c>
      <c r="O24" s="12">
        <f>SUMIF(Mercado_Receita!$S$2:$S$475,"44470B1Convencional pré-pagamentoResidencialResidencial baixa renda – faixa 02Não se aplicaNão se aplicaPonta",Mercado_Receita!$L$2:$L$475)+SUMIF(Mercado_Receita!$S$2:$S$475,"44470B1Convencional pré-pagamentoResidencialResidencial baixa renda – faixa 02Não se aplicaNão se aplicaFora ponta",Mercado_Receita!$L$2:$L$475)+SUMIF(Mercado_Receita!$S$2:$S$475,"44470B1Convencional pré-pagamentoResidencialResidencial baixa renda – faixa 02Não se aplicaNão se aplicaIntermediário",Mercado_Receita!$L$2:$L$475)+SUMIF(Mercado_Receita!$S$2:$S$475,"44470B1Convencional pré-pagamentoResidencialResidencial baixa renda – faixa 02Não se aplicaNão se aplicaNão se aplica",Mercado_Receita!$L$2:$L$475)</f>
        <v>0</v>
      </c>
      <c r="P24" s="12">
        <f>SUMIF(Mercado_Receita!$S$2:$S$475,"44501B1Convencional pré-pagamentoResidencialResidencial baixa renda – faixa 02Não se aplicaNão se aplicaPonta",Mercado_Receita!$L$2:$L$475)+SUMIF(Mercado_Receita!$S$2:$S$475,"44501B1Convencional pré-pagamentoResidencialResidencial baixa renda – faixa 02Não se aplicaNão se aplicaFora ponta",Mercado_Receita!$L$2:$L$475)+SUMIF(Mercado_Receita!$S$2:$S$475,"44501B1Convencional pré-pagamentoResidencialResidencial baixa renda – faixa 02Não se aplicaNão se aplicaIntermediário",Mercado_Receita!$L$2:$L$475)+SUMIF(Mercado_Receita!$S$2:$S$475,"44501B1Convencional pré-pagamentoResidencialResidencial baixa renda – faixa 02Não se aplicaNão se aplicaNão se aplica",Mercado_Receita!$L$2:$L$475)</f>
        <v>0</v>
      </c>
      <c r="Q24" s="12">
        <f>SUMIF(Mercado_Receita!$S$2:$S$475,"44531B1Convencional pré-pagamentoResidencialResidencial baixa renda – faixa 02Não se aplicaNão se aplicaPonta",Mercado_Receita!$L$2:$L$475)+SUMIF(Mercado_Receita!$S$2:$S$475,"44531B1Convencional pré-pagamentoResidencialResidencial baixa renda – faixa 02Não se aplicaNão se aplicaFora ponta",Mercado_Receita!$L$2:$L$475)+SUMIF(Mercado_Receita!$S$2:$S$475,"44531B1Convencional pré-pagamentoResidencialResidencial baixa renda – faixa 02Não se aplicaNão se aplicaIntermediário",Mercado_Receita!$L$2:$L$475)+SUMIF(Mercado_Receita!$S$2:$S$475,"44531B1Convencional pré-pagamentoResidencialResidencial baixa renda – faixa 02Não se aplicaNão se aplicaNão se aplica",Mercado_Receita!$L$2:$L$475)</f>
        <v>0</v>
      </c>
      <c r="R24" s="12">
        <f>SUMIF(Mercado_Receita!$S$2:$S$475,"44562B1Convencional pré-pagamentoResidencialResidencial baixa renda – faixa 02Não se aplicaNão se aplicaPonta",Mercado_Receita!$L$2:$L$475)+SUMIF(Mercado_Receita!$S$2:$S$475,"44562B1Convencional pré-pagamentoResidencialResidencial baixa renda – faixa 02Não se aplicaNão se aplicaFora ponta",Mercado_Receita!$L$2:$L$475)+SUMIF(Mercado_Receita!$S$2:$S$475,"44562B1Convencional pré-pagamentoResidencialResidencial baixa renda – faixa 02Não se aplicaNão se aplicaIntermediário",Mercado_Receita!$L$2:$L$475)+SUMIF(Mercado_Receita!$S$2:$S$475,"44562B1Convencional pré-pagamentoResidencialResidencial baixa renda – faixa 02Não se aplicaNão se aplicaNão se aplica",Mercado_Receita!$L$2:$L$475)</f>
        <v>0</v>
      </c>
      <c r="S24" s="12">
        <f>SUMIF(Mercado_Receita!$S$2:$S$475,"44593B1Convencional pré-pagamentoResidencialResidencial baixa renda – faixa 02Não se aplicaNão se aplicaPonta",Mercado_Receita!$L$2:$L$475)+SUMIF(Mercado_Receita!$S$2:$S$475,"44593B1Convencional pré-pagamentoResidencialResidencial baixa renda – faixa 02Não se aplicaNão se aplicaFora ponta",Mercado_Receita!$L$2:$L$475)+SUMIF(Mercado_Receita!$S$2:$S$475,"44593B1Convencional pré-pagamentoResidencialResidencial baixa renda – faixa 02Não se aplicaNão se aplicaIntermediário",Mercado_Receita!$L$2:$L$475)+SUMIF(Mercado_Receita!$S$2:$S$475,"44593B1Convencional pré-pagamentoResidencialResidencial baixa renda – faixa 02Não se aplicaNão se aplicaNão se aplica",Mercado_Receita!$L$2:$L$475)</f>
        <v>0</v>
      </c>
      <c r="T24" s="12">
        <f>SUMIF(Mercado_Receita!$S$2:$S$475,"44621B1Convencional pré-pagamentoResidencialResidencial baixa renda – faixa 02Não se aplicaNão se aplicaPonta",Mercado_Receita!$L$2:$L$475)+SUMIF(Mercado_Receita!$S$2:$S$475,"44621B1Convencional pré-pagamentoResidencialResidencial baixa renda – faixa 02Não se aplicaNão se aplicaFora ponta",Mercado_Receita!$L$2:$L$475)+SUMIF(Mercado_Receita!$S$2:$S$475,"44621B1Convencional pré-pagamentoResidencialResidencial baixa renda – faixa 02Não se aplicaNão se aplicaIntermediário",Mercado_Receita!$L$2:$L$475)+SUMIF(Mercado_Receita!$S$2:$S$475,"44621B1Convencional pré-pagamentoResidencialResidencial baixa renda – faixa 02Não se aplicaNão se aplicaNão se aplica",Mercado_Receita!$L$2:$L$475)</f>
        <v>0</v>
      </c>
      <c r="U24" s="12">
        <f t="shared" si="0"/>
        <v>0</v>
      </c>
      <c r="V24" s="12"/>
      <c r="W24" s="12"/>
    </row>
    <row r="25" spans="1:23" ht="11.25" customHeight="1" x14ac:dyDescent="0.3">
      <c r="A25" s="106"/>
      <c r="B25" s="106"/>
      <c r="C25" s="106"/>
      <c r="D25" s="13" t="s">
        <v>31</v>
      </c>
      <c r="E25" s="13" t="s">
        <v>25</v>
      </c>
      <c r="F25" s="13" t="s">
        <v>25</v>
      </c>
      <c r="G25" s="12" t="s">
        <v>76</v>
      </c>
      <c r="H25" s="12" t="s">
        <v>72</v>
      </c>
      <c r="I25" s="12">
        <f>SUMIF(Mercado_Receita!$S$2:$S$475,"44287B1Convencional pré-pagamentoResidencialResidencial baixa renda – faixa 03Não se aplicaNão se aplicaPonta",Mercado_Receita!$L$2:$L$475)+SUMIF(Mercado_Receita!$S$2:$S$475,"44287B1Convencional pré-pagamentoResidencialResidencial baixa renda – faixa 03Não se aplicaNão se aplicaFora ponta",Mercado_Receita!$L$2:$L$475)+SUMIF(Mercado_Receita!$S$2:$S$475,"44287B1Convencional pré-pagamentoResidencialResidencial baixa renda – faixa 03Não se aplicaNão se aplicaIntermediário",Mercado_Receita!$L$2:$L$475)+SUMIF(Mercado_Receita!$S$2:$S$475,"44287B1Convencional pré-pagamentoResidencialResidencial baixa renda – faixa 03Não se aplicaNão se aplicaNão se aplica",Mercado_Receita!$L$2:$L$475)</f>
        <v>0</v>
      </c>
      <c r="J25" s="12">
        <f>SUMIF(Mercado_Receita!$S$2:$S$475,"44317B1Convencional pré-pagamentoResidencialResidencial baixa renda – faixa 03Não se aplicaNão se aplicaPonta",Mercado_Receita!$L$2:$L$475)+SUMIF(Mercado_Receita!$S$2:$S$475,"44317B1Convencional pré-pagamentoResidencialResidencial baixa renda – faixa 03Não se aplicaNão se aplicaFora ponta",Mercado_Receita!$L$2:$L$475)+SUMIF(Mercado_Receita!$S$2:$S$475,"44317B1Convencional pré-pagamentoResidencialResidencial baixa renda – faixa 03Não se aplicaNão se aplicaIntermediário",Mercado_Receita!$L$2:$L$475)+SUMIF(Mercado_Receita!$S$2:$S$475,"44317B1Convencional pré-pagamentoResidencialResidencial baixa renda – faixa 03Não se aplicaNão se aplicaNão se aplica",Mercado_Receita!$L$2:$L$475)</f>
        <v>0</v>
      </c>
      <c r="K25" s="12">
        <f>SUMIF(Mercado_Receita!$S$2:$S$475,"44348B1Convencional pré-pagamentoResidencialResidencial baixa renda – faixa 03Não se aplicaNão se aplicaPonta",Mercado_Receita!$L$2:$L$475)+SUMIF(Mercado_Receita!$S$2:$S$475,"44348B1Convencional pré-pagamentoResidencialResidencial baixa renda – faixa 03Não se aplicaNão se aplicaFora ponta",Mercado_Receita!$L$2:$L$475)+SUMIF(Mercado_Receita!$S$2:$S$475,"44348B1Convencional pré-pagamentoResidencialResidencial baixa renda – faixa 03Não se aplicaNão se aplicaIntermediário",Mercado_Receita!$L$2:$L$475)+SUMIF(Mercado_Receita!$S$2:$S$475,"44348B1Convencional pré-pagamentoResidencialResidencial baixa renda – faixa 03Não se aplicaNão se aplicaNão se aplica",Mercado_Receita!$L$2:$L$475)</f>
        <v>0</v>
      </c>
      <c r="L25" s="12">
        <f>SUMIF(Mercado_Receita!$S$2:$S$475,"44378B1Convencional pré-pagamentoResidencialResidencial baixa renda – faixa 03Não se aplicaNão se aplicaPonta",Mercado_Receita!$L$2:$L$475)+SUMIF(Mercado_Receita!$S$2:$S$475,"44378B1Convencional pré-pagamentoResidencialResidencial baixa renda – faixa 03Não se aplicaNão se aplicaFora ponta",Mercado_Receita!$L$2:$L$475)+SUMIF(Mercado_Receita!$S$2:$S$475,"44378B1Convencional pré-pagamentoResidencialResidencial baixa renda – faixa 03Não se aplicaNão se aplicaIntermediário",Mercado_Receita!$L$2:$L$475)+SUMIF(Mercado_Receita!$S$2:$S$475,"44378B1Convencional pré-pagamentoResidencialResidencial baixa renda – faixa 03Não se aplicaNão se aplicaNão se aplica",Mercado_Receita!$L$2:$L$475)</f>
        <v>0</v>
      </c>
      <c r="M25" s="12">
        <f>SUMIF(Mercado_Receita!$S$2:$S$475,"44409B1Convencional pré-pagamentoResidencialResidencial baixa renda – faixa 03Não se aplicaNão se aplicaPonta",Mercado_Receita!$L$2:$L$475)+SUMIF(Mercado_Receita!$S$2:$S$475,"44409B1Convencional pré-pagamentoResidencialResidencial baixa renda – faixa 03Não se aplicaNão se aplicaFora ponta",Mercado_Receita!$L$2:$L$475)+SUMIF(Mercado_Receita!$S$2:$S$475,"44409B1Convencional pré-pagamentoResidencialResidencial baixa renda – faixa 03Não se aplicaNão se aplicaIntermediário",Mercado_Receita!$L$2:$L$475)+SUMIF(Mercado_Receita!$S$2:$S$475,"44409B1Convencional pré-pagamentoResidencialResidencial baixa renda – faixa 03Não se aplicaNão se aplicaNão se aplica",Mercado_Receita!$L$2:$L$475)</f>
        <v>0</v>
      </c>
      <c r="N25" s="12">
        <f>SUMIF(Mercado_Receita!$S$2:$S$475,"44440B1Convencional pré-pagamentoResidencialResidencial baixa renda – faixa 03Não se aplicaNão se aplicaPonta",Mercado_Receita!$L$2:$L$475)+SUMIF(Mercado_Receita!$S$2:$S$475,"44440B1Convencional pré-pagamentoResidencialResidencial baixa renda – faixa 03Não se aplicaNão se aplicaFora ponta",Mercado_Receita!$L$2:$L$475)+SUMIF(Mercado_Receita!$S$2:$S$475,"44440B1Convencional pré-pagamentoResidencialResidencial baixa renda – faixa 03Não se aplicaNão se aplicaIntermediário",Mercado_Receita!$L$2:$L$475)+SUMIF(Mercado_Receita!$S$2:$S$475,"44440B1Convencional pré-pagamentoResidencialResidencial baixa renda – faixa 03Não se aplicaNão se aplicaNão se aplica",Mercado_Receita!$L$2:$L$475)</f>
        <v>0</v>
      </c>
      <c r="O25" s="12">
        <f>SUMIF(Mercado_Receita!$S$2:$S$475,"44470B1Convencional pré-pagamentoResidencialResidencial baixa renda – faixa 03Não se aplicaNão se aplicaPonta",Mercado_Receita!$L$2:$L$475)+SUMIF(Mercado_Receita!$S$2:$S$475,"44470B1Convencional pré-pagamentoResidencialResidencial baixa renda – faixa 03Não se aplicaNão se aplicaFora ponta",Mercado_Receita!$L$2:$L$475)+SUMIF(Mercado_Receita!$S$2:$S$475,"44470B1Convencional pré-pagamentoResidencialResidencial baixa renda – faixa 03Não se aplicaNão se aplicaIntermediário",Mercado_Receita!$L$2:$L$475)+SUMIF(Mercado_Receita!$S$2:$S$475,"44470B1Convencional pré-pagamentoResidencialResidencial baixa renda – faixa 03Não se aplicaNão se aplicaNão se aplica",Mercado_Receita!$L$2:$L$475)</f>
        <v>0</v>
      </c>
      <c r="P25" s="12">
        <f>SUMIF(Mercado_Receita!$S$2:$S$475,"44501B1Convencional pré-pagamentoResidencialResidencial baixa renda – faixa 03Não se aplicaNão se aplicaPonta",Mercado_Receita!$L$2:$L$475)+SUMIF(Mercado_Receita!$S$2:$S$475,"44501B1Convencional pré-pagamentoResidencialResidencial baixa renda – faixa 03Não se aplicaNão se aplicaFora ponta",Mercado_Receita!$L$2:$L$475)+SUMIF(Mercado_Receita!$S$2:$S$475,"44501B1Convencional pré-pagamentoResidencialResidencial baixa renda – faixa 03Não se aplicaNão se aplicaIntermediário",Mercado_Receita!$L$2:$L$475)+SUMIF(Mercado_Receita!$S$2:$S$475,"44501B1Convencional pré-pagamentoResidencialResidencial baixa renda – faixa 03Não se aplicaNão se aplicaNão se aplica",Mercado_Receita!$L$2:$L$475)</f>
        <v>0</v>
      </c>
      <c r="Q25" s="12">
        <f>SUMIF(Mercado_Receita!$S$2:$S$475,"44531B1Convencional pré-pagamentoResidencialResidencial baixa renda – faixa 03Não se aplicaNão se aplicaPonta",Mercado_Receita!$L$2:$L$475)+SUMIF(Mercado_Receita!$S$2:$S$475,"44531B1Convencional pré-pagamentoResidencialResidencial baixa renda – faixa 03Não se aplicaNão se aplicaFora ponta",Mercado_Receita!$L$2:$L$475)+SUMIF(Mercado_Receita!$S$2:$S$475,"44531B1Convencional pré-pagamentoResidencialResidencial baixa renda – faixa 03Não se aplicaNão se aplicaIntermediário",Mercado_Receita!$L$2:$L$475)+SUMIF(Mercado_Receita!$S$2:$S$475,"44531B1Convencional pré-pagamentoResidencialResidencial baixa renda – faixa 03Não se aplicaNão se aplicaNão se aplica",Mercado_Receita!$L$2:$L$475)</f>
        <v>0</v>
      </c>
      <c r="R25" s="12">
        <f>SUMIF(Mercado_Receita!$S$2:$S$475,"44562B1Convencional pré-pagamentoResidencialResidencial baixa renda – faixa 03Não se aplicaNão se aplicaPonta",Mercado_Receita!$L$2:$L$475)+SUMIF(Mercado_Receita!$S$2:$S$475,"44562B1Convencional pré-pagamentoResidencialResidencial baixa renda – faixa 03Não se aplicaNão se aplicaFora ponta",Mercado_Receita!$L$2:$L$475)+SUMIF(Mercado_Receita!$S$2:$S$475,"44562B1Convencional pré-pagamentoResidencialResidencial baixa renda – faixa 03Não se aplicaNão se aplicaIntermediário",Mercado_Receita!$L$2:$L$475)+SUMIF(Mercado_Receita!$S$2:$S$475,"44562B1Convencional pré-pagamentoResidencialResidencial baixa renda – faixa 03Não se aplicaNão se aplicaNão se aplica",Mercado_Receita!$L$2:$L$475)</f>
        <v>0</v>
      </c>
      <c r="S25" s="12">
        <f>SUMIF(Mercado_Receita!$S$2:$S$475,"44593B1Convencional pré-pagamentoResidencialResidencial baixa renda – faixa 03Não se aplicaNão se aplicaPonta",Mercado_Receita!$L$2:$L$475)+SUMIF(Mercado_Receita!$S$2:$S$475,"44593B1Convencional pré-pagamentoResidencialResidencial baixa renda – faixa 03Não se aplicaNão se aplicaFora ponta",Mercado_Receita!$L$2:$L$475)+SUMIF(Mercado_Receita!$S$2:$S$475,"44593B1Convencional pré-pagamentoResidencialResidencial baixa renda – faixa 03Não se aplicaNão se aplicaIntermediário",Mercado_Receita!$L$2:$L$475)+SUMIF(Mercado_Receita!$S$2:$S$475,"44593B1Convencional pré-pagamentoResidencialResidencial baixa renda – faixa 03Não se aplicaNão se aplicaNão se aplica",Mercado_Receita!$L$2:$L$475)</f>
        <v>0</v>
      </c>
      <c r="T25" s="12">
        <f>SUMIF(Mercado_Receita!$S$2:$S$475,"44621B1Convencional pré-pagamentoResidencialResidencial baixa renda – faixa 03Não se aplicaNão se aplicaPonta",Mercado_Receita!$L$2:$L$475)+SUMIF(Mercado_Receita!$S$2:$S$475,"44621B1Convencional pré-pagamentoResidencialResidencial baixa renda – faixa 03Não se aplicaNão se aplicaFora ponta",Mercado_Receita!$L$2:$L$475)+SUMIF(Mercado_Receita!$S$2:$S$475,"44621B1Convencional pré-pagamentoResidencialResidencial baixa renda – faixa 03Não se aplicaNão se aplicaIntermediário",Mercado_Receita!$L$2:$L$475)+SUMIF(Mercado_Receita!$S$2:$S$475,"44621B1Convencional pré-pagamentoResidencialResidencial baixa renda – faixa 03Não se aplicaNão se aplicaNão se aplica",Mercado_Receita!$L$2:$L$475)</f>
        <v>0</v>
      </c>
      <c r="U25" s="12">
        <f t="shared" si="0"/>
        <v>0</v>
      </c>
      <c r="V25" s="12"/>
      <c r="W25" s="12"/>
    </row>
    <row r="26" spans="1:23" ht="11.25" customHeight="1" x14ac:dyDescent="0.3">
      <c r="A26" s="106"/>
      <c r="B26" s="106"/>
      <c r="C26" s="106"/>
      <c r="D26" s="13" t="s">
        <v>32</v>
      </c>
      <c r="E26" s="13" t="s">
        <v>25</v>
      </c>
      <c r="F26" s="13" t="s">
        <v>25</v>
      </c>
      <c r="G26" s="12" t="s">
        <v>76</v>
      </c>
      <c r="H26" s="12" t="s">
        <v>72</v>
      </c>
      <c r="I26" s="12">
        <f>SUMIF(Mercado_Receita!$S$2:$S$475,"44287B1Convencional pré-pagamentoResidencialResidencial baixa renda – faixa 04Não se aplicaNão se aplicaPonta",Mercado_Receita!$L$2:$L$475)+SUMIF(Mercado_Receita!$S$2:$S$475,"44287B1Convencional pré-pagamentoResidencialResidencial baixa renda – faixa 04Não se aplicaNão se aplicaFora ponta",Mercado_Receita!$L$2:$L$475)+SUMIF(Mercado_Receita!$S$2:$S$475,"44287B1Convencional pré-pagamentoResidencialResidencial baixa renda – faixa 04Não se aplicaNão se aplicaIntermediário",Mercado_Receita!$L$2:$L$475)+SUMIF(Mercado_Receita!$S$2:$S$475,"44287B1Convencional pré-pagamentoResidencialResidencial baixa renda – faixa 04Não se aplicaNão se aplicaNão se aplica",Mercado_Receita!$L$2:$L$475)</f>
        <v>0</v>
      </c>
      <c r="J26" s="12">
        <f>SUMIF(Mercado_Receita!$S$2:$S$475,"44317B1Convencional pré-pagamentoResidencialResidencial baixa renda – faixa 04Não se aplicaNão se aplicaPonta",Mercado_Receita!$L$2:$L$475)+SUMIF(Mercado_Receita!$S$2:$S$475,"44317B1Convencional pré-pagamentoResidencialResidencial baixa renda – faixa 04Não se aplicaNão se aplicaFora ponta",Mercado_Receita!$L$2:$L$475)+SUMIF(Mercado_Receita!$S$2:$S$475,"44317B1Convencional pré-pagamentoResidencialResidencial baixa renda – faixa 04Não se aplicaNão se aplicaIntermediário",Mercado_Receita!$L$2:$L$475)+SUMIF(Mercado_Receita!$S$2:$S$475,"44317B1Convencional pré-pagamentoResidencialResidencial baixa renda – faixa 04Não se aplicaNão se aplicaNão se aplica",Mercado_Receita!$L$2:$L$475)</f>
        <v>0</v>
      </c>
      <c r="K26" s="12">
        <f>SUMIF(Mercado_Receita!$S$2:$S$475,"44348B1Convencional pré-pagamentoResidencialResidencial baixa renda – faixa 04Não se aplicaNão se aplicaPonta",Mercado_Receita!$L$2:$L$475)+SUMIF(Mercado_Receita!$S$2:$S$475,"44348B1Convencional pré-pagamentoResidencialResidencial baixa renda – faixa 04Não se aplicaNão se aplicaFora ponta",Mercado_Receita!$L$2:$L$475)+SUMIF(Mercado_Receita!$S$2:$S$475,"44348B1Convencional pré-pagamentoResidencialResidencial baixa renda – faixa 04Não se aplicaNão se aplicaIntermediário",Mercado_Receita!$L$2:$L$475)+SUMIF(Mercado_Receita!$S$2:$S$475,"44348B1Convencional pré-pagamentoResidencialResidencial baixa renda – faixa 04Não se aplicaNão se aplicaNão se aplica",Mercado_Receita!$L$2:$L$475)</f>
        <v>0</v>
      </c>
      <c r="L26" s="12">
        <f>SUMIF(Mercado_Receita!$S$2:$S$475,"44378B1Convencional pré-pagamentoResidencialResidencial baixa renda – faixa 04Não se aplicaNão se aplicaPonta",Mercado_Receita!$L$2:$L$475)+SUMIF(Mercado_Receita!$S$2:$S$475,"44378B1Convencional pré-pagamentoResidencialResidencial baixa renda – faixa 04Não se aplicaNão se aplicaFora ponta",Mercado_Receita!$L$2:$L$475)+SUMIF(Mercado_Receita!$S$2:$S$475,"44378B1Convencional pré-pagamentoResidencialResidencial baixa renda – faixa 04Não se aplicaNão se aplicaIntermediário",Mercado_Receita!$L$2:$L$475)+SUMIF(Mercado_Receita!$S$2:$S$475,"44378B1Convencional pré-pagamentoResidencialResidencial baixa renda – faixa 04Não se aplicaNão se aplicaNão se aplica",Mercado_Receita!$L$2:$L$475)</f>
        <v>0</v>
      </c>
      <c r="M26" s="12">
        <f>SUMIF(Mercado_Receita!$S$2:$S$475,"44409B1Convencional pré-pagamentoResidencialResidencial baixa renda – faixa 04Não se aplicaNão se aplicaPonta",Mercado_Receita!$L$2:$L$475)+SUMIF(Mercado_Receita!$S$2:$S$475,"44409B1Convencional pré-pagamentoResidencialResidencial baixa renda – faixa 04Não se aplicaNão se aplicaFora ponta",Mercado_Receita!$L$2:$L$475)+SUMIF(Mercado_Receita!$S$2:$S$475,"44409B1Convencional pré-pagamentoResidencialResidencial baixa renda – faixa 04Não se aplicaNão se aplicaIntermediário",Mercado_Receita!$L$2:$L$475)+SUMIF(Mercado_Receita!$S$2:$S$475,"44409B1Convencional pré-pagamentoResidencialResidencial baixa renda – faixa 04Não se aplicaNão se aplicaNão se aplica",Mercado_Receita!$L$2:$L$475)</f>
        <v>0</v>
      </c>
      <c r="N26" s="12">
        <f>SUMIF(Mercado_Receita!$S$2:$S$475,"44440B1Convencional pré-pagamentoResidencialResidencial baixa renda – faixa 04Não se aplicaNão se aplicaPonta",Mercado_Receita!$L$2:$L$475)+SUMIF(Mercado_Receita!$S$2:$S$475,"44440B1Convencional pré-pagamentoResidencialResidencial baixa renda – faixa 04Não se aplicaNão se aplicaFora ponta",Mercado_Receita!$L$2:$L$475)+SUMIF(Mercado_Receita!$S$2:$S$475,"44440B1Convencional pré-pagamentoResidencialResidencial baixa renda – faixa 04Não se aplicaNão se aplicaIntermediário",Mercado_Receita!$L$2:$L$475)+SUMIF(Mercado_Receita!$S$2:$S$475,"44440B1Convencional pré-pagamentoResidencialResidencial baixa renda – faixa 04Não se aplicaNão se aplicaNão se aplica",Mercado_Receita!$L$2:$L$475)</f>
        <v>0</v>
      </c>
      <c r="O26" s="12">
        <f>SUMIF(Mercado_Receita!$S$2:$S$475,"44470B1Convencional pré-pagamentoResidencialResidencial baixa renda – faixa 04Não se aplicaNão se aplicaPonta",Mercado_Receita!$L$2:$L$475)+SUMIF(Mercado_Receita!$S$2:$S$475,"44470B1Convencional pré-pagamentoResidencialResidencial baixa renda – faixa 04Não se aplicaNão se aplicaFora ponta",Mercado_Receita!$L$2:$L$475)+SUMIF(Mercado_Receita!$S$2:$S$475,"44470B1Convencional pré-pagamentoResidencialResidencial baixa renda – faixa 04Não se aplicaNão se aplicaIntermediário",Mercado_Receita!$L$2:$L$475)+SUMIF(Mercado_Receita!$S$2:$S$475,"44470B1Convencional pré-pagamentoResidencialResidencial baixa renda – faixa 04Não se aplicaNão se aplicaNão se aplica",Mercado_Receita!$L$2:$L$475)</f>
        <v>0</v>
      </c>
      <c r="P26" s="12">
        <f>SUMIF(Mercado_Receita!$S$2:$S$475,"44501B1Convencional pré-pagamentoResidencialResidencial baixa renda – faixa 04Não se aplicaNão se aplicaPonta",Mercado_Receita!$L$2:$L$475)+SUMIF(Mercado_Receita!$S$2:$S$475,"44501B1Convencional pré-pagamentoResidencialResidencial baixa renda – faixa 04Não se aplicaNão se aplicaFora ponta",Mercado_Receita!$L$2:$L$475)+SUMIF(Mercado_Receita!$S$2:$S$475,"44501B1Convencional pré-pagamentoResidencialResidencial baixa renda – faixa 04Não se aplicaNão se aplicaIntermediário",Mercado_Receita!$L$2:$L$475)+SUMIF(Mercado_Receita!$S$2:$S$475,"44501B1Convencional pré-pagamentoResidencialResidencial baixa renda – faixa 04Não se aplicaNão se aplicaNão se aplica",Mercado_Receita!$L$2:$L$475)</f>
        <v>0</v>
      </c>
      <c r="Q26" s="12">
        <f>SUMIF(Mercado_Receita!$S$2:$S$475,"44531B1Convencional pré-pagamentoResidencialResidencial baixa renda – faixa 04Não se aplicaNão se aplicaPonta",Mercado_Receita!$L$2:$L$475)+SUMIF(Mercado_Receita!$S$2:$S$475,"44531B1Convencional pré-pagamentoResidencialResidencial baixa renda – faixa 04Não se aplicaNão se aplicaFora ponta",Mercado_Receita!$L$2:$L$475)+SUMIF(Mercado_Receita!$S$2:$S$475,"44531B1Convencional pré-pagamentoResidencialResidencial baixa renda – faixa 04Não se aplicaNão se aplicaIntermediário",Mercado_Receita!$L$2:$L$475)+SUMIF(Mercado_Receita!$S$2:$S$475,"44531B1Convencional pré-pagamentoResidencialResidencial baixa renda – faixa 04Não se aplicaNão se aplicaNão se aplica",Mercado_Receita!$L$2:$L$475)</f>
        <v>0</v>
      </c>
      <c r="R26" s="12">
        <f>SUMIF(Mercado_Receita!$S$2:$S$475,"44562B1Convencional pré-pagamentoResidencialResidencial baixa renda – faixa 04Não se aplicaNão se aplicaPonta",Mercado_Receita!$L$2:$L$475)+SUMIF(Mercado_Receita!$S$2:$S$475,"44562B1Convencional pré-pagamentoResidencialResidencial baixa renda – faixa 04Não se aplicaNão se aplicaFora ponta",Mercado_Receita!$L$2:$L$475)+SUMIF(Mercado_Receita!$S$2:$S$475,"44562B1Convencional pré-pagamentoResidencialResidencial baixa renda – faixa 04Não se aplicaNão se aplicaIntermediário",Mercado_Receita!$L$2:$L$475)+SUMIF(Mercado_Receita!$S$2:$S$475,"44562B1Convencional pré-pagamentoResidencialResidencial baixa renda – faixa 04Não se aplicaNão se aplicaNão se aplica",Mercado_Receita!$L$2:$L$475)</f>
        <v>0</v>
      </c>
      <c r="S26" s="12">
        <f>SUMIF(Mercado_Receita!$S$2:$S$475,"44593B1Convencional pré-pagamentoResidencialResidencial baixa renda – faixa 04Não se aplicaNão se aplicaPonta",Mercado_Receita!$L$2:$L$475)+SUMIF(Mercado_Receita!$S$2:$S$475,"44593B1Convencional pré-pagamentoResidencialResidencial baixa renda – faixa 04Não se aplicaNão se aplicaFora ponta",Mercado_Receita!$L$2:$L$475)+SUMIF(Mercado_Receita!$S$2:$S$475,"44593B1Convencional pré-pagamentoResidencialResidencial baixa renda – faixa 04Não se aplicaNão se aplicaIntermediário",Mercado_Receita!$L$2:$L$475)+SUMIF(Mercado_Receita!$S$2:$S$475,"44593B1Convencional pré-pagamentoResidencialResidencial baixa renda – faixa 04Não se aplicaNão se aplicaNão se aplica",Mercado_Receita!$L$2:$L$475)</f>
        <v>0</v>
      </c>
      <c r="T26" s="12">
        <f>SUMIF(Mercado_Receita!$S$2:$S$475,"44621B1Convencional pré-pagamentoResidencialResidencial baixa renda – faixa 04Não se aplicaNão se aplicaPonta",Mercado_Receita!$L$2:$L$475)+SUMIF(Mercado_Receita!$S$2:$S$475,"44621B1Convencional pré-pagamentoResidencialResidencial baixa renda – faixa 04Não se aplicaNão se aplicaFora ponta",Mercado_Receita!$L$2:$L$475)+SUMIF(Mercado_Receita!$S$2:$S$475,"44621B1Convencional pré-pagamentoResidencialResidencial baixa renda – faixa 04Não se aplicaNão se aplicaIntermediário",Mercado_Receita!$L$2:$L$475)+SUMIF(Mercado_Receita!$S$2:$S$475,"44621B1Convencional pré-pagamentoResidencialResidencial baixa renda – faixa 04Não se aplicaNão se aplicaNão se aplica",Mercado_Receita!$L$2:$L$475)</f>
        <v>0</v>
      </c>
      <c r="U26" s="12">
        <f t="shared" si="0"/>
        <v>0</v>
      </c>
      <c r="V26" s="12"/>
      <c r="W26" s="12"/>
    </row>
    <row r="27" spans="1:23" ht="11.25" customHeight="1" x14ac:dyDescent="0.3">
      <c r="A27" s="105" t="s">
        <v>43</v>
      </c>
      <c r="B27" s="105" t="s">
        <v>33</v>
      </c>
      <c r="C27" s="105" t="s">
        <v>44</v>
      </c>
      <c r="D27" s="105" t="s">
        <v>25</v>
      </c>
      <c r="E27" s="105" t="s">
        <v>25</v>
      </c>
      <c r="F27" s="105" t="s">
        <v>25</v>
      </c>
      <c r="G27" s="12" t="s">
        <v>73</v>
      </c>
      <c r="H27" s="12" t="s">
        <v>72</v>
      </c>
      <c r="I27" s="12">
        <f>SUMIF(Mercado_Receita!$S$2:$S$475,"44287B2BrancaRuralNão se aplicaNão se aplicaNão se aplicaPonta",Mercado_Receita!$L$2:$L$475)</f>
        <v>0</v>
      </c>
      <c r="J27" s="12">
        <f>SUMIF(Mercado_Receita!$S$2:$S$475,"44317B2BrancaRuralNão se aplicaNão se aplicaNão se aplicaPonta",Mercado_Receita!$L$2:$L$475)</f>
        <v>0</v>
      </c>
      <c r="K27" s="12">
        <f>SUMIF(Mercado_Receita!$S$2:$S$475,"44348B2BrancaRuralNão se aplicaNão se aplicaNão se aplicaPonta",Mercado_Receita!$L$2:$L$475)</f>
        <v>0</v>
      </c>
      <c r="L27" s="12">
        <f>SUMIF(Mercado_Receita!$S$2:$S$475,"44378B2BrancaRuralNão se aplicaNão se aplicaNão se aplicaPonta",Mercado_Receita!$L$2:$L$475)</f>
        <v>0</v>
      </c>
      <c r="M27" s="12">
        <f>SUMIF(Mercado_Receita!$S$2:$S$475,"44409B2BrancaRuralNão se aplicaNão se aplicaNão se aplicaPonta",Mercado_Receita!$L$2:$L$475)</f>
        <v>0</v>
      </c>
      <c r="N27" s="12">
        <f>SUMIF(Mercado_Receita!$S$2:$S$475,"44440B2BrancaRuralNão se aplicaNão se aplicaNão se aplicaPonta",Mercado_Receita!$L$2:$L$475)</f>
        <v>0</v>
      </c>
      <c r="O27" s="12">
        <f>SUMIF(Mercado_Receita!$S$2:$S$475,"44470B2BrancaRuralNão se aplicaNão se aplicaNão se aplicaPonta",Mercado_Receita!$L$2:$L$475)</f>
        <v>0</v>
      </c>
      <c r="P27" s="12">
        <f>SUMIF(Mercado_Receita!$S$2:$S$475,"44501B2BrancaRuralNão se aplicaNão se aplicaNão se aplicaPonta",Mercado_Receita!$L$2:$L$475)</f>
        <v>0</v>
      </c>
      <c r="Q27" s="12">
        <f>SUMIF(Mercado_Receita!$S$2:$S$475,"44531B2BrancaRuralNão se aplicaNão se aplicaNão se aplicaPonta",Mercado_Receita!$L$2:$L$475)</f>
        <v>0</v>
      </c>
      <c r="R27" s="12">
        <f>SUMIF(Mercado_Receita!$S$2:$S$475,"44562B2BrancaRuralNão se aplicaNão se aplicaNão se aplicaPonta",Mercado_Receita!$L$2:$L$475)</f>
        <v>0</v>
      </c>
      <c r="S27" s="12">
        <f>SUMIF(Mercado_Receita!$S$2:$S$475,"44593B2BrancaRuralNão se aplicaNão se aplicaNão se aplicaPonta",Mercado_Receita!$L$2:$L$475)</f>
        <v>0</v>
      </c>
      <c r="T27" s="12">
        <f>SUMIF(Mercado_Receita!$S$2:$S$475,"44621B2BrancaRuralNão se aplicaNão se aplicaNão se aplicaPonta",Mercado_Receita!$L$2:$L$475)</f>
        <v>0</v>
      </c>
      <c r="U27" s="12">
        <f t="shared" si="0"/>
        <v>0</v>
      </c>
      <c r="V27" s="12"/>
      <c r="W27" s="12"/>
    </row>
    <row r="28" spans="1:23" ht="11.25" customHeight="1" x14ac:dyDescent="0.3">
      <c r="A28" s="106"/>
      <c r="B28" s="106"/>
      <c r="C28" s="106"/>
      <c r="D28" s="106"/>
      <c r="E28" s="106"/>
      <c r="F28" s="106"/>
      <c r="G28" s="12" t="s">
        <v>85</v>
      </c>
      <c r="H28" s="12" t="s">
        <v>72</v>
      </c>
      <c r="I28" s="12">
        <f>SUMIF(Mercado_Receita!$S$2:$S$475,"44287B2BrancaRuralNão se aplicaNão se aplicaNão se aplicaIntermediário",Mercado_Receita!$L$2:$L$475)</f>
        <v>0</v>
      </c>
      <c r="J28" s="12">
        <f>SUMIF(Mercado_Receita!$S$2:$S$475,"44317B2BrancaRuralNão se aplicaNão se aplicaNão se aplicaIntermediário",Mercado_Receita!$L$2:$L$475)</f>
        <v>0</v>
      </c>
      <c r="K28" s="12">
        <f>SUMIF(Mercado_Receita!$S$2:$S$475,"44348B2BrancaRuralNão se aplicaNão se aplicaNão se aplicaIntermediário",Mercado_Receita!$L$2:$L$475)</f>
        <v>0</v>
      </c>
      <c r="L28" s="12">
        <f>SUMIF(Mercado_Receita!$S$2:$S$475,"44378B2BrancaRuralNão se aplicaNão se aplicaNão se aplicaIntermediário",Mercado_Receita!$L$2:$L$475)</f>
        <v>0</v>
      </c>
      <c r="M28" s="12">
        <f>SUMIF(Mercado_Receita!$S$2:$S$475,"44409B2BrancaRuralNão se aplicaNão se aplicaNão se aplicaIntermediário",Mercado_Receita!$L$2:$L$475)</f>
        <v>0</v>
      </c>
      <c r="N28" s="12">
        <f>SUMIF(Mercado_Receita!$S$2:$S$475,"44440B2BrancaRuralNão se aplicaNão se aplicaNão se aplicaIntermediário",Mercado_Receita!$L$2:$L$475)</f>
        <v>0</v>
      </c>
      <c r="O28" s="12">
        <f>SUMIF(Mercado_Receita!$S$2:$S$475,"44470B2BrancaRuralNão se aplicaNão se aplicaNão se aplicaIntermediário",Mercado_Receita!$L$2:$L$475)</f>
        <v>0</v>
      </c>
      <c r="P28" s="12">
        <f>SUMIF(Mercado_Receita!$S$2:$S$475,"44501B2BrancaRuralNão se aplicaNão se aplicaNão se aplicaIntermediário",Mercado_Receita!$L$2:$L$475)</f>
        <v>0</v>
      </c>
      <c r="Q28" s="12">
        <f>SUMIF(Mercado_Receita!$S$2:$S$475,"44531B2BrancaRuralNão se aplicaNão se aplicaNão se aplicaIntermediário",Mercado_Receita!$L$2:$L$475)</f>
        <v>0</v>
      </c>
      <c r="R28" s="12">
        <f>SUMIF(Mercado_Receita!$S$2:$S$475,"44562B2BrancaRuralNão se aplicaNão se aplicaNão se aplicaIntermediário",Mercado_Receita!$L$2:$L$475)</f>
        <v>0</v>
      </c>
      <c r="S28" s="12">
        <f>SUMIF(Mercado_Receita!$S$2:$S$475,"44593B2BrancaRuralNão se aplicaNão se aplicaNão se aplicaIntermediário",Mercado_Receita!$L$2:$L$475)</f>
        <v>0</v>
      </c>
      <c r="T28" s="12">
        <f>SUMIF(Mercado_Receita!$S$2:$S$475,"44621B2BrancaRuralNão se aplicaNão se aplicaNão se aplicaIntermediário",Mercado_Receita!$L$2:$L$475)</f>
        <v>0</v>
      </c>
      <c r="U28" s="12">
        <f t="shared" si="0"/>
        <v>0</v>
      </c>
      <c r="V28" s="12"/>
      <c r="W28" s="12"/>
    </row>
    <row r="29" spans="1:23" ht="11.25" customHeight="1" x14ac:dyDescent="0.3">
      <c r="A29" s="106"/>
      <c r="B29" s="106"/>
      <c r="C29" s="106"/>
      <c r="D29" s="106"/>
      <c r="E29" s="106"/>
      <c r="F29" s="106"/>
      <c r="G29" s="12" t="s">
        <v>74</v>
      </c>
      <c r="H29" s="12" t="s">
        <v>72</v>
      </c>
      <c r="I29" s="12">
        <f>SUMIF(Mercado_Receita!$S$2:$S$475,"44287B2BrancaRuralNão se aplicaNão se aplicaNão se aplicaFora ponta",Mercado_Receita!$L$2:$L$475)</f>
        <v>0</v>
      </c>
      <c r="J29" s="12">
        <f>SUMIF(Mercado_Receita!$S$2:$S$475,"44317B2BrancaRuralNão se aplicaNão se aplicaNão se aplicaFora ponta",Mercado_Receita!$L$2:$L$475)</f>
        <v>0</v>
      </c>
      <c r="K29" s="12">
        <f>SUMIF(Mercado_Receita!$S$2:$S$475,"44348B2BrancaRuralNão se aplicaNão se aplicaNão se aplicaFora ponta",Mercado_Receita!$L$2:$L$475)</f>
        <v>0</v>
      </c>
      <c r="L29" s="12">
        <f>SUMIF(Mercado_Receita!$S$2:$S$475,"44378B2BrancaRuralNão se aplicaNão se aplicaNão se aplicaFora ponta",Mercado_Receita!$L$2:$L$475)</f>
        <v>0</v>
      </c>
      <c r="M29" s="12">
        <f>SUMIF(Mercado_Receita!$S$2:$S$475,"44409B2BrancaRuralNão se aplicaNão se aplicaNão se aplicaFora ponta",Mercado_Receita!$L$2:$L$475)</f>
        <v>0</v>
      </c>
      <c r="N29" s="12">
        <f>SUMIF(Mercado_Receita!$S$2:$S$475,"44440B2BrancaRuralNão se aplicaNão se aplicaNão se aplicaFora ponta",Mercado_Receita!$L$2:$L$475)</f>
        <v>0</v>
      </c>
      <c r="O29" s="12">
        <f>SUMIF(Mercado_Receita!$S$2:$S$475,"44470B2BrancaRuralNão se aplicaNão se aplicaNão se aplicaFora ponta",Mercado_Receita!$L$2:$L$475)</f>
        <v>0</v>
      </c>
      <c r="P29" s="12">
        <f>SUMIF(Mercado_Receita!$S$2:$S$475,"44501B2BrancaRuralNão se aplicaNão se aplicaNão se aplicaFora ponta",Mercado_Receita!$L$2:$L$475)</f>
        <v>0</v>
      </c>
      <c r="Q29" s="12">
        <f>SUMIF(Mercado_Receita!$S$2:$S$475,"44531B2BrancaRuralNão se aplicaNão se aplicaNão se aplicaFora ponta",Mercado_Receita!$L$2:$L$475)</f>
        <v>0</v>
      </c>
      <c r="R29" s="12">
        <f>SUMIF(Mercado_Receita!$S$2:$S$475,"44562B2BrancaRuralNão se aplicaNão se aplicaNão se aplicaFora ponta",Mercado_Receita!$L$2:$L$475)</f>
        <v>0</v>
      </c>
      <c r="S29" s="12">
        <f>SUMIF(Mercado_Receita!$S$2:$S$475,"44593B2BrancaRuralNão se aplicaNão se aplicaNão se aplicaFora ponta",Mercado_Receita!$L$2:$L$475)</f>
        <v>0</v>
      </c>
      <c r="T29" s="12">
        <f>SUMIF(Mercado_Receita!$S$2:$S$475,"44621B2BrancaRuralNão se aplicaNão se aplicaNão se aplicaFora ponta",Mercado_Receita!$L$2:$L$475)</f>
        <v>0</v>
      </c>
      <c r="U29" s="12">
        <f t="shared" si="0"/>
        <v>0</v>
      </c>
      <c r="V29" s="12"/>
      <c r="W29" s="12"/>
    </row>
    <row r="30" spans="1:23" ht="11.25" customHeight="1" x14ac:dyDescent="0.3">
      <c r="A30" s="106"/>
      <c r="B30" s="13" t="s">
        <v>23</v>
      </c>
      <c r="C30" s="13" t="s">
        <v>44</v>
      </c>
      <c r="D30" s="13" t="s">
        <v>25</v>
      </c>
      <c r="E30" s="13" t="s">
        <v>25</v>
      </c>
      <c r="F30" s="13" t="s">
        <v>25</v>
      </c>
      <c r="G30" s="12" t="s">
        <v>76</v>
      </c>
      <c r="H30" s="12" t="s">
        <v>72</v>
      </c>
      <c r="I30" s="12">
        <f>SUMIF(Mercado_Receita!$S$2:$S$475,"44287B2ConvencionalRuralNão se aplicaNão se aplicaNão se aplicaPonta",Mercado_Receita!$L$2:$L$475)+SUMIF(Mercado_Receita!$S$2:$S$475,"44287B2ConvencionalRuralNão se aplicaNão se aplicaNão se aplicaFora ponta",Mercado_Receita!$L$2:$L$475)+SUMIF(Mercado_Receita!$S$2:$S$475,"44287B2ConvencionalRuralNão se aplicaNão se aplicaNão se aplicaIntermediário",Mercado_Receita!$L$2:$L$475)+SUMIF(Mercado_Receita!$S$2:$S$475,"44287B2ConvencionalRuralNão se aplicaNão se aplicaNão se aplicaNão se aplica",Mercado_Receita!$L$2:$L$475)</f>
        <v>57.975000000000001</v>
      </c>
      <c r="J30" s="12">
        <f>SUMIF(Mercado_Receita!$S$2:$S$475,"44317B2ConvencionalRuralNão se aplicaNão se aplicaNão se aplicaPonta",Mercado_Receita!$L$2:$L$475)+SUMIF(Mercado_Receita!$S$2:$S$475,"44317B2ConvencionalRuralNão se aplicaNão se aplicaNão se aplicaFora ponta",Mercado_Receita!$L$2:$L$475)+SUMIF(Mercado_Receita!$S$2:$S$475,"44317B2ConvencionalRuralNão se aplicaNão se aplicaNão se aplicaIntermediário",Mercado_Receita!$L$2:$L$475)+SUMIF(Mercado_Receita!$S$2:$S$475,"44317B2ConvencionalRuralNão se aplicaNão se aplicaNão se aplicaNão se aplica",Mercado_Receita!$L$2:$L$475)</f>
        <v>44.422000000000004</v>
      </c>
      <c r="K30" s="12">
        <f>SUMIF(Mercado_Receita!$S$2:$S$475,"44348B2ConvencionalRuralNão se aplicaNão se aplicaNão se aplicaPonta",Mercado_Receita!$L$2:$L$475)+SUMIF(Mercado_Receita!$S$2:$S$475,"44348B2ConvencionalRuralNão se aplicaNão se aplicaNão se aplicaFora ponta",Mercado_Receita!$L$2:$L$475)+SUMIF(Mercado_Receita!$S$2:$S$475,"44348B2ConvencionalRuralNão se aplicaNão se aplicaNão se aplicaIntermediário",Mercado_Receita!$L$2:$L$475)+SUMIF(Mercado_Receita!$S$2:$S$475,"44348B2ConvencionalRuralNão se aplicaNão se aplicaNão se aplicaNão se aplica",Mercado_Receita!$L$2:$L$475)</f>
        <v>49.184999999999995</v>
      </c>
      <c r="L30" s="12">
        <f>SUMIF(Mercado_Receita!$S$2:$S$475,"44378B2ConvencionalRuralNão se aplicaNão se aplicaNão se aplicaPonta",Mercado_Receita!$L$2:$L$475)+SUMIF(Mercado_Receita!$S$2:$S$475,"44378B2ConvencionalRuralNão se aplicaNão se aplicaNão se aplicaFora ponta",Mercado_Receita!$L$2:$L$475)+SUMIF(Mercado_Receita!$S$2:$S$475,"44378B2ConvencionalRuralNão se aplicaNão se aplicaNão se aplicaIntermediário",Mercado_Receita!$L$2:$L$475)+SUMIF(Mercado_Receita!$S$2:$S$475,"44378B2ConvencionalRuralNão se aplicaNão se aplicaNão se aplicaNão se aplica",Mercado_Receita!$L$2:$L$475)</f>
        <v>65.590999999999994</v>
      </c>
      <c r="M30" s="12">
        <f>SUMIF(Mercado_Receita!$S$2:$S$475,"44409B2ConvencionalRuralNão se aplicaNão se aplicaNão se aplicaPonta",Mercado_Receita!$L$2:$L$475)+SUMIF(Mercado_Receita!$S$2:$S$475,"44409B2ConvencionalRuralNão se aplicaNão se aplicaNão se aplicaFora ponta",Mercado_Receita!$L$2:$L$475)+SUMIF(Mercado_Receita!$S$2:$S$475,"44409B2ConvencionalRuralNão se aplicaNão se aplicaNão se aplicaIntermediário",Mercado_Receita!$L$2:$L$475)+SUMIF(Mercado_Receita!$S$2:$S$475,"44409B2ConvencionalRuralNão se aplicaNão se aplicaNão se aplicaNão se aplica",Mercado_Receita!$L$2:$L$475)</f>
        <v>50.035999999999994</v>
      </c>
      <c r="N30" s="12">
        <f>SUMIF(Mercado_Receita!$S$2:$S$475,"44440B2ConvencionalRuralNão se aplicaNão se aplicaNão se aplicaPonta",Mercado_Receita!$L$2:$L$475)+SUMIF(Mercado_Receita!$S$2:$S$475,"44440B2ConvencionalRuralNão se aplicaNão se aplicaNão se aplicaFora ponta",Mercado_Receita!$L$2:$L$475)+SUMIF(Mercado_Receita!$S$2:$S$475,"44440B2ConvencionalRuralNão se aplicaNão se aplicaNão se aplicaIntermediário",Mercado_Receita!$L$2:$L$475)+SUMIF(Mercado_Receita!$S$2:$S$475,"44440B2ConvencionalRuralNão se aplicaNão se aplicaNão se aplicaNão se aplica",Mercado_Receita!$L$2:$L$475)</f>
        <v>52.677000000000007</v>
      </c>
      <c r="O30" s="12">
        <f>SUMIF(Mercado_Receita!$S$2:$S$475,"44470B2ConvencionalRuralNão se aplicaNão se aplicaNão se aplicaPonta",Mercado_Receita!$L$2:$L$475)+SUMIF(Mercado_Receita!$S$2:$S$475,"44470B2ConvencionalRuralNão se aplicaNão se aplicaNão se aplicaFora ponta",Mercado_Receita!$L$2:$L$475)+SUMIF(Mercado_Receita!$S$2:$S$475,"44470B2ConvencionalRuralNão se aplicaNão se aplicaNão se aplicaIntermediário",Mercado_Receita!$L$2:$L$475)+SUMIF(Mercado_Receita!$S$2:$S$475,"44470B2ConvencionalRuralNão se aplicaNão se aplicaNão se aplicaNão se aplica",Mercado_Receita!$L$2:$L$475)</f>
        <v>49.104999999999997</v>
      </c>
      <c r="P30" s="12">
        <f>SUMIF(Mercado_Receita!$S$2:$S$475,"44501B2ConvencionalRuralNão se aplicaNão se aplicaNão se aplicaPonta",Mercado_Receita!$L$2:$L$475)+SUMIF(Mercado_Receita!$S$2:$S$475,"44501B2ConvencionalRuralNão se aplicaNão se aplicaNão se aplicaFora ponta",Mercado_Receita!$L$2:$L$475)+SUMIF(Mercado_Receita!$S$2:$S$475,"44501B2ConvencionalRuralNão se aplicaNão se aplicaNão se aplicaIntermediário",Mercado_Receita!$L$2:$L$475)+SUMIF(Mercado_Receita!$S$2:$S$475,"44501B2ConvencionalRuralNão se aplicaNão se aplicaNão se aplicaNão se aplica",Mercado_Receita!$L$2:$L$475)</f>
        <v>42.551000000000002</v>
      </c>
      <c r="Q30" s="12">
        <f>SUMIF(Mercado_Receita!$S$2:$S$475,"44531B2ConvencionalRuralNão se aplicaNão se aplicaNão se aplicaPonta",Mercado_Receita!$L$2:$L$475)+SUMIF(Mercado_Receita!$S$2:$S$475,"44531B2ConvencionalRuralNão se aplicaNão se aplicaNão se aplicaFora ponta",Mercado_Receita!$L$2:$L$475)+SUMIF(Mercado_Receita!$S$2:$S$475,"44531B2ConvencionalRuralNão se aplicaNão se aplicaNão se aplicaIntermediário",Mercado_Receita!$L$2:$L$475)+SUMIF(Mercado_Receita!$S$2:$S$475,"44531B2ConvencionalRuralNão se aplicaNão se aplicaNão se aplicaNão se aplica",Mercado_Receita!$L$2:$L$475)</f>
        <v>43.126000000000005</v>
      </c>
      <c r="R30" s="12">
        <f>SUMIF(Mercado_Receita!$S$2:$S$475,"44562B2ConvencionalRuralNão se aplicaNão se aplicaNão se aplicaPonta",Mercado_Receita!$L$2:$L$475)+SUMIF(Mercado_Receita!$S$2:$S$475,"44562B2ConvencionalRuralNão se aplicaNão se aplicaNão se aplicaFora ponta",Mercado_Receita!$L$2:$L$475)+SUMIF(Mercado_Receita!$S$2:$S$475,"44562B2ConvencionalRuralNão se aplicaNão se aplicaNão se aplicaIntermediário",Mercado_Receita!$L$2:$L$475)+SUMIF(Mercado_Receita!$S$2:$S$475,"44562B2ConvencionalRuralNão se aplicaNão se aplicaNão se aplicaNão se aplica",Mercado_Receita!$L$2:$L$475)</f>
        <v>48.966000000000001</v>
      </c>
      <c r="S30" s="12">
        <f>SUMIF(Mercado_Receita!$S$2:$S$475,"44593B2ConvencionalRuralNão se aplicaNão se aplicaNão se aplicaPonta",Mercado_Receita!$L$2:$L$475)+SUMIF(Mercado_Receita!$S$2:$S$475,"44593B2ConvencionalRuralNão se aplicaNão se aplicaNão se aplicaFora ponta",Mercado_Receita!$L$2:$L$475)+SUMIF(Mercado_Receita!$S$2:$S$475,"44593B2ConvencionalRuralNão se aplicaNão se aplicaNão se aplicaIntermediário",Mercado_Receita!$L$2:$L$475)+SUMIF(Mercado_Receita!$S$2:$S$475,"44593B2ConvencionalRuralNão se aplicaNão se aplicaNão se aplicaNão se aplica",Mercado_Receita!$L$2:$L$475)</f>
        <v>48.672999999999995</v>
      </c>
      <c r="T30" s="12">
        <f>SUMIF(Mercado_Receita!$S$2:$S$475,"44621B2ConvencionalRuralNão se aplicaNão se aplicaNão se aplicaPonta",Mercado_Receita!$L$2:$L$475)+SUMIF(Mercado_Receita!$S$2:$S$475,"44621B2ConvencionalRuralNão se aplicaNão se aplicaNão se aplicaFora ponta",Mercado_Receita!$L$2:$L$475)+SUMIF(Mercado_Receita!$S$2:$S$475,"44621B2ConvencionalRuralNão se aplicaNão se aplicaNão se aplicaIntermediário",Mercado_Receita!$L$2:$L$475)+SUMIF(Mercado_Receita!$S$2:$S$475,"44621B2ConvencionalRuralNão se aplicaNão se aplicaNão se aplicaNão se aplica",Mercado_Receita!$L$2:$L$475)</f>
        <v>47.942</v>
      </c>
      <c r="U30" s="12">
        <f t="shared" si="0"/>
        <v>600.24900000000002</v>
      </c>
      <c r="V30" s="12"/>
      <c r="W30" s="12"/>
    </row>
    <row r="31" spans="1:23" ht="11.25" customHeight="1" x14ac:dyDescent="0.3">
      <c r="A31" s="106"/>
      <c r="B31" s="105" t="s">
        <v>33</v>
      </c>
      <c r="C31" s="105" t="s">
        <v>44</v>
      </c>
      <c r="D31" s="105" t="s">
        <v>88</v>
      </c>
      <c r="E31" s="105" t="s">
        <v>25</v>
      </c>
      <c r="F31" s="105" t="s">
        <v>25</v>
      </c>
      <c r="G31" s="12" t="s">
        <v>73</v>
      </c>
      <c r="H31" s="12" t="s">
        <v>72</v>
      </c>
      <c r="I31" s="12">
        <f>SUMIF(Mercado_Receita!$S$2:$S$475,"44287B2BrancaRuralCooperativa de eletrificação ruralNão se aplicaNão se aplicaPonta",Mercado_Receita!$L$2:$L$475)</f>
        <v>0</v>
      </c>
      <c r="J31" s="12">
        <f>SUMIF(Mercado_Receita!$S$2:$S$475,"44317B2BrancaRuralCooperativa de eletrificação ruralNão se aplicaNão se aplicaPonta",Mercado_Receita!$L$2:$L$475)</f>
        <v>0</v>
      </c>
      <c r="K31" s="12">
        <f>SUMIF(Mercado_Receita!$S$2:$S$475,"44348B2BrancaRuralCooperativa de eletrificação ruralNão se aplicaNão se aplicaPonta",Mercado_Receita!$L$2:$L$475)</f>
        <v>0</v>
      </c>
      <c r="L31" s="12">
        <f>SUMIF(Mercado_Receita!$S$2:$S$475,"44378B2BrancaRuralCooperativa de eletrificação ruralNão se aplicaNão se aplicaPonta",Mercado_Receita!$L$2:$L$475)</f>
        <v>0</v>
      </c>
      <c r="M31" s="12">
        <f>SUMIF(Mercado_Receita!$S$2:$S$475,"44409B2BrancaRuralCooperativa de eletrificação ruralNão se aplicaNão se aplicaPonta",Mercado_Receita!$L$2:$L$475)</f>
        <v>0</v>
      </c>
      <c r="N31" s="12">
        <f>SUMIF(Mercado_Receita!$S$2:$S$475,"44440B2BrancaRuralCooperativa de eletrificação ruralNão se aplicaNão se aplicaPonta",Mercado_Receita!$L$2:$L$475)</f>
        <v>0</v>
      </c>
      <c r="O31" s="12">
        <f>SUMIF(Mercado_Receita!$S$2:$S$475,"44470B2BrancaRuralCooperativa de eletrificação ruralNão se aplicaNão se aplicaPonta",Mercado_Receita!$L$2:$L$475)</f>
        <v>0</v>
      </c>
      <c r="P31" s="12">
        <f>SUMIF(Mercado_Receita!$S$2:$S$475,"44501B2BrancaRuralCooperativa de eletrificação ruralNão se aplicaNão se aplicaPonta",Mercado_Receita!$L$2:$L$475)</f>
        <v>0</v>
      </c>
      <c r="Q31" s="12">
        <f>SUMIF(Mercado_Receita!$S$2:$S$475,"44531B2BrancaRuralCooperativa de eletrificação ruralNão se aplicaNão se aplicaPonta",Mercado_Receita!$L$2:$L$475)</f>
        <v>0</v>
      </c>
      <c r="R31" s="12">
        <f>SUMIF(Mercado_Receita!$S$2:$S$475,"44562B2BrancaRuralCooperativa de eletrificação ruralNão se aplicaNão se aplicaPonta",Mercado_Receita!$L$2:$L$475)</f>
        <v>0</v>
      </c>
      <c r="S31" s="12">
        <f>SUMIF(Mercado_Receita!$S$2:$S$475,"44593B2BrancaRuralCooperativa de eletrificação ruralNão se aplicaNão se aplicaPonta",Mercado_Receita!$L$2:$L$475)</f>
        <v>0</v>
      </c>
      <c r="T31" s="12">
        <f>SUMIF(Mercado_Receita!$S$2:$S$475,"44621B2BrancaRuralCooperativa de eletrificação ruralNão se aplicaNão se aplicaPonta",Mercado_Receita!$L$2:$L$475)</f>
        <v>0</v>
      </c>
      <c r="U31" s="12">
        <f t="shared" si="0"/>
        <v>0</v>
      </c>
      <c r="V31" s="12"/>
      <c r="W31" s="12"/>
    </row>
    <row r="32" spans="1:23" ht="11.25" customHeight="1" x14ac:dyDescent="0.3">
      <c r="A32" s="106"/>
      <c r="B32" s="106"/>
      <c r="C32" s="106"/>
      <c r="D32" s="106"/>
      <c r="E32" s="106"/>
      <c r="F32" s="106"/>
      <c r="G32" s="12" t="s">
        <v>85</v>
      </c>
      <c r="H32" s="12" t="s">
        <v>72</v>
      </c>
      <c r="I32" s="12">
        <f>SUMIF(Mercado_Receita!$S$2:$S$475,"44287B2BrancaRuralCooperativa de eletrificação ruralNão se aplicaNão se aplicaIntermediário",Mercado_Receita!$L$2:$L$475)</f>
        <v>0</v>
      </c>
      <c r="J32" s="12">
        <f>SUMIF(Mercado_Receita!$S$2:$S$475,"44317B2BrancaRuralCooperativa de eletrificação ruralNão se aplicaNão se aplicaIntermediário",Mercado_Receita!$L$2:$L$475)</f>
        <v>0</v>
      </c>
      <c r="K32" s="12">
        <f>SUMIF(Mercado_Receita!$S$2:$S$475,"44348B2BrancaRuralCooperativa de eletrificação ruralNão se aplicaNão se aplicaIntermediário",Mercado_Receita!$L$2:$L$475)</f>
        <v>0</v>
      </c>
      <c r="L32" s="12">
        <f>SUMIF(Mercado_Receita!$S$2:$S$475,"44378B2BrancaRuralCooperativa de eletrificação ruralNão se aplicaNão se aplicaIntermediário",Mercado_Receita!$L$2:$L$475)</f>
        <v>0</v>
      </c>
      <c r="M32" s="12">
        <f>SUMIF(Mercado_Receita!$S$2:$S$475,"44409B2BrancaRuralCooperativa de eletrificação ruralNão se aplicaNão se aplicaIntermediário",Mercado_Receita!$L$2:$L$475)</f>
        <v>0</v>
      </c>
      <c r="N32" s="12">
        <f>SUMIF(Mercado_Receita!$S$2:$S$475,"44440B2BrancaRuralCooperativa de eletrificação ruralNão se aplicaNão se aplicaIntermediário",Mercado_Receita!$L$2:$L$475)</f>
        <v>0</v>
      </c>
      <c r="O32" s="12">
        <f>SUMIF(Mercado_Receita!$S$2:$S$475,"44470B2BrancaRuralCooperativa de eletrificação ruralNão se aplicaNão se aplicaIntermediário",Mercado_Receita!$L$2:$L$475)</f>
        <v>0</v>
      </c>
      <c r="P32" s="12">
        <f>SUMIF(Mercado_Receita!$S$2:$S$475,"44501B2BrancaRuralCooperativa de eletrificação ruralNão se aplicaNão se aplicaIntermediário",Mercado_Receita!$L$2:$L$475)</f>
        <v>0</v>
      </c>
      <c r="Q32" s="12">
        <f>SUMIF(Mercado_Receita!$S$2:$S$475,"44531B2BrancaRuralCooperativa de eletrificação ruralNão se aplicaNão se aplicaIntermediário",Mercado_Receita!$L$2:$L$475)</f>
        <v>0</v>
      </c>
      <c r="R32" s="12">
        <f>SUMIF(Mercado_Receita!$S$2:$S$475,"44562B2BrancaRuralCooperativa de eletrificação ruralNão se aplicaNão se aplicaIntermediário",Mercado_Receita!$L$2:$L$475)</f>
        <v>0</v>
      </c>
      <c r="S32" s="12">
        <f>SUMIF(Mercado_Receita!$S$2:$S$475,"44593B2BrancaRuralCooperativa de eletrificação ruralNão se aplicaNão se aplicaIntermediário",Mercado_Receita!$L$2:$L$475)</f>
        <v>0</v>
      </c>
      <c r="T32" s="12">
        <f>SUMIF(Mercado_Receita!$S$2:$S$475,"44621B2BrancaRuralCooperativa de eletrificação ruralNão se aplicaNão se aplicaIntermediário",Mercado_Receita!$L$2:$L$475)</f>
        <v>0</v>
      </c>
      <c r="U32" s="12">
        <f t="shared" si="0"/>
        <v>0</v>
      </c>
      <c r="V32" s="12"/>
      <c r="W32" s="12"/>
    </row>
    <row r="33" spans="1:23" ht="11.25" customHeight="1" x14ac:dyDescent="0.3">
      <c r="A33" s="106"/>
      <c r="B33" s="106"/>
      <c r="C33" s="106"/>
      <c r="D33" s="106"/>
      <c r="E33" s="106"/>
      <c r="F33" s="106"/>
      <c r="G33" s="12" t="s">
        <v>74</v>
      </c>
      <c r="H33" s="12" t="s">
        <v>72</v>
      </c>
      <c r="I33" s="12">
        <f>SUMIF(Mercado_Receita!$S$2:$S$475,"44287B2BrancaRuralCooperativa de eletrificação ruralNão se aplicaNão se aplicaFora ponta",Mercado_Receita!$L$2:$L$475)</f>
        <v>0</v>
      </c>
      <c r="J33" s="12">
        <f>SUMIF(Mercado_Receita!$S$2:$S$475,"44317B2BrancaRuralCooperativa de eletrificação ruralNão se aplicaNão se aplicaFora ponta",Mercado_Receita!$L$2:$L$475)</f>
        <v>0</v>
      </c>
      <c r="K33" s="12">
        <f>SUMIF(Mercado_Receita!$S$2:$S$475,"44348B2BrancaRuralCooperativa de eletrificação ruralNão se aplicaNão se aplicaFora ponta",Mercado_Receita!$L$2:$L$475)</f>
        <v>0</v>
      </c>
      <c r="L33" s="12">
        <f>SUMIF(Mercado_Receita!$S$2:$S$475,"44378B2BrancaRuralCooperativa de eletrificação ruralNão se aplicaNão se aplicaFora ponta",Mercado_Receita!$L$2:$L$475)</f>
        <v>0</v>
      </c>
      <c r="M33" s="12">
        <f>SUMIF(Mercado_Receita!$S$2:$S$475,"44409B2BrancaRuralCooperativa de eletrificação ruralNão se aplicaNão se aplicaFora ponta",Mercado_Receita!$L$2:$L$475)</f>
        <v>0</v>
      </c>
      <c r="N33" s="12">
        <f>SUMIF(Mercado_Receita!$S$2:$S$475,"44440B2BrancaRuralCooperativa de eletrificação ruralNão se aplicaNão se aplicaFora ponta",Mercado_Receita!$L$2:$L$475)</f>
        <v>0</v>
      </c>
      <c r="O33" s="12">
        <f>SUMIF(Mercado_Receita!$S$2:$S$475,"44470B2BrancaRuralCooperativa de eletrificação ruralNão se aplicaNão se aplicaFora ponta",Mercado_Receita!$L$2:$L$475)</f>
        <v>0</v>
      </c>
      <c r="P33" s="12">
        <f>SUMIF(Mercado_Receita!$S$2:$S$475,"44501B2BrancaRuralCooperativa de eletrificação ruralNão se aplicaNão se aplicaFora ponta",Mercado_Receita!$L$2:$L$475)</f>
        <v>0</v>
      </c>
      <c r="Q33" s="12">
        <f>SUMIF(Mercado_Receita!$S$2:$S$475,"44531B2BrancaRuralCooperativa de eletrificação ruralNão se aplicaNão se aplicaFora ponta",Mercado_Receita!$L$2:$L$475)</f>
        <v>0</v>
      </c>
      <c r="R33" s="12">
        <f>SUMIF(Mercado_Receita!$S$2:$S$475,"44562B2BrancaRuralCooperativa de eletrificação ruralNão se aplicaNão se aplicaFora ponta",Mercado_Receita!$L$2:$L$475)</f>
        <v>0</v>
      </c>
      <c r="S33" s="12">
        <f>SUMIF(Mercado_Receita!$S$2:$S$475,"44593B2BrancaRuralCooperativa de eletrificação ruralNão se aplicaNão se aplicaFora ponta",Mercado_Receita!$L$2:$L$475)</f>
        <v>0</v>
      </c>
      <c r="T33" s="12">
        <f>SUMIF(Mercado_Receita!$S$2:$S$475,"44621B2BrancaRuralCooperativa de eletrificação ruralNão se aplicaNão se aplicaFora ponta",Mercado_Receita!$L$2:$L$475)</f>
        <v>0</v>
      </c>
      <c r="U33" s="12">
        <f t="shared" si="0"/>
        <v>0</v>
      </c>
      <c r="V33" s="12"/>
      <c r="W33" s="12"/>
    </row>
    <row r="34" spans="1:23" ht="11.25" customHeight="1" x14ac:dyDescent="0.3">
      <c r="A34" s="106"/>
      <c r="B34" s="13" t="s">
        <v>23</v>
      </c>
      <c r="C34" s="13" t="s">
        <v>44</v>
      </c>
      <c r="D34" s="13" t="s">
        <v>88</v>
      </c>
      <c r="E34" s="13" t="s">
        <v>25</v>
      </c>
      <c r="F34" s="13" t="s">
        <v>25</v>
      </c>
      <c r="G34" s="12" t="s">
        <v>76</v>
      </c>
      <c r="H34" s="12" t="s">
        <v>72</v>
      </c>
      <c r="I34" s="12">
        <f>SUMIF(Mercado_Receita!$S$2:$S$475,"44287B2ConvencionalRuralCooperativa de eletrificação ruralNão se aplicaNão se aplicaPonta",Mercado_Receita!$L$2:$L$475)+SUMIF(Mercado_Receita!$S$2:$S$475,"44287B2ConvencionalRuralCooperativa de eletrificação ruralNão se aplicaNão se aplicaFora ponta",Mercado_Receita!$L$2:$L$475)+SUMIF(Mercado_Receita!$S$2:$S$475,"44287B2ConvencionalRuralCooperativa de eletrificação ruralNão se aplicaNão se aplicaIntermediário",Mercado_Receita!$L$2:$L$475)+SUMIF(Mercado_Receita!$S$2:$S$475,"44287B2ConvencionalRuralCooperativa de eletrificação ruralNão se aplicaNão se aplicaNão se aplica",Mercado_Receita!$L$2:$L$475)</f>
        <v>0</v>
      </c>
      <c r="J34" s="12">
        <f>SUMIF(Mercado_Receita!$S$2:$S$475,"44317B2ConvencionalRuralCooperativa de eletrificação ruralNão se aplicaNão se aplicaPonta",Mercado_Receita!$L$2:$L$475)+SUMIF(Mercado_Receita!$S$2:$S$475,"44317B2ConvencionalRuralCooperativa de eletrificação ruralNão se aplicaNão se aplicaFora ponta",Mercado_Receita!$L$2:$L$475)+SUMIF(Mercado_Receita!$S$2:$S$475,"44317B2ConvencionalRuralCooperativa de eletrificação ruralNão se aplicaNão se aplicaIntermediário",Mercado_Receita!$L$2:$L$475)+SUMIF(Mercado_Receita!$S$2:$S$475,"44317B2ConvencionalRuralCooperativa de eletrificação ruralNão se aplicaNão se aplicaNão se aplica",Mercado_Receita!$L$2:$L$475)</f>
        <v>0</v>
      </c>
      <c r="K34" s="12">
        <f>SUMIF(Mercado_Receita!$S$2:$S$475,"44348B2ConvencionalRuralCooperativa de eletrificação ruralNão se aplicaNão se aplicaPonta",Mercado_Receita!$L$2:$L$475)+SUMIF(Mercado_Receita!$S$2:$S$475,"44348B2ConvencionalRuralCooperativa de eletrificação ruralNão se aplicaNão se aplicaFora ponta",Mercado_Receita!$L$2:$L$475)+SUMIF(Mercado_Receita!$S$2:$S$475,"44348B2ConvencionalRuralCooperativa de eletrificação ruralNão se aplicaNão se aplicaIntermediário",Mercado_Receita!$L$2:$L$475)+SUMIF(Mercado_Receita!$S$2:$S$475,"44348B2ConvencionalRuralCooperativa de eletrificação ruralNão se aplicaNão se aplicaNão se aplica",Mercado_Receita!$L$2:$L$475)</f>
        <v>0</v>
      </c>
      <c r="L34" s="12">
        <f>SUMIF(Mercado_Receita!$S$2:$S$475,"44378B2ConvencionalRuralCooperativa de eletrificação ruralNão se aplicaNão se aplicaPonta",Mercado_Receita!$L$2:$L$475)+SUMIF(Mercado_Receita!$S$2:$S$475,"44378B2ConvencionalRuralCooperativa de eletrificação ruralNão se aplicaNão se aplicaFora ponta",Mercado_Receita!$L$2:$L$475)+SUMIF(Mercado_Receita!$S$2:$S$475,"44378B2ConvencionalRuralCooperativa de eletrificação ruralNão se aplicaNão se aplicaIntermediário",Mercado_Receita!$L$2:$L$475)+SUMIF(Mercado_Receita!$S$2:$S$475,"44378B2ConvencionalRuralCooperativa de eletrificação ruralNão se aplicaNão se aplicaNão se aplica",Mercado_Receita!$L$2:$L$475)</f>
        <v>0</v>
      </c>
      <c r="M34" s="12">
        <f>SUMIF(Mercado_Receita!$S$2:$S$475,"44409B2ConvencionalRuralCooperativa de eletrificação ruralNão se aplicaNão se aplicaPonta",Mercado_Receita!$L$2:$L$475)+SUMIF(Mercado_Receita!$S$2:$S$475,"44409B2ConvencionalRuralCooperativa de eletrificação ruralNão se aplicaNão se aplicaFora ponta",Mercado_Receita!$L$2:$L$475)+SUMIF(Mercado_Receita!$S$2:$S$475,"44409B2ConvencionalRuralCooperativa de eletrificação ruralNão se aplicaNão se aplicaIntermediário",Mercado_Receita!$L$2:$L$475)+SUMIF(Mercado_Receita!$S$2:$S$475,"44409B2ConvencionalRuralCooperativa de eletrificação ruralNão se aplicaNão se aplicaNão se aplica",Mercado_Receita!$L$2:$L$475)</f>
        <v>0</v>
      </c>
      <c r="N34" s="12">
        <f>SUMIF(Mercado_Receita!$S$2:$S$475,"44440B2ConvencionalRuralCooperativa de eletrificação ruralNão se aplicaNão se aplicaPonta",Mercado_Receita!$L$2:$L$475)+SUMIF(Mercado_Receita!$S$2:$S$475,"44440B2ConvencionalRuralCooperativa de eletrificação ruralNão se aplicaNão se aplicaFora ponta",Mercado_Receita!$L$2:$L$475)+SUMIF(Mercado_Receita!$S$2:$S$475,"44440B2ConvencionalRuralCooperativa de eletrificação ruralNão se aplicaNão se aplicaIntermediário",Mercado_Receita!$L$2:$L$475)+SUMIF(Mercado_Receita!$S$2:$S$475,"44440B2ConvencionalRuralCooperativa de eletrificação ruralNão se aplicaNão se aplicaNão se aplica",Mercado_Receita!$L$2:$L$475)</f>
        <v>0</v>
      </c>
      <c r="O34" s="12">
        <f>SUMIF(Mercado_Receita!$S$2:$S$475,"44470B2ConvencionalRuralCooperativa de eletrificação ruralNão se aplicaNão se aplicaPonta",Mercado_Receita!$L$2:$L$475)+SUMIF(Mercado_Receita!$S$2:$S$475,"44470B2ConvencionalRuralCooperativa de eletrificação ruralNão se aplicaNão se aplicaFora ponta",Mercado_Receita!$L$2:$L$475)+SUMIF(Mercado_Receita!$S$2:$S$475,"44470B2ConvencionalRuralCooperativa de eletrificação ruralNão se aplicaNão se aplicaIntermediário",Mercado_Receita!$L$2:$L$475)+SUMIF(Mercado_Receita!$S$2:$S$475,"44470B2ConvencionalRuralCooperativa de eletrificação ruralNão se aplicaNão se aplicaNão se aplica",Mercado_Receita!$L$2:$L$475)</f>
        <v>0</v>
      </c>
      <c r="P34" s="12">
        <f>SUMIF(Mercado_Receita!$S$2:$S$475,"44501B2ConvencionalRuralCooperativa de eletrificação ruralNão se aplicaNão se aplicaPonta",Mercado_Receita!$L$2:$L$475)+SUMIF(Mercado_Receita!$S$2:$S$475,"44501B2ConvencionalRuralCooperativa de eletrificação ruralNão se aplicaNão se aplicaFora ponta",Mercado_Receita!$L$2:$L$475)+SUMIF(Mercado_Receita!$S$2:$S$475,"44501B2ConvencionalRuralCooperativa de eletrificação ruralNão se aplicaNão se aplicaIntermediário",Mercado_Receita!$L$2:$L$475)+SUMIF(Mercado_Receita!$S$2:$S$475,"44501B2ConvencionalRuralCooperativa de eletrificação ruralNão se aplicaNão se aplicaNão se aplica",Mercado_Receita!$L$2:$L$475)</f>
        <v>0</v>
      </c>
      <c r="Q34" s="12">
        <f>SUMIF(Mercado_Receita!$S$2:$S$475,"44531B2ConvencionalRuralCooperativa de eletrificação ruralNão se aplicaNão se aplicaPonta",Mercado_Receita!$L$2:$L$475)+SUMIF(Mercado_Receita!$S$2:$S$475,"44531B2ConvencionalRuralCooperativa de eletrificação ruralNão se aplicaNão se aplicaFora ponta",Mercado_Receita!$L$2:$L$475)+SUMIF(Mercado_Receita!$S$2:$S$475,"44531B2ConvencionalRuralCooperativa de eletrificação ruralNão se aplicaNão se aplicaIntermediário",Mercado_Receita!$L$2:$L$475)+SUMIF(Mercado_Receita!$S$2:$S$475,"44531B2ConvencionalRuralCooperativa de eletrificação ruralNão se aplicaNão se aplicaNão se aplica",Mercado_Receita!$L$2:$L$475)</f>
        <v>0</v>
      </c>
      <c r="R34" s="12">
        <f>SUMIF(Mercado_Receita!$S$2:$S$475,"44562B2ConvencionalRuralCooperativa de eletrificação ruralNão se aplicaNão se aplicaPonta",Mercado_Receita!$L$2:$L$475)+SUMIF(Mercado_Receita!$S$2:$S$475,"44562B2ConvencionalRuralCooperativa de eletrificação ruralNão se aplicaNão se aplicaFora ponta",Mercado_Receita!$L$2:$L$475)+SUMIF(Mercado_Receita!$S$2:$S$475,"44562B2ConvencionalRuralCooperativa de eletrificação ruralNão se aplicaNão se aplicaIntermediário",Mercado_Receita!$L$2:$L$475)+SUMIF(Mercado_Receita!$S$2:$S$475,"44562B2ConvencionalRuralCooperativa de eletrificação ruralNão se aplicaNão se aplicaNão se aplica",Mercado_Receita!$L$2:$L$475)</f>
        <v>0</v>
      </c>
      <c r="S34" s="12">
        <f>SUMIF(Mercado_Receita!$S$2:$S$475,"44593B2ConvencionalRuralCooperativa de eletrificação ruralNão se aplicaNão se aplicaPonta",Mercado_Receita!$L$2:$L$475)+SUMIF(Mercado_Receita!$S$2:$S$475,"44593B2ConvencionalRuralCooperativa de eletrificação ruralNão se aplicaNão se aplicaFora ponta",Mercado_Receita!$L$2:$L$475)+SUMIF(Mercado_Receita!$S$2:$S$475,"44593B2ConvencionalRuralCooperativa de eletrificação ruralNão se aplicaNão se aplicaIntermediário",Mercado_Receita!$L$2:$L$475)+SUMIF(Mercado_Receita!$S$2:$S$475,"44593B2ConvencionalRuralCooperativa de eletrificação ruralNão se aplicaNão se aplicaNão se aplica",Mercado_Receita!$L$2:$L$475)</f>
        <v>0</v>
      </c>
      <c r="T34" s="12">
        <f>SUMIF(Mercado_Receita!$S$2:$S$475,"44621B2ConvencionalRuralCooperativa de eletrificação ruralNão se aplicaNão se aplicaPonta",Mercado_Receita!$L$2:$L$475)+SUMIF(Mercado_Receita!$S$2:$S$475,"44621B2ConvencionalRuralCooperativa de eletrificação ruralNão se aplicaNão se aplicaFora ponta",Mercado_Receita!$L$2:$L$475)+SUMIF(Mercado_Receita!$S$2:$S$475,"44621B2ConvencionalRuralCooperativa de eletrificação ruralNão se aplicaNão se aplicaIntermediário",Mercado_Receita!$L$2:$L$475)+SUMIF(Mercado_Receita!$S$2:$S$475,"44621B2ConvencionalRuralCooperativa de eletrificação ruralNão se aplicaNão se aplicaNão se aplica",Mercado_Receita!$L$2:$L$475)</f>
        <v>0</v>
      </c>
      <c r="U34" s="12">
        <f t="shared" si="0"/>
        <v>0</v>
      </c>
      <c r="V34" s="12"/>
      <c r="W34" s="12"/>
    </row>
    <row r="35" spans="1:23" ht="11.25" customHeight="1" x14ac:dyDescent="0.3">
      <c r="A35" s="106"/>
      <c r="B35" s="105" t="s">
        <v>33</v>
      </c>
      <c r="C35" s="105" t="s">
        <v>44</v>
      </c>
      <c r="D35" s="105" t="s">
        <v>89</v>
      </c>
      <c r="E35" s="105" t="s">
        <v>25</v>
      </c>
      <c r="F35" s="105" t="s">
        <v>25</v>
      </c>
      <c r="G35" s="12" t="s">
        <v>73</v>
      </c>
      <c r="H35" s="12" t="s">
        <v>72</v>
      </c>
      <c r="I35" s="12">
        <f>SUMIF(Mercado_Receita!$S$2:$S$475,"44287B2BrancaRuralServiço público de irrigação ruralNão se aplicaNão se aplicaPonta",Mercado_Receita!$L$2:$L$475)</f>
        <v>0</v>
      </c>
      <c r="J35" s="12">
        <f>SUMIF(Mercado_Receita!$S$2:$S$475,"44317B2BrancaRuralServiço público de irrigação ruralNão se aplicaNão se aplicaPonta",Mercado_Receita!$L$2:$L$475)</f>
        <v>0</v>
      </c>
      <c r="K35" s="12">
        <f>SUMIF(Mercado_Receita!$S$2:$S$475,"44348B2BrancaRuralServiço público de irrigação ruralNão se aplicaNão se aplicaPonta",Mercado_Receita!$L$2:$L$475)</f>
        <v>0</v>
      </c>
      <c r="L35" s="12">
        <f>SUMIF(Mercado_Receita!$S$2:$S$475,"44378B2BrancaRuralServiço público de irrigação ruralNão se aplicaNão se aplicaPonta",Mercado_Receita!$L$2:$L$475)</f>
        <v>0</v>
      </c>
      <c r="M35" s="12">
        <f>SUMIF(Mercado_Receita!$S$2:$S$475,"44409B2BrancaRuralServiço público de irrigação ruralNão se aplicaNão se aplicaPonta",Mercado_Receita!$L$2:$L$475)</f>
        <v>0</v>
      </c>
      <c r="N35" s="12">
        <f>SUMIF(Mercado_Receita!$S$2:$S$475,"44440B2BrancaRuralServiço público de irrigação ruralNão se aplicaNão se aplicaPonta",Mercado_Receita!$L$2:$L$475)</f>
        <v>0</v>
      </c>
      <c r="O35" s="12">
        <f>SUMIF(Mercado_Receita!$S$2:$S$475,"44470B2BrancaRuralServiço público de irrigação ruralNão se aplicaNão se aplicaPonta",Mercado_Receita!$L$2:$L$475)</f>
        <v>0</v>
      </c>
      <c r="P35" s="12">
        <f>SUMIF(Mercado_Receita!$S$2:$S$475,"44501B2BrancaRuralServiço público de irrigação ruralNão se aplicaNão se aplicaPonta",Mercado_Receita!$L$2:$L$475)</f>
        <v>0</v>
      </c>
      <c r="Q35" s="12">
        <f>SUMIF(Mercado_Receita!$S$2:$S$475,"44531B2BrancaRuralServiço público de irrigação ruralNão se aplicaNão se aplicaPonta",Mercado_Receita!$L$2:$L$475)</f>
        <v>0</v>
      </c>
      <c r="R35" s="12">
        <f>SUMIF(Mercado_Receita!$S$2:$S$475,"44562B2BrancaRuralServiço público de irrigação ruralNão se aplicaNão se aplicaPonta",Mercado_Receita!$L$2:$L$475)</f>
        <v>0</v>
      </c>
      <c r="S35" s="12">
        <f>SUMIF(Mercado_Receita!$S$2:$S$475,"44593B2BrancaRuralServiço público de irrigação ruralNão se aplicaNão se aplicaPonta",Mercado_Receita!$L$2:$L$475)</f>
        <v>0</v>
      </c>
      <c r="T35" s="12">
        <f>SUMIF(Mercado_Receita!$S$2:$S$475,"44621B2BrancaRuralServiço público de irrigação ruralNão se aplicaNão se aplicaPonta",Mercado_Receita!$L$2:$L$475)</f>
        <v>0</v>
      </c>
      <c r="U35" s="12">
        <f t="shared" si="0"/>
        <v>0</v>
      </c>
      <c r="V35" s="12"/>
      <c r="W35" s="12"/>
    </row>
    <row r="36" spans="1:23" ht="11.25" customHeight="1" x14ac:dyDescent="0.3">
      <c r="A36" s="106"/>
      <c r="B36" s="106"/>
      <c r="C36" s="106"/>
      <c r="D36" s="106"/>
      <c r="E36" s="106"/>
      <c r="F36" s="106"/>
      <c r="G36" s="12" t="s">
        <v>85</v>
      </c>
      <c r="H36" s="12" t="s">
        <v>72</v>
      </c>
      <c r="I36" s="12">
        <f>SUMIF(Mercado_Receita!$S$2:$S$475,"44287B2BrancaRuralServiço público de irrigação ruralNão se aplicaNão se aplicaIntermediário",Mercado_Receita!$L$2:$L$475)</f>
        <v>0</v>
      </c>
      <c r="J36" s="12">
        <f>SUMIF(Mercado_Receita!$S$2:$S$475,"44317B2BrancaRuralServiço público de irrigação ruralNão se aplicaNão se aplicaIntermediário",Mercado_Receita!$L$2:$L$475)</f>
        <v>0</v>
      </c>
      <c r="K36" s="12">
        <f>SUMIF(Mercado_Receita!$S$2:$S$475,"44348B2BrancaRuralServiço público de irrigação ruralNão se aplicaNão se aplicaIntermediário",Mercado_Receita!$L$2:$L$475)</f>
        <v>0</v>
      </c>
      <c r="L36" s="12">
        <f>SUMIF(Mercado_Receita!$S$2:$S$475,"44378B2BrancaRuralServiço público de irrigação ruralNão se aplicaNão se aplicaIntermediário",Mercado_Receita!$L$2:$L$475)</f>
        <v>0</v>
      </c>
      <c r="M36" s="12">
        <f>SUMIF(Mercado_Receita!$S$2:$S$475,"44409B2BrancaRuralServiço público de irrigação ruralNão se aplicaNão se aplicaIntermediário",Mercado_Receita!$L$2:$L$475)</f>
        <v>0</v>
      </c>
      <c r="N36" s="12">
        <f>SUMIF(Mercado_Receita!$S$2:$S$475,"44440B2BrancaRuralServiço público de irrigação ruralNão se aplicaNão se aplicaIntermediário",Mercado_Receita!$L$2:$L$475)</f>
        <v>0</v>
      </c>
      <c r="O36" s="12">
        <f>SUMIF(Mercado_Receita!$S$2:$S$475,"44470B2BrancaRuralServiço público de irrigação ruralNão se aplicaNão se aplicaIntermediário",Mercado_Receita!$L$2:$L$475)</f>
        <v>0</v>
      </c>
      <c r="P36" s="12">
        <f>SUMIF(Mercado_Receita!$S$2:$S$475,"44501B2BrancaRuralServiço público de irrigação ruralNão se aplicaNão se aplicaIntermediário",Mercado_Receita!$L$2:$L$475)</f>
        <v>0</v>
      </c>
      <c r="Q36" s="12">
        <f>SUMIF(Mercado_Receita!$S$2:$S$475,"44531B2BrancaRuralServiço público de irrigação ruralNão se aplicaNão se aplicaIntermediário",Mercado_Receita!$L$2:$L$475)</f>
        <v>0</v>
      </c>
      <c r="R36" s="12">
        <f>SUMIF(Mercado_Receita!$S$2:$S$475,"44562B2BrancaRuralServiço público de irrigação ruralNão se aplicaNão se aplicaIntermediário",Mercado_Receita!$L$2:$L$475)</f>
        <v>0</v>
      </c>
      <c r="S36" s="12">
        <f>SUMIF(Mercado_Receita!$S$2:$S$475,"44593B2BrancaRuralServiço público de irrigação ruralNão se aplicaNão se aplicaIntermediário",Mercado_Receita!$L$2:$L$475)</f>
        <v>0</v>
      </c>
      <c r="T36" s="12">
        <f>SUMIF(Mercado_Receita!$S$2:$S$475,"44621B2BrancaRuralServiço público de irrigação ruralNão se aplicaNão se aplicaIntermediário",Mercado_Receita!$L$2:$L$475)</f>
        <v>0</v>
      </c>
      <c r="U36" s="12">
        <f t="shared" si="0"/>
        <v>0</v>
      </c>
      <c r="V36" s="12"/>
      <c r="W36" s="12"/>
    </row>
    <row r="37" spans="1:23" ht="11.25" customHeight="1" x14ac:dyDescent="0.3">
      <c r="A37" s="106"/>
      <c r="B37" s="106"/>
      <c r="C37" s="106"/>
      <c r="D37" s="106"/>
      <c r="E37" s="106"/>
      <c r="F37" s="106"/>
      <c r="G37" s="12" t="s">
        <v>74</v>
      </c>
      <c r="H37" s="12" t="s">
        <v>72</v>
      </c>
      <c r="I37" s="12">
        <f>SUMIF(Mercado_Receita!$S$2:$S$475,"44287B2BrancaRuralServiço público de irrigação ruralNão se aplicaNão se aplicaFora ponta",Mercado_Receita!$L$2:$L$475)</f>
        <v>0</v>
      </c>
      <c r="J37" s="12">
        <f>SUMIF(Mercado_Receita!$S$2:$S$475,"44317B2BrancaRuralServiço público de irrigação ruralNão se aplicaNão se aplicaFora ponta",Mercado_Receita!$L$2:$L$475)</f>
        <v>0</v>
      </c>
      <c r="K37" s="12">
        <f>SUMIF(Mercado_Receita!$S$2:$S$475,"44348B2BrancaRuralServiço público de irrigação ruralNão se aplicaNão se aplicaFora ponta",Mercado_Receita!$L$2:$L$475)</f>
        <v>0</v>
      </c>
      <c r="L37" s="12">
        <f>SUMIF(Mercado_Receita!$S$2:$S$475,"44378B2BrancaRuralServiço público de irrigação ruralNão se aplicaNão se aplicaFora ponta",Mercado_Receita!$L$2:$L$475)</f>
        <v>0</v>
      </c>
      <c r="M37" s="12">
        <f>SUMIF(Mercado_Receita!$S$2:$S$475,"44409B2BrancaRuralServiço público de irrigação ruralNão se aplicaNão se aplicaFora ponta",Mercado_Receita!$L$2:$L$475)</f>
        <v>0</v>
      </c>
      <c r="N37" s="12">
        <f>SUMIF(Mercado_Receita!$S$2:$S$475,"44440B2BrancaRuralServiço público de irrigação ruralNão se aplicaNão se aplicaFora ponta",Mercado_Receita!$L$2:$L$475)</f>
        <v>0</v>
      </c>
      <c r="O37" s="12">
        <f>SUMIF(Mercado_Receita!$S$2:$S$475,"44470B2BrancaRuralServiço público de irrigação ruralNão se aplicaNão se aplicaFora ponta",Mercado_Receita!$L$2:$L$475)</f>
        <v>0</v>
      </c>
      <c r="P37" s="12">
        <f>SUMIF(Mercado_Receita!$S$2:$S$475,"44501B2BrancaRuralServiço público de irrigação ruralNão se aplicaNão se aplicaFora ponta",Mercado_Receita!$L$2:$L$475)</f>
        <v>0</v>
      </c>
      <c r="Q37" s="12">
        <f>SUMIF(Mercado_Receita!$S$2:$S$475,"44531B2BrancaRuralServiço público de irrigação ruralNão se aplicaNão se aplicaFora ponta",Mercado_Receita!$L$2:$L$475)</f>
        <v>0</v>
      </c>
      <c r="R37" s="12">
        <f>SUMIF(Mercado_Receita!$S$2:$S$475,"44562B2BrancaRuralServiço público de irrigação ruralNão se aplicaNão se aplicaFora ponta",Mercado_Receita!$L$2:$L$475)</f>
        <v>0</v>
      </c>
      <c r="S37" s="12">
        <f>SUMIF(Mercado_Receita!$S$2:$S$475,"44593B2BrancaRuralServiço público de irrigação ruralNão se aplicaNão se aplicaFora ponta",Mercado_Receita!$L$2:$L$475)</f>
        <v>0</v>
      </c>
      <c r="T37" s="12">
        <f>SUMIF(Mercado_Receita!$S$2:$S$475,"44621B2BrancaRuralServiço público de irrigação ruralNão se aplicaNão se aplicaFora ponta",Mercado_Receita!$L$2:$L$475)</f>
        <v>0</v>
      </c>
      <c r="U37" s="12">
        <f t="shared" si="0"/>
        <v>0</v>
      </c>
      <c r="V37" s="12"/>
      <c r="W37" s="12"/>
    </row>
    <row r="38" spans="1:23" ht="11.25" customHeight="1" x14ac:dyDescent="0.3">
      <c r="A38" s="106"/>
      <c r="B38" s="13" t="s">
        <v>23</v>
      </c>
      <c r="C38" s="13" t="s">
        <v>44</v>
      </c>
      <c r="D38" s="13" t="s">
        <v>89</v>
      </c>
      <c r="E38" s="13" t="s">
        <v>25</v>
      </c>
      <c r="F38" s="13" t="s">
        <v>25</v>
      </c>
      <c r="G38" s="12" t="s">
        <v>76</v>
      </c>
      <c r="H38" s="12" t="s">
        <v>72</v>
      </c>
      <c r="I38" s="12">
        <f>SUMIF(Mercado_Receita!$S$2:$S$475,"44287B2ConvencionalRuralServiço público de irrigação ruralNão se aplicaNão se aplicaPonta",Mercado_Receita!$L$2:$L$475)+SUMIF(Mercado_Receita!$S$2:$S$475,"44287B2ConvencionalRuralServiço público de irrigação ruralNão se aplicaNão se aplicaFora ponta",Mercado_Receita!$L$2:$L$475)+SUMIF(Mercado_Receita!$S$2:$S$475,"44287B2ConvencionalRuralServiço público de irrigação ruralNão se aplicaNão se aplicaIntermediário",Mercado_Receita!$L$2:$L$475)+SUMIF(Mercado_Receita!$S$2:$S$475,"44287B2ConvencionalRuralServiço público de irrigação ruralNão se aplicaNão se aplicaNão se aplica",Mercado_Receita!$L$2:$L$475)</f>
        <v>0</v>
      </c>
      <c r="J38" s="12">
        <f>SUMIF(Mercado_Receita!$S$2:$S$475,"44317B2ConvencionalRuralServiço público de irrigação ruralNão se aplicaNão se aplicaPonta",Mercado_Receita!$L$2:$L$475)+SUMIF(Mercado_Receita!$S$2:$S$475,"44317B2ConvencionalRuralServiço público de irrigação ruralNão se aplicaNão se aplicaFora ponta",Mercado_Receita!$L$2:$L$475)+SUMIF(Mercado_Receita!$S$2:$S$475,"44317B2ConvencionalRuralServiço público de irrigação ruralNão se aplicaNão se aplicaIntermediário",Mercado_Receita!$L$2:$L$475)+SUMIF(Mercado_Receita!$S$2:$S$475,"44317B2ConvencionalRuralServiço público de irrigação ruralNão se aplicaNão se aplicaNão se aplica",Mercado_Receita!$L$2:$L$475)</f>
        <v>0</v>
      </c>
      <c r="K38" s="12">
        <f>SUMIF(Mercado_Receita!$S$2:$S$475,"44348B2ConvencionalRuralServiço público de irrigação ruralNão se aplicaNão se aplicaPonta",Mercado_Receita!$L$2:$L$475)+SUMIF(Mercado_Receita!$S$2:$S$475,"44348B2ConvencionalRuralServiço público de irrigação ruralNão se aplicaNão se aplicaFora ponta",Mercado_Receita!$L$2:$L$475)+SUMIF(Mercado_Receita!$S$2:$S$475,"44348B2ConvencionalRuralServiço público de irrigação ruralNão se aplicaNão se aplicaIntermediário",Mercado_Receita!$L$2:$L$475)+SUMIF(Mercado_Receita!$S$2:$S$475,"44348B2ConvencionalRuralServiço público de irrigação ruralNão se aplicaNão se aplicaNão se aplica",Mercado_Receita!$L$2:$L$475)</f>
        <v>0</v>
      </c>
      <c r="L38" s="12">
        <f>SUMIF(Mercado_Receita!$S$2:$S$475,"44378B2ConvencionalRuralServiço público de irrigação ruralNão se aplicaNão se aplicaPonta",Mercado_Receita!$L$2:$L$475)+SUMIF(Mercado_Receita!$S$2:$S$475,"44378B2ConvencionalRuralServiço público de irrigação ruralNão se aplicaNão se aplicaFora ponta",Mercado_Receita!$L$2:$L$475)+SUMIF(Mercado_Receita!$S$2:$S$475,"44378B2ConvencionalRuralServiço público de irrigação ruralNão se aplicaNão se aplicaIntermediário",Mercado_Receita!$L$2:$L$475)+SUMIF(Mercado_Receita!$S$2:$S$475,"44378B2ConvencionalRuralServiço público de irrigação ruralNão se aplicaNão se aplicaNão se aplica",Mercado_Receita!$L$2:$L$475)</f>
        <v>0</v>
      </c>
      <c r="M38" s="12">
        <f>SUMIF(Mercado_Receita!$S$2:$S$475,"44409B2ConvencionalRuralServiço público de irrigação ruralNão se aplicaNão se aplicaPonta",Mercado_Receita!$L$2:$L$475)+SUMIF(Mercado_Receita!$S$2:$S$475,"44409B2ConvencionalRuralServiço público de irrigação ruralNão se aplicaNão se aplicaFora ponta",Mercado_Receita!$L$2:$L$475)+SUMIF(Mercado_Receita!$S$2:$S$475,"44409B2ConvencionalRuralServiço público de irrigação ruralNão se aplicaNão se aplicaIntermediário",Mercado_Receita!$L$2:$L$475)+SUMIF(Mercado_Receita!$S$2:$S$475,"44409B2ConvencionalRuralServiço público de irrigação ruralNão se aplicaNão se aplicaNão se aplica",Mercado_Receita!$L$2:$L$475)</f>
        <v>0</v>
      </c>
      <c r="N38" s="12">
        <f>SUMIF(Mercado_Receita!$S$2:$S$475,"44440B2ConvencionalRuralServiço público de irrigação ruralNão se aplicaNão se aplicaPonta",Mercado_Receita!$L$2:$L$475)+SUMIF(Mercado_Receita!$S$2:$S$475,"44440B2ConvencionalRuralServiço público de irrigação ruralNão se aplicaNão se aplicaFora ponta",Mercado_Receita!$L$2:$L$475)+SUMIF(Mercado_Receita!$S$2:$S$475,"44440B2ConvencionalRuralServiço público de irrigação ruralNão se aplicaNão se aplicaIntermediário",Mercado_Receita!$L$2:$L$475)+SUMIF(Mercado_Receita!$S$2:$S$475,"44440B2ConvencionalRuralServiço público de irrigação ruralNão se aplicaNão se aplicaNão se aplica",Mercado_Receita!$L$2:$L$475)</f>
        <v>0</v>
      </c>
      <c r="O38" s="12">
        <f>SUMIF(Mercado_Receita!$S$2:$S$475,"44470B2ConvencionalRuralServiço público de irrigação ruralNão se aplicaNão se aplicaPonta",Mercado_Receita!$L$2:$L$475)+SUMIF(Mercado_Receita!$S$2:$S$475,"44470B2ConvencionalRuralServiço público de irrigação ruralNão se aplicaNão se aplicaFora ponta",Mercado_Receita!$L$2:$L$475)+SUMIF(Mercado_Receita!$S$2:$S$475,"44470B2ConvencionalRuralServiço público de irrigação ruralNão se aplicaNão se aplicaIntermediário",Mercado_Receita!$L$2:$L$475)+SUMIF(Mercado_Receita!$S$2:$S$475,"44470B2ConvencionalRuralServiço público de irrigação ruralNão se aplicaNão se aplicaNão se aplica",Mercado_Receita!$L$2:$L$475)</f>
        <v>0</v>
      </c>
      <c r="P38" s="12">
        <f>SUMIF(Mercado_Receita!$S$2:$S$475,"44501B2ConvencionalRuralServiço público de irrigação ruralNão se aplicaNão se aplicaPonta",Mercado_Receita!$L$2:$L$475)+SUMIF(Mercado_Receita!$S$2:$S$475,"44501B2ConvencionalRuralServiço público de irrigação ruralNão se aplicaNão se aplicaFora ponta",Mercado_Receita!$L$2:$L$475)+SUMIF(Mercado_Receita!$S$2:$S$475,"44501B2ConvencionalRuralServiço público de irrigação ruralNão se aplicaNão se aplicaIntermediário",Mercado_Receita!$L$2:$L$475)+SUMIF(Mercado_Receita!$S$2:$S$475,"44501B2ConvencionalRuralServiço público de irrigação ruralNão se aplicaNão se aplicaNão se aplica",Mercado_Receita!$L$2:$L$475)</f>
        <v>0</v>
      </c>
      <c r="Q38" s="12">
        <f>SUMIF(Mercado_Receita!$S$2:$S$475,"44531B2ConvencionalRuralServiço público de irrigação ruralNão se aplicaNão se aplicaPonta",Mercado_Receita!$L$2:$L$475)+SUMIF(Mercado_Receita!$S$2:$S$475,"44531B2ConvencionalRuralServiço público de irrigação ruralNão se aplicaNão se aplicaFora ponta",Mercado_Receita!$L$2:$L$475)+SUMIF(Mercado_Receita!$S$2:$S$475,"44531B2ConvencionalRuralServiço público de irrigação ruralNão se aplicaNão se aplicaIntermediário",Mercado_Receita!$L$2:$L$475)+SUMIF(Mercado_Receita!$S$2:$S$475,"44531B2ConvencionalRuralServiço público de irrigação ruralNão se aplicaNão se aplicaNão se aplica",Mercado_Receita!$L$2:$L$475)</f>
        <v>0</v>
      </c>
      <c r="R38" s="12">
        <f>SUMIF(Mercado_Receita!$S$2:$S$475,"44562B2ConvencionalRuralServiço público de irrigação ruralNão se aplicaNão se aplicaPonta",Mercado_Receita!$L$2:$L$475)+SUMIF(Mercado_Receita!$S$2:$S$475,"44562B2ConvencionalRuralServiço público de irrigação ruralNão se aplicaNão se aplicaFora ponta",Mercado_Receita!$L$2:$L$475)+SUMIF(Mercado_Receita!$S$2:$S$475,"44562B2ConvencionalRuralServiço público de irrigação ruralNão se aplicaNão se aplicaIntermediário",Mercado_Receita!$L$2:$L$475)+SUMIF(Mercado_Receita!$S$2:$S$475,"44562B2ConvencionalRuralServiço público de irrigação ruralNão se aplicaNão se aplicaNão se aplica",Mercado_Receita!$L$2:$L$475)</f>
        <v>0</v>
      </c>
      <c r="S38" s="12">
        <f>SUMIF(Mercado_Receita!$S$2:$S$475,"44593B2ConvencionalRuralServiço público de irrigação ruralNão se aplicaNão se aplicaPonta",Mercado_Receita!$L$2:$L$475)+SUMIF(Mercado_Receita!$S$2:$S$475,"44593B2ConvencionalRuralServiço público de irrigação ruralNão se aplicaNão se aplicaFora ponta",Mercado_Receita!$L$2:$L$475)+SUMIF(Mercado_Receita!$S$2:$S$475,"44593B2ConvencionalRuralServiço público de irrigação ruralNão se aplicaNão se aplicaIntermediário",Mercado_Receita!$L$2:$L$475)+SUMIF(Mercado_Receita!$S$2:$S$475,"44593B2ConvencionalRuralServiço público de irrigação ruralNão se aplicaNão se aplicaNão se aplica",Mercado_Receita!$L$2:$L$475)</f>
        <v>0</v>
      </c>
      <c r="T38" s="12">
        <f>SUMIF(Mercado_Receita!$S$2:$S$475,"44621B2ConvencionalRuralServiço público de irrigação ruralNão se aplicaNão se aplicaPonta",Mercado_Receita!$L$2:$L$475)+SUMIF(Mercado_Receita!$S$2:$S$475,"44621B2ConvencionalRuralServiço público de irrigação ruralNão se aplicaNão se aplicaFora ponta",Mercado_Receita!$L$2:$L$475)+SUMIF(Mercado_Receita!$S$2:$S$475,"44621B2ConvencionalRuralServiço público de irrigação ruralNão se aplicaNão se aplicaIntermediário",Mercado_Receita!$L$2:$L$475)+SUMIF(Mercado_Receita!$S$2:$S$475,"44621B2ConvencionalRuralServiço público de irrigação ruralNão se aplicaNão se aplicaNão se aplica",Mercado_Receita!$L$2:$L$475)</f>
        <v>0</v>
      </c>
      <c r="U38" s="12">
        <f t="shared" si="0"/>
        <v>0</v>
      </c>
      <c r="V38" s="12"/>
      <c r="W38" s="12"/>
    </row>
    <row r="39" spans="1:23" ht="11.25" customHeight="1" x14ac:dyDescent="0.3">
      <c r="A39" s="106"/>
      <c r="B39" s="105" t="s">
        <v>87</v>
      </c>
      <c r="C39" s="105" t="s">
        <v>44</v>
      </c>
      <c r="D39" s="13" t="s">
        <v>25</v>
      </c>
      <c r="E39" s="13" t="s">
        <v>25</v>
      </c>
      <c r="F39" s="13" t="s">
        <v>25</v>
      </c>
      <c r="G39" s="12" t="s">
        <v>76</v>
      </c>
      <c r="H39" s="12" t="s">
        <v>72</v>
      </c>
      <c r="I39" s="12">
        <f>SUMIF(Mercado_Receita!$S$2:$S$475,"44287B2Convencional pré-pagamentoRuralNão se aplicaNão se aplicaNão se aplicaPonta",Mercado_Receita!$L$2:$L$475)+SUMIF(Mercado_Receita!$S$2:$S$475,"44287B2Convencional pré-pagamentoRuralNão se aplicaNão se aplicaNão se aplicaFora ponta",Mercado_Receita!$L$2:$L$475)+SUMIF(Mercado_Receita!$S$2:$S$475,"44287B2Convencional pré-pagamentoRuralNão se aplicaNão se aplicaNão se aplicaIntermediário",Mercado_Receita!$L$2:$L$475)+SUMIF(Mercado_Receita!$S$2:$S$475,"44287B2Convencional pré-pagamentoRuralNão se aplicaNão se aplicaNão se aplicaNão se aplica",Mercado_Receita!$L$2:$L$475)</f>
        <v>0</v>
      </c>
      <c r="J39" s="12">
        <f>SUMIF(Mercado_Receita!$S$2:$S$475,"44317B2Convencional pré-pagamentoRuralNão se aplicaNão se aplicaNão se aplicaPonta",Mercado_Receita!$L$2:$L$475)+SUMIF(Mercado_Receita!$S$2:$S$475,"44317B2Convencional pré-pagamentoRuralNão se aplicaNão se aplicaNão se aplicaFora ponta",Mercado_Receita!$L$2:$L$475)+SUMIF(Mercado_Receita!$S$2:$S$475,"44317B2Convencional pré-pagamentoRuralNão se aplicaNão se aplicaNão se aplicaIntermediário",Mercado_Receita!$L$2:$L$475)+SUMIF(Mercado_Receita!$S$2:$S$475,"44317B2Convencional pré-pagamentoRuralNão se aplicaNão se aplicaNão se aplicaNão se aplica",Mercado_Receita!$L$2:$L$475)</f>
        <v>0</v>
      </c>
      <c r="K39" s="12">
        <f>SUMIF(Mercado_Receita!$S$2:$S$475,"44348B2Convencional pré-pagamentoRuralNão se aplicaNão se aplicaNão se aplicaPonta",Mercado_Receita!$L$2:$L$475)+SUMIF(Mercado_Receita!$S$2:$S$475,"44348B2Convencional pré-pagamentoRuralNão se aplicaNão se aplicaNão se aplicaFora ponta",Mercado_Receita!$L$2:$L$475)+SUMIF(Mercado_Receita!$S$2:$S$475,"44348B2Convencional pré-pagamentoRuralNão se aplicaNão se aplicaNão se aplicaIntermediário",Mercado_Receita!$L$2:$L$475)+SUMIF(Mercado_Receita!$S$2:$S$475,"44348B2Convencional pré-pagamentoRuralNão se aplicaNão se aplicaNão se aplicaNão se aplica",Mercado_Receita!$L$2:$L$475)</f>
        <v>0</v>
      </c>
      <c r="L39" s="12">
        <f>SUMIF(Mercado_Receita!$S$2:$S$475,"44378B2Convencional pré-pagamentoRuralNão se aplicaNão se aplicaNão se aplicaPonta",Mercado_Receita!$L$2:$L$475)+SUMIF(Mercado_Receita!$S$2:$S$475,"44378B2Convencional pré-pagamentoRuralNão se aplicaNão se aplicaNão se aplicaFora ponta",Mercado_Receita!$L$2:$L$475)+SUMIF(Mercado_Receita!$S$2:$S$475,"44378B2Convencional pré-pagamentoRuralNão se aplicaNão se aplicaNão se aplicaIntermediário",Mercado_Receita!$L$2:$L$475)+SUMIF(Mercado_Receita!$S$2:$S$475,"44378B2Convencional pré-pagamentoRuralNão se aplicaNão se aplicaNão se aplicaNão se aplica",Mercado_Receita!$L$2:$L$475)</f>
        <v>0</v>
      </c>
      <c r="M39" s="12">
        <f>SUMIF(Mercado_Receita!$S$2:$S$475,"44409B2Convencional pré-pagamentoRuralNão se aplicaNão se aplicaNão se aplicaPonta",Mercado_Receita!$L$2:$L$475)+SUMIF(Mercado_Receita!$S$2:$S$475,"44409B2Convencional pré-pagamentoRuralNão se aplicaNão se aplicaNão se aplicaFora ponta",Mercado_Receita!$L$2:$L$475)+SUMIF(Mercado_Receita!$S$2:$S$475,"44409B2Convencional pré-pagamentoRuralNão se aplicaNão se aplicaNão se aplicaIntermediário",Mercado_Receita!$L$2:$L$475)+SUMIF(Mercado_Receita!$S$2:$S$475,"44409B2Convencional pré-pagamentoRuralNão se aplicaNão se aplicaNão se aplicaNão se aplica",Mercado_Receita!$L$2:$L$475)</f>
        <v>0</v>
      </c>
      <c r="N39" s="12">
        <f>SUMIF(Mercado_Receita!$S$2:$S$475,"44440B2Convencional pré-pagamentoRuralNão se aplicaNão se aplicaNão se aplicaPonta",Mercado_Receita!$L$2:$L$475)+SUMIF(Mercado_Receita!$S$2:$S$475,"44440B2Convencional pré-pagamentoRuralNão se aplicaNão se aplicaNão se aplicaFora ponta",Mercado_Receita!$L$2:$L$475)+SUMIF(Mercado_Receita!$S$2:$S$475,"44440B2Convencional pré-pagamentoRuralNão se aplicaNão se aplicaNão se aplicaIntermediário",Mercado_Receita!$L$2:$L$475)+SUMIF(Mercado_Receita!$S$2:$S$475,"44440B2Convencional pré-pagamentoRuralNão se aplicaNão se aplicaNão se aplicaNão se aplica",Mercado_Receita!$L$2:$L$475)</f>
        <v>0</v>
      </c>
      <c r="O39" s="12">
        <f>SUMIF(Mercado_Receita!$S$2:$S$475,"44470B2Convencional pré-pagamentoRuralNão se aplicaNão se aplicaNão se aplicaPonta",Mercado_Receita!$L$2:$L$475)+SUMIF(Mercado_Receita!$S$2:$S$475,"44470B2Convencional pré-pagamentoRuralNão se aplicaNão se aplicaNão se aplicaFora ponta",Mercado_Receita!$L$2:$L$475)+SUMIF(Mercado_Receita!$S$2:$S$475,"44470B2Convencional pré-pagamentoRuralNão se aplicaNão se aplicaNão se aplicaIntermediário",Mercado_Receita!$L$2:$L$475)+SUMIF(Mercado_Receita!$S$2:$S$475,"44470B2Convencional pré-pagamentoRuralNão se aplicaNão se aplicaNão se aplicaNão se aplica",Mercado_Receita!$L$2:$L$475)</f>
        <v>0</v>
      </c>
      <c r="P39" s="12">
        <f>SUMIF(Mercado_Receita!$S$2:$S$475,"44501B2Convencional pré-pagamentoRuralNão se aplicaNão se aplicaNão se aplicaPonta",Mercado_Receita!$L$2:$L$475)+SUMIF(Mercado_Receita!$S$2:$S$475,"44501B2Convencional pré-pagamentoRuralNão se aplicaNão se aplicaNão se aplicaFora ponta",Mercado_Receita!$L$2:$L$475)+SUMIF(Mercado_Receita!$S$2:$S$475,"44501B2Convencional pré-pagamentoRuralNão se aplicaNão se aplicaNão se aplicaIntermediário",Mercado_Receita!$L$2:$L$475)+SUMIF(Mercado_Receita!$S$2:$S$475,"44501B2Convencional pré-pagamentoRuralNão se aplicaNão se aplicaNão se aplicaNão se aplica",Mercado_Receita!$L$2:$L$475)</f>
        <v>0</v>
      </c>
      <c r="Q39" s="12">
        <f>SUMIF(Mercado_Receita!$S$2:$S$475,"44531B2Convencional pré-pagamentoRuralNão se aplicaNão se aplicaNão se aplicaPonta",Mercado_Receita!$L$2:$L$475)+SUMIF(Mercado_Receita!$S$2:$S$475,"44531B2Convencional pré-pagamentoRuralNão se aplicaNão se aplicaNão se aplicaFora ponta",Mercado_Receita!$L$2:$L$475)+SUMIF(Mercado_Receita!$S$2:$S$475,"44531B2Convencional pré-pagamentoRuralNão se aplicaNão se aplicaNão se aplicaIntermediário",Mercado_Receita!$L$2:$L$475)+SUMIF(Mercado_Receita!$S$2:$S$475,"44531B2Convencional pré-pagamentoRuralNão se aplicaNão se aplicaNão se aplicaNão se aplica",Mercado_Receita!$L$2:$L$475)</f>
        <v>0</v>
      </c>
      <c r="R39" s="12">
        <f>SUMIF(Mercado_Receita!$S$2:$S$475,"44562B2Convencional pré-pagamentoRuralNão se aplicaNão se aplicaNão se aplicaPonta",Mercado_Receita!$L$2:$L$475)+SUMIF(Mercado_Receita!$S$2:$S$475,"44562B2Convencional pré-pagamentoRuralNão se aplicaNão se aplicaNão se aplicaFora ponta",Mercado_Receita!$L$2:$L$475)+SUMIF(Mercado_Receita!$S$2:$S$475,"44562B2Convencional pré-pagamentoRuralNão se aplicaNão se aplicaNão se aplicaIntermediário",Mercado_Receita!$L$2:$L$475)+SUMIF(Mercado_Receita!$S$2:$S$475,"44562B2Convencional pré-pagamentoRuralNão se aplicaNão se aplicaNão se aplicaNão se aplica",Mercado_Receita!$L$2:$L$475)</f>
        <v>0</v>
      </c>
      <c r="S39" s="12">
        <f>SUMIF(Mercado_Receita!$S$2:$S$475,"44593B2Convencional pré-pagamentoRuralNão se aplicaNão se aplicaNão se aplicaPonta",Mercado_Receita!$L$2:$L$475)+SUMIF(Mercado_Receita!$S$2:$S$475,"44593B2Convencional pré-pagamentoRuralNão se aplicaNão se aplicaNão se aplicaFora ponta",Mercado_Receita!$L$2:$L$475)+SUMIF(Mercado_Receita!$S$2:$S$475,"44593B2Convencional pré-pagamentoRuralNão se aplicaNão se aplicaNão se aplicaIntermediário",Mercado_Receita!$L$2:$L$475)+SUMIF(Mercado_Receita!$S$2:$S$475,"44593B2Convencional pré-pagamentoRuralNão se aplicaNão se aplicaNão se aplicaNão se aplica",Mercado_Receita!$L$2:$L$475)</f>
        <v>0</v>
      </c>
      <c r="T39" s="12">
        <f>SUMIF(Mercado_Receita!$S$2:$S$475,"44621B2Convencional pré-pagamentoRuralNão se aplicaNão se aplicaNão se aplicaPonta",Mercado_Receita!$L$2:$L$475)+SUMIF(Mercado_Receita!$S$2:$S$475,"44621B2Convencional pré-pagamentoRuralNão se aplicaNão se aplicaNão se aplicaFora ponta",Mercado_Receita!$L$2:$L$475)+SUMIF(Mercado_Receita!$S$2:$S$475,"44621B2Convencional pré-pagamentoRuralNão se aplicaNão se aplicaNão se aplicaIntermediário",Mercado_Receita!$L$2:$L$475)+SUMIF(Mercado_Receita!$S$2:$S$475,"44621B2Convencional pré-pagamentoRuralNão se aplicaNão se aplicaNão se aplicaNão se aplica",Mercado_Receita!$L$2:$L$475)</f>
        <v>0</v>
      </c>
      <c r="U39" s="12">
        <f t="shared" si="0"/>
        <v>0</v>
      </c>
      <c r="V39" s="12"/>
      <c r="W39" s="12"/>
    </row>
    <row r="40" spans="1:23" ht="11.25" customHeight="1" x14ac:dyDescent="0.3">
      <c r="A40" s="106"/>
      <c r="B40" s="106"/>
      <c r="C40" s="106"/>
      <c r="D40" s="13" t="s">
        <v>88</v>
      </c>
      <c r="E40" s="13" t="s">
        <v>25</v>
      </c>
      <c r="F40" s="13" t="s">
        <v>25</v>
      </c>
      <c r="G40" s="12" t="s">
        <v>76</v>
      </c>
      <c r="H40" s="12" t="s">
        <v>72</v>
      </c>
      <c r="I40" s="12">
        <f>SUMIF(Mercado_Receita!$S$2:$S$475,"44287B2Convencional pré-pagamentoRuralCooperativa de eletrificação ruralNão se aplicaNão se aplicaPonta",Mercado_Receita!$L$2:$L$475)+SUMIF(Mercado_Receita!$S$2:$S$475,"44287B2Convencional pré-pagamentoRuralCooperativa de eletrificação ruralNão se aplicaNão se aplicaFora ponta",Mercado_Receita!$L$2:$L$475)+SUMIF(Mercado_Receita!$S$2:$S$475,"44287B2Convencional pré-pagamentoRuralCooperativa de eletrificação ruralNão se aplicaNão se aplicaIntermediário",Mercado_Receita!$L$2:$L$475)+SUMIF(Mercado_Receita!$S$2:$S$475,"44287B2Convencional pré-pagamentoRuralCooperativa de eletrificação ruralNão se aplicaNão se aplicaNão se aplica",Mercado_Receita!$L$2:$L$475)</f>
        <v>0</v>
      </c>
      <c r="J40" s="12">
        <f>SUMIF(Mercado_Receita!$S$2:$S$475,"44317B2Convencional pré-pagamentoRuralCooperativa de eletrificação ruralNão se aplicaNão se aplicaPonta",Mercado_Receita!$L$2:$L$475)+SUMIF(Mercado_Receita!$S$2:$S$475,"44317B2Convencional pré-pagamentoRuralCooperativa de eletrificação ruralNão se aplicaNão se aplicaFora ponta",Mercado_Receita!$L$2:$L$475)+SUMIF(Mercado_Receita!$S$2:$S$475,"44317B2Convencional pré-pagamentoRuralCooperativa de eletrificação ruralNão se aplicaNão se aplicaIntermediário",Mercado_Receita!$L$2:$L$475)+SUMIF(Mercado_Receita!$S$2:$S$475,"44317B2Convencional pré-pagamentoRuralCooperativa de eletrificação ruralNão se aplicaNão se aplicaNão se aplica",Mercado_Receita!$L$2:$L$475)</f>
        <v>0</v>
      </c>
      <c r="K40" s="12">
        <f>SUMIF(Mercado_Receita!$S$2:$S$475,"44348B2Convencional pré-pagamentoRuralCooperativa de eletrificação ruralNão se aplicaNão se aplicaPonta",Mercado_Receita!$L$2:$L$475)+SUMIF(Mercado_Receita!$S$2:$S$475,"44348B2Convencional pré-pagamentoRuralCooperativa de eletrificação ruralNão se aplicaNão se aplicaFora ponta",Mercado_Receita!$L$2:$L$475)+SUMIF(Mercado_Receita!$S$2:$S$475,"44348B2Convencional pré-pagamentoRuralCooperativa de eletrificação ruralNão se aplicaNão se aplicaIntermediário",Mercado_Receita!$L$2:$L$475)+SUMIF(Mercado_Receita!$S$2:$S$475,"44348B2Convencional pré-pagamentoRuralCooperativa de eletrificação ruralNão se aplicaNão se aplicaNão se aplica",Mercado_Receita!$L$2:$L$475)</f>
        <v>0</v>
      </c>
      <c r="L40" s="12">
        <f>SUMIF(Mercado_Receita!$S$2:$S$475,"44378B2Convencional pré-pagamentoRuralCooperativa de eletrificação ruralNão se aplicaNão se aplicaPonta",Mercado_Receita!$L$2:$L$475)+SUMIF(Mercado_Receita!$S$2:$S$475,"44378B2Convencional pré-pagamentoRuralCooperativa de eletrificação ruralNão se aplicaNão se aplicaFora ponta",Mercado_Receita!$L$2:$L$475)+SUMIF(Mercado_Receita!$S$2:$S$475,"44378B2Convencional pré-pagamentoRuralCooperativa de eletrificação ruralNão se aplicaNão se aplicaIntermediário",Mercado_Receita!$L$2:$L$475)+SUMIF(Mercado_Receita!$S$2:$S$475,"44378B2Convencional pré-pagamentoRuralCooperativa de eletrificação ruralNão se aplicaNão se aplicaNão se aplica",Mercado_Receita!$L$2:$L$475)</f>
        <v>0</v>
      </c>
      <c r="M40" s="12">
        <f>SUMIF(Mercado_Receita!$S$2:$S$475,"44409B2Convencional pré-pagamentoRuralCooperativa de eletrificação ruralNão se aplicaNão se aplicaPonta",Mercado_Receita!$L$2:$L$475)+SUMIF(Mercado_Receita!$S$2:$S$475,"44409B2Convencional pré-pagamentoRuralCooperativa de eletrificação ruralNão se aplicaNão se aplicaFora ponta",Mercado_Receita!$L$2:$L$475)+SUMIF(Mercado_Receita!$S$2:$S$475,"44409B2Convencional pré-pagamentoRuralCooperativa de eletrificação ruralNão se aplicaNão se aplicaIntermediário",Mercado_Receita!$L$2:$L$475)+SUMIF(Mercado_Receita!$S$2:$S$475,"44409B2Convencional pré-pagamentoRuralCooperativa de eletrificação ruralNão se aplicaNão se aplicaNão se aplica",Mercado_Receita!$L$2:$L$475)</f>
        <v>0</v>
      </c>
      <c r="N40" s="12">
        <f>SUMIF(Mercado_Receita!$S$2:$S$475,"44440B2Convencional pré-pagamentoRuralCooperativa de eletrificação ruralNão se aplicaNão se aplicaPonta",Mercado_Receita!$L$2:$L$475)+SUMIF(Mercado_Receita!$S$2:$S$475,"44440B2Convencional pré-pagamentoRuralCooperativa de eletrificação ruralNão se aplicaNão se aplicaFora ponta",Mercado_Receita!$L$2:$L$475)+SUMIF(Mercado_Receita!$S$2:$S$475,"44440B2Convencional pré-pagamentoRuralCooperativa de eletrificação ruralNão se aplicaNão se aplicaIntermediário",Mercado_Receita!$L$2:$L$475)+SUMIF(Mercado_Receita!$S$2:$S$475,"44440B2Convencional pré-pagamentoRuralCooperativa de eletrificação ruralNão se aplicaNão se aplicaNão se aplica",Mercado_Receita!$L$2:$L$475)</f>
        <v>0</v>
      </c>
      <c r="O40" s="12">
        <f>SUMIF(Mercado_Receita!$S$2:$S$475,"44470B2Convencional pré-pagamentoRuralCooperativa de eletrificação ruralNão se aplicaNão se aplicaPonta",Mercado_Receita!$L$2:$L$475)+SUMIF(Mercado_Receita!$S$2:$S$475,"44470B2Convencional pré-pagamentoRuralCooperativa de eletrificação ruralNão se aplicaNão se aplicaFora ponta",Mercado_Receita!$L$2:$L$475)+SUMIF(Mercado_Receita!$S$2:$S$475,"44470B2Convencional pré-pagamentoRuralCooperativa de eletrificação ruralNão se aplicaNão se aplicaIntermediário",Mercado_Receita!$L$2:$L$475)+SUMIF(Mercado_Receita!$S$2:$S$475,"44470B2Convencional pré-pagamentoRuralCooperativa de eletrificação ruralNão se aplicaNão se aplicaNão se aplica",Mercado_Receita!$L$2:$L$475)</f>
        <v>0</v>
      </c>
      <c r="P40" s="12">
        <f>SUMIF(Mercado_Receita!$S$2:$S$475,"44501B2Convencional pré-pagamentoRuralCooperativa de eletrificação ruralNão se aplicaNão se aplicaPonta",Mercado_Receita!$L$2:$L$475)+SUMIF(Mercado_Receita!$S$2:$S$475,"44501B2Convencional pré-pagamentoRuralCooperativa de eletrificação ruralNão se aplicaNão se aplicaFora ponta",Mercado_Receita!$L$2:$L$475)+SUMIF(Mercado_Receita!$S$2:$S$475,"44501B2Convencional pré-pagamentoRuralCooperativa de eletrificação ruralNão se aplicaNão se aplicaIntermediário",Mercado_Receita!$L$2:$L$475)+SUMIF(Mercado_Receita!$S$2:$S$475,"44501B2Convencional pré-pagamentoRuralCooperativa de eletrificação ruralNão se aplicaNão se aplicaNão se aplica",Mercado_Receita!$L$2:$L$475)</f>
        <v>0</v>
      </c>
      <c r="Q40" s="12">
        <f>SUMIF(Mercado_Receita!$S$2:$S$475,"44531B2Convencional pré-pagamentoRuralCooperativa de eletrificação ruralNão se aplicaNão se aplicaPonta",Mercado_Receita!$L$2:$L$475)+SUMIF(Mercado_Receita!$S$2:$S$475,"44531B2Convencional pré-pagamentoRuralCooperativa de eletrificação ruralNão se aplicaNão se aplicaFora ponta",Mercado_Receita!$L$2:$L$475)+SUMIF(Mercado_Receita!$S$2:$S$475,"44531B2Convencional pré-pagamentoRuralCooperativa de eletrificação ruralNão se aplicaNão se aplicaIntermediário",Mercado_Receita!$L$2:$L$475)+SUMIF(Mercado_Receita!$S$2:$S$475,"44531B2Convencional pré-pagamentoRuralCooperativa de eletrificação ruralNão se aplicaNão se aplicaNão se aplica",Mercado_Receita!$L$2:$L$475)</f>
        <v>0</v>
      </c>
      <c r="R40" s="12">
        <f>SUMIF(Mercado_Receita!$S$2:$S$475,"44562B2Convencional pré-pagamentoRuralCooperativa de eletrificação ruralNão se aplicaNão se aplicaPonta",Mercado_Receita!$L$2:$L$475)+SUMIF(Mercado_Receita!$S$2:$S$475,"44562B2Convencional pré-pagamentoRuralCooperativa de eletrificação ruralNão se aplicaNão se aplicaFora ponta",Mercado_Receita!$L$2:$L$475)+SUMIF(Mercado_Receita!$S$2:$S$475,"44562B2Convencional pré-pagamentoRuralCooperativa de eletrificação ruralNão se aplicaNão se aplicaIntermediário",Mercado_Receita!$L$2:$L$475)+SUMIF(Mercado_Receita!$S$2:$S$475,"44562B2Convencional pré-pagamentoRuralCooperativa de eletrificação ruralNão se aplicaNão se aplicaNão se aplica",Mercado_Receita!$L$2:$L$475)</f>
        <v>0</v>
      </c>
      <c r="S40" s="12">
        <f>SUMIF(Mercado_Receita!$S$2:$S$475,"44593B2Convencional pré-pagamentoRuralCooperativa de eletrificação ruralNão se aplicaNão se aplicaPonta",Mercado_Receita!$L$2:$L$475)+SUMIF(Mercado_Receita!$S$2:$S$475,"44593B2Convencional pré-pagamentoRuralCooperativa de eletrificação ruralNão se aplicaNão se aplicaFora ponta",Mercado_Receita!$L$2:$L$475)+SUMIF(Mercado_Receita!$S$2:$S$475,"44593B2Convencional pré-pagamentoRuralCooperativa de eletrificação ruralNão se aplicaNão se aplicaIntermediário",Mercado_Receita!$L$2:$L$475)+SUMIF(Mercado_Receita!$S$2:$S$475,"44593B2Convencional pré-pagamentoRuralCooperativa de eletrificação ruralNão se aplicaNão se aplicaNão se aplica",Mercado_Receita!$L$2:$L$475)</f>
        <v>0</v>
      </c>
      <c r="T40" s="12">
        <f>SUMIF(Mercado_Receita!$S$2:$S$475,"44621B2Convencional pré-pagamentoRuralCooperativa de eletrificação ruralNão se aplicaNão se aplicaPonta",Mercado_Receita!$L$2:$L$475)+SUMIF(Mercado_Receita!$S$2:$S$475,"44621B2Convencional pré-pagamentoRuralCooperativa de eletrificação ruralNão se aplicaNão se aplicaFora ponta",Mercado_Receita!$L$2:$L$475)+SUMIF(Mercado_Receita!$S$2:$S$475,"44621B2Convencional pré-pagamentoRuralCooperativa de eletrificação ruralNão se aplicaNão se aplicaIntermediário",Mercado_Receita!$L$2:$L$475)+SUMIF(Mercado_Receita!$S$2:$S$475,"44621B2Convencional pré-pagamentoRuralCooperativa de eletrificação ruralNão se aplicaNão se aplicaNão se aplica",Mercado_Receita!$L$2:$L$475)</f>
        <v>0</v>
      </c>
      <c r="U40" s="12">
        <f t="shared" si="0"/>
        <v>0</v>
      </c>
      <c r="V40" s="12"/>
      <c r="W40" s="12"/>
    </row>
    <row r="41" spans="1:23" ht="11.25" customHeight="1" x14ac:dyDescent="0.3">
      <c r="A41" s="106"/>
      <c r="B41" s="106"/>
      <c r="C41" s="106"/>
      <c r="D41" s="13" t="s">
        <v>89</v>
      </c>
      <c r="E41" s="13" t="s">
        <v>25</v>
      </c>
      <c r="F41" s="13" t="s">
        <v>25</v>
      </c>
      <c r="G41" s="12" t="s">
        <v>76</v>
      </c>
      <c r="H41" s="12" t="s">
        <v>72</v>
      </c>
      <c r="I41" s="12">
        <f>SUMIF(Mercado_Receita!$S$2:$S$475,"44287B2Convencional pré-pagamentoRuralServiço público de irrigação ruralNão se aplicaNão se aplicaPonta",Mercado_Receita!$L$2:$L$475)+SUMIF(Mercado_Receita!$S$2:$S$475,"44287B2Convencional pré-pagamentoRuralServiço público de irrigação ruralNão se aplicaNão se aplicaFora ponta",Mercado_Receita!$L$2:$L$475)+SUMIF(Mercado_Receita!$S$2:$S$475,"44287B2Convencional pré-pagamentoRuralServiço público de irrigação ruralNão se aplicaNão se aplicaIntermediário",Mercado_Receita!$L$2:$L$475)+SUMIF(Mercado_Receita!$S$2:$S$475,"44287B2Convencional pré-pagamentoRuralServiço público de irrigação ruralNão se aplicaNão se aplicaNão se aplica",Mercado_Receita!$L$2:$L$475)</f>
        <v>0</v>
      </c>
      <c r="J41" s="12">
        <f>SUMIF(Mercado_Receita!$S$2:$S$475,"44317B2Convencional pré-pagamentoRuralServiço público de irrigação ruralNão se aplicaNão se aplicaPonta",Mercado_Receita!$L$2:$L$475)+SUMIF(Mercado_Receita!$S$2:$S$475,"44317B2Convencional pré-pagamentoRuralServiço público de irrigação ruralNão se aplicaNão se aplicaFora ponta",Mercado_Receita!$L$2:$L$475)+SUMIF(Mercado_Receita!$S$2:$S$475,"44317B2Convencional pré-pagamentoRuralServiço público de irrigação ruralNão se aplicaNão se aplicaIntermediário",Mercado_Receita!$L$2:$L$475)+SUMIF(Mercado_Receita!$S$2:$S$475,"44317B2Convencional pré-pagamentoRuralServiço público de irrigação ruralNão se aplicaNão se aplicaNão se aplica",Mercado_Receita!$L$2:$L$475)</f>
        <v>0</v>
      </c>
      <c r="K41" s="12">
        <f>SUMIF(Mercado_Receita!$S$2:$S$475,"44348B2Convencional pré-pagamentoRuralServiço público de irrigação ruralNão se aplicaNão se aplicaPonta",Mercado_Receita!$L$2:$L$475)+SUMIF(Mercado_Receita!$S$2:$S$475,"44348B2Convencional pré-pagamentoRuralServiço público de irrigação ruralNão se aplicaNão se aplicaFora ponta",Mercado_Receita!$L$2:$L$475)+SUMIF(Mercado_Receita!$S$2:$S$475,"44348B2Convencional pré-pagamentoRuralServiço público de irrigação ruralNão se aplicaNão se aplicaIntermediário",Mercado_Receita!$L$2:$L$475)+SUMIF(Mercado_Receita!$S$2:$S$475,"44348B2Convencional pré-pagamentoRuralServiço público de irrigação ruralNão se aplicaNão se aplicaNão se aplica",Mercado_Receita!$L$2:$L$475)</f>
        <v>0</v>
      </c>
      <c r="L41" s="12">
        <f>SUMIF(Mercado_Receita!$S$2:$S$475,"44378B2Convencional pré-pagamentoRuralServiço público de irrigação ruralNão se aplicaNão se aplicaPonta",Mercado_Receita!$L$2:$L$475)+SUMIF(Mercado_Receita!$S$2:$S$475,"44378B2Convencional pré-pagamentoRuralServiço público de irrigação ruralNão se aplicaNão se aplicaFora ponta",Mercado_Receita!$L$2:$L$475)+SUMIF(Mercado_Receita!$S$2:$S$475,"44378B2Convencional pré-pagamentoRuralServiço público de irrigação ruralNão se aplicaNão se aplicaIntermediário",Mercado_Receita!$L$2:$L$475)+SUMIF(Mercado_Receita!$S$2:$S$475,"44378B2Convencional pré-pagamentoRuralServiço público de irrigação ruralNão se aplicaNão se aplicaNão se aplica",Mercado_Receita!$L$2:$L$475)</f>
        <v>0</v>
      </c>
      <c r="M41" s="12">
        <f>SUMIF(Mercado_Receita!$S$2:$S$475,"44409B2Convencional pré-pagamentoRuralServiço público de irrigação ruralNão se aplicaNão se aplicaPonta",Mercado_Receita!$L$2:$L$475)+SUMIF(Mercado_Receita!$S$2:$S$475,"44409B2Convencional pré-pagamentoRuralServiço público de irrigação ruralNão se aplicaNão se aplicaFora ponta",Mercado_Receita!$L$2:$L$475)+SUMIF(Mercado_Receita!$S$2:$S$475,"44409B2Convencional pré-pagamentoRuralServiço público de irrigação ruralNão se aplicaNão se aplicaIntermediário",Mercado_Receita!$L$2:$L$475)+SUMIF(Mercado_Receita!$S$2:$S$475,"44409B2Convencional pré-pagamentoRuralServiço público de irrigação ruralNão se aplicaNão se aplicaNão se aplica",Mercado_Receita!$L$2:$L$475)</f>
        <v>0</v>
      </c>
      <c r="N41" s="12">
        <f>SUMIF(Mercado_Receita!$S$2:$S$475,"44440B2Convencional pré-pagamentoRuralServiço público de irrigação ruralNão se aplicaNão se aplicaPonta",Mercado_Receita!$L$2:$L$475)+SUMIF(Mercado_Receita!$S$2:$S$475,"44440B2Convencional pré-pagamentoRuralServiço público de irrigação ruralNão se aplicaNão se aplicaFora ponta",Mercado_Receita!$L$2:$L$475)+SUMIF(Mercado_Receita!$S$2:$S$475,"44440B2Convencional pré-pagamentoRuralServiço público de irrigação ruralNão se aplicaNão se aplicaIntermediário",Mercado_Receita!$L$2:$L$475)+SUMIF(Mercado_Receita!$S$2:$S$475,"44440B2Convencional pré-pagamentoRuralServiço público de irrigação ruralNão se aplicaNão se aplicaNão se aplica",Mercado_Receita!$L$2:$L$475)</f>
        <v>0</v>
      </c>
      <c r="O41" s="12">
        <f>SUMIF(Mercado_Receita!$S$2:$S$475,"44470B2Convencional pré-pagamentoRuralServiço público de irrigação ruralNão se aplicaNão se aplicaPonta",Mercado_Receita!$L$2:$L$475)+SUMIF(Mercado_Receita!$S$2:$S$475,"44470B2Convencional pré-pagamentoRuralServiço público de irrigação ruralNão se aplicaNão se aplicaFora ponta",Mercado_Receita!$L$2:$L$475)+SUMIF(Mercado_Receita!$S$2:$S$475,"44470B2Convencional pré-pagamentoRuralServiço público de irrigação ruralNão se aplicaNão se aplicaIntermediário",Mercado_Receita!$L$2:$L$475)+SUMIF(Mercado_Receita!$S$2:$S$475,"44470B2Convencional pré-pagamentoRuralServiço público de irrigação ruralNão se aplicaNão se aplicaNão se aplica",Mercado_Receita!$L$2:$L$475)</f>
        <v>0</v>
      </c>
      <c r="P41" s="12">
        <f>SUMIF(Mercado_Receita!$S$2:$S$475,"44501B2Convencional pré-pagamentoRuralServiço público de irrigação ruralNão se aplicaNão se aplicaPonta",Mercado_Receita!$L$2:$L$475)+SUMIF(Mercado_Receita!$S$2:$S$475,"44501B2Convencional pré-pagamentoRuralServiço público de irrigação ruralNão se aplicaNão se aplicaFora ponta",Mercado_Receita!$L$2:$L$475)+SUMIF(Mercado_Receita!$S$2:$S$475,"44501B2Convencional pré-pagamentoRuralServiço público de irrigação ruralNão se aplicaNão se aplicaIntermediário",Mercado_Receita!$L$2:$L$475)+SUMIF(Mercado_Receita!$S$2:$S$475,"44501B2Convencional pré-pagamentoRuralServiço público de irrigação ruralNão se aplicaNão se aplicaNão se aplica",Mercado_Receita!$L$2:$L$475)</f>
        <v>0</v>
      </c>
      <c r="Q41" s="12">
        <f>SUMIF(Mercado_Receita!$S$2:$S$475,"44531B2Convencional pré-pagamentoRuralServiço público de irrigação ruralNão se aplicaNão se aplicaPonta",Mercado_Receita!$L$2:$L$475)+SUMIF(Mercado_Receita!$S$2:$S$475,"44531B2Convencional pré-pagamentoRuralServiço público de irrigação ruralNão se aplicaNão se aplicaFora ponta",Mercado_Receita!$L$2:$L$475)+SUMIF(Mercado_Receita!$S$2:$S$475,"44531B2Convencional pré-pagamentoRuralServiço público de irrigação ruralNão se aplicaNão se aplicaIntermediário",Mercado_Receita!$L$2:$L$475)+SUMIF(Mercado_Receita!$S$2:$S$475,"44531B2Convencional pré-pagamentoRuralServiço público de irrigação ruralNão se aplicaNão se aplicaNão se aplica",Mercado_Receita!$L$2:$L$475)</f>
        <v>0</v>
      </c>
      <c r="R41" s="12">
        <f>SUMIF(Mercado_Receita!$S$2:$S$475,"44562B2Convencional pré-pagamentoRuralServiço público de irrigação ruralNão se aplicaNão se aplicaPonta",Mercado_Receita!$L$2:$L$475)+SUMIF(Mercado_Receita!$S$2:$S$475,"44562B2Convencional pré-pagamentoRuralServiço público de irrigação ruralNão se aplicaNão se aplicaFora ponta",Mercado_Receita!$L$2:$L$475)+SUMIF(Mercado_Receita!$S$2:$S$475,"44562B2Convencional pré-pagamentoRuralServiço público de irrigação ruralNão se aplicaNão se aplicaIntermediário",Mercado_Receita!$L$2:$L$475)+SUMIF(Mercado_Receita!$S$2:$S$475,"44562B2Convencional pré-pagamentoRuralServiço público de irrigação ruralNão se aplicaNão se aplicaNão se aplica",Mercado_Receita!$L$2:$L$475)</f>
        <v>0</v>
      </c>
      <c r="S41" s="12">
        <f>SUMIF(Mercado_Receita!$S$2:$S$475,"44593B2Convencional pré-pagamentoRuralServiço público de irrigação ruralNão se aplicaNão se aplicaPonta",Mercado_Receita!$L$2:$L$475)+SUMIF(Mercado_Receita!$S$2:$S$475,"44593B2Convencional pré-pagamentoRuralServiço público de irrigação ruralNão se aplicaNão se aplicaFora ponta",Mercado_Receita!$L$2:$L$475)+SUMIF(Mercado_Receita!$S$2:$S$475,"44593B2Convencional pré-pagamentoRuralServiço público de irrigação ruralNão se aplicaNão se aplicaIntermediário",Mercado_Receita!$L$2:$L$475)+SUMIF(Mercado_Receita!$S$2:$S$475,"44593B2Convencional pré-pagamentoRuralServiço público de irrigação ruralNão se aplicaNão se aplicaNão se aplica",Mercado_Receita!$L$2:$L$475)</f>
        <v>0</v>
      </c>
      <c r="T41" s="12">
        <f>SUMIF(Mercado_Receita!$S$2:$S$475,"44621B2Convencional pré-pagamentoRuralServiço público de irrigação ruralNão se aplicaNão se aplicaPonta",Mercado_Receita!$L$2:$L$475)+SUMIF(Mercado_Receita!$S$2:$S$475,"44621B2Convencional pré-pagamentoRuralServiço público de irrigação ruralNão se aplicaNão se aplicaFora ponta",Mercado_Receita!$L$2:$L$475)+SUMIF(Mercado_Receita!$S$2:$S$475,"44621B2Convencional pré-pagamentoRuralServiço público de irrigação ruralNão se aplicaNão se aplicaIntermediário",Mercado_Receita!$L$2:$L$475)+SUMIF(Mercado_Receita!$S$2:$S$475,"44621B2Convencional pré-pagamentoRuralServiço público de irrigação ruralNão se aplicaNão se aplicaNão se aplica",Mercado_Receita!$L$2:$L$475)</f>
        <v>0</v>
      </c>
      <c r="U41" s="12">
        <f t="shared" si="0"/>
        <v>0</v>
      </c>
      <c r="V41" s="12"/>
      <c r="W41" s="12"/>
    </row>
    <row r="42" spans="1:23" ht="11.25" customHeight="1" x14ac:dyDescent="0.3">
      <c r="A42" s="105" t="s">
        <v>35</v>
      </c>
      <c r="B42" s="105" t="s">
        <v>33</v>
      </c>
      <c r="C42" s="105" t="s">
        <v>25</v>
      </c>
      <c r="D42" s="105" t="s">
        <v>25</v>
      </c>
      <c r="E42" s="105" t="s">
        <v>25</v>
      </c>
      <c r="F42" s="105" t="s">
        <v>25</v>
      </c>
      <c r="G42" s="12" t="s">
        <v>73</v>
      </c>
      <c r="H42" s="12" t="s">
        <v>72</v>
      </c>
      <c r="I42" s="12">
        <f>SUMIF(Mercado_Receita!$S$2:$S$475,"44287B3BrancaNão se aplicaNão se aplicaNão se aplicaNão se aplicaPonta",Mercado_Receita!$L$2:$L$475)</f>
        <v>2.1999999999999999E-2</v>
      </c>
      <c r="J42" s="12">
        <f>SUMIF(Mercado_Receita!$S$2:$S$475,"44317B3BrancaNão se aplicaNão se aplicaNão se aplicaNão se aplicaPonta",Mercado_Receita!$L$2:$L$475)</f>
        <v>2.7E-2</v>
      </c>
      <c r="K42" s="12">
        <f>SUMIF(Mercado_Receita!$S$2:$S$475,"44348B3BrancaNão se aplicaNão se aplicaNão se aplicaNão se aplicaPonta",Mercado_Receita!$L$2:$L$475)</f>
        <v>5.3999999999999999E-2</v>
      </c>
      <c r="L42" s="12">
        <f>SUMIF(Mercado_Receita!$S$2:$S$475,"44378B3BrancaNão se aplicaNão se aplicaNão se aplicaNão se aplicaPonta",Mercado_Receita!$L$2:$L$475)</f>
        <v>0.02</v>
      </c>
      <c r="M42" s="12">
        <f>SUMIF(Mercado_Receita!$S$2:$S$475,"44409B3BrancaNão se aplicaNão se aplicaNão se aplicaNão se aplicaPonta",Mercado_Receita!$L$2:$L$475)</f>
        <v>3.4000000000000002E-2</v>
      </c>
      <c r="N42" s="12">
        <f>SUMIF(Mercado_Receita!$S$2:$S$475,"44440B3BrancaNão se aplicaNão se aplicaNão se aplicaNão se aplicaPonta",Mercado_Receita!$L$2:$L$475)</f>
        <v>3.6999999999999998E-2</v>
      </c>
      <c r="O42" s="12">
        <f>SUMIF(Mercado_Receita!$S$2:$S$475,"44470B3BrancaNão se aplicaNão se aplicaNão se aplicaNão se aplicaPonta",Mercado_Receita!$L$2:$L$475)</f>
        <v>3.1E-2</v>
      </c>
      <c r="P42" s="12">
        <f>SUMIF(Mercado_Receita!$S$2:$S$475,"44501B3BrancaNão se aplicaNão se aplicaNão se aplicaNão se aplicaPonta",Mercado_Receita!$L$2:$L$475)</f>
        <v>2.7E-2</v>
      </c>
      <c r="Q42" s="12">
        <f>SUMIF(Mercado_Receita!$S$2:$S$475,"44531B3BrancaNão se aplicaNão se aplicaNão se aplicaNão se aplicaPonta",Mercado_Receita!$L$2:$L$475)</f>
        <v>3.3000000000000002E-2</v>
      </c>
      <c r="R42" s="12">
        <f>SUMIF(Mercado_Receita!$S$2:$S$475,"44562B3BrancaNão se aplicaNão se aplicaNão se aplicaNão se aplicaPonta",Mercado_Receita!$L$2:$L$475)</f>
        <v>4.4999999999999998E-2</v>
      </c>
      <c r="S42" s="12">
        <f>SUMIF(Mercado_Receita!$S$2:$S$475,"44593B3BrancaNão se aplicaNão se aplicaNão se aplicaNão se aplicaPonta",Mercado_Receita!$L$2:$L$475)</f>
        <v>0.03</v>
      </c>
      <c r="T42" s="12">
        <f>SUMIF(Mercado_Receita!$S$2:$S$475,"44621B3BrancaNão se aplicaNão se aplicaNão se aplicaNão se aplicaPonta",Mercado_Receita!$L$2:$L$475)</f>
        <v>2.9000000000000001E-2</v>
      </c>
      <c r="U42" s="12">
        <f t="shared" si="0"/>
        <v>0.38900000000000001</v>
      </c>
      <c r="V42" s="12"/>
      <c r="W42" s="12"/>
    </row>
    <row r="43" spans="1:23" ht="11.25" customHeight="1" x14ac:dyDescent="0.3">
      <c r="A43" s="106"/>
      <c r="B43" s="106"/>
      <c r="C43" s="106"/>
      <c r="D43" s="106"/>
      <c r="E43" s="106"/>
      <c r="F43" s="106"/>
      <c r="G43" s="12" t="s">
        <v>85</v>
      </c>
      <c r="H43" s="12" t="s">
        <v>72</v>
      </c>
      <c r="I43" s="12">
        <f>SUMIF(Mercado_Receita!$S$2:$S$475,"44287B3BrancaNão se aplicaNão se aplicaNão se aplicaNão se aplicaIntermediário",Mercado_Receita!$L$2:$L$475)</f>
        <v>1.4E-2</v>
      </c>
      <c r="J43" s="12">
        <f>SUMIF(Mercado_Receita!$S$2:$S$475,"44317B3BrancaNão se aplicaNão se aplicaNão se aplicaNão se aplicaIntermediário",Mercado_Receita!$L$2:$L$475)</f>
        <v>1.7999999999999999E-2</v>
      </c>
      <c r="K43" s="12">
        <f>SUMIF(Mercado_Receita!$S$2:$S$475,"44348B3BrancaNão se aplicaNão se aplicaNão se aplicaNão se aplicaIntermediário",Mercado_Receita!$L$2:$L$475)</f>
        <v>3.6999999999999998E-2</v>
      </c>
      <c r="L43" s="12">
        <f>SUMIF(Mercado_Receita!$S$2:$S$475,"44378B3BrancaNão se aplicaNão se aplicaNão se aplicaNão se aplicaIntermediário",Mercado_Receita!$L$2:$L$475)</f>
        <v>1.4999999999999999E-2</v>
      </c>
      <c r="M43" s="12">
        <f>SUMIF(Mercado_Receita!$S$2:$S$475,"44409B3BrancaNão se aplicaNão se aplicaNão se aplicaNão se aplicaIntermediário",Mercado_Receita!$L$2:$L$475)</f>
        <v>0.02</v>
      </c>
      <c r="N43" s="12">
        <f>SUMIF(Mercado_Receita!$S$2:$S$475,"44440B3BrancaNão se aplicaNão se aplicaNão se aplicaNão se aplicaIntermediário",Mercado_Receita!$L$2:$L$475)</f>
        <v>1.9E-2</v>
      </c>
      <c r="O43" s="12">
        <f>SUMIF(Mercado_Receita!$S$2:$S$475,"44470B3BrancaNão se aplicaNão se aplicaNão se aplicaNão se aplicaIntermediário",Mercado_Receita!$L$2:$L$475)</f>
        <v>1.7000000000000001E-2</v>
      </c>
      <c r="P43" s="12">
        <f>SUMIF(Mercado_Receita!$S$2:$S$475,"44501B3BrancaNão se aplicaNão se aplicaNão se aplicaNão se aplicaIntermediário",Mercado_Receita!$L$2:$L$475)</f>
        <v>1.6E-2</v>
      </c>
      <c r="Q43" s="12">
        <f>SUMIF(Mercado_Receita!$S$2:$S$475,"44531B3BrancaNão se aplicaNão se aplicaNão se aplicaNão se aplicaIntermediário",Mercado_Receita!$L$2:$L$475)</f>
        <v>1.7999999999999999E-2</v>
      </c>
      <c r="R43" s="12">
        <f>SUMIF(Mercado_Receita!$S$2:$S$475,"44562B3BrancaNão se aplicaNão se aplicaNão se aplicaNão se aplicaIntermediário",Mercado_Receita!$L$2:$L$475)</f>
        <v>2.5000000000000001E-2</v>
      </c>
      <c r="S43" s="12">
        <f>SUMIF(Mercado_Receita!$S$2:$S$475,"44593B3BrancaNão se aplicaNão se aplicaNão se aplicaNão se aplicaIntermediário",Mercado_Receita!$L$2:$L$475)</f>
        <v>0.02</v>
      </c>
      <c r="T43" s="12">
        <f>SUMIF(Mercado_Receita!$S$2:$S$475,"44621B3BrancaNão se aplicaNão se aplicaNão se aplicaNão se aplicaIntermediário",Mercado_Receita!$L$2:$L$475)</f>
        <v>1.9E-2</v>
      </c>
      <c r="U43" s="12">
        <f t="shared" si="0"/>
        <v>0.23799999999999999</v>
      </c>
      <c r="V43" s="12"/>
      <c r="W43" s="12"/>
    </row>
    <row r="44" spans="1:23" ht="11.25" customHeight="1" x14ac:dyDescent="0.3">
      <c r="A44" s="106"/>
      <c r="B44" s="106"/>
      <c r="C44" s="106"/>
      <c r="D44" s="106"/>
      <c r="E44" s="106"/>
      <c r="F44" s="106"/>
      <c r="G44" s="12" t="s">
        <v>74</v>
      </c>
      <c r="H44" s="12" t="s">
        <v>72</v>
      </c>
      <c r="I44" s="12">
        <f>SUMIF(Mercado_Receita!$S$2:$S$475,"44287B3BrancaNão se aplicaNão se aplicaNão se aplicaNão se aplicaFora ponta",Mercado_Receita!$L$2:$L$475)</f>
        <v>0.22600000000000001</v>
      </c>
      <c r="J44" s="12">
        <f>SUMIF(Mercado_Receita!$S$2:$S$475,"44317B3BrancaNão se aplicaNão se aplicaNão se aplicaNão se aplicaFora ponta",Mercado_Receita!$L$2:$L$475)</f>
        <v>0.23599999999999999</v>
      </c>
      <c r="K44" s="12">
        <f>SUMIF(Mercado_Receita!$S$2:$S$475,"44348B3BrancaNão se aplicaNão se aplicaNão se aplicaNão se aplicaFora ponta",Mercado_Receita!$L$2:$L$475)</f>
        <v>0.35499999999999998</v>
      </c>
      <c r="L44" s="12">
        <f>SUMIF(Mercado_Receita!$S$2:$S$475,"44378B3BrancaNão se aplicaNão se aplicaNão se aplicaNão se aplicaFora ponta",Mercado_Receita!$L$2:$L$475)</f>
        <v>0.16</v>
      </c>
      <c r="M44" s="12">
        <f>SUMIF(Mercado_Receita!$S$2:$S$475,"44409B3BrancaNão se aplicaNão se aplicaNão se aplicaNão se aplicaFora ponta",Mercado_Receita!$L$2:$L$475)</f>
        <v>0.20100000000000001</v>
      </c>
      <c r="N44" s="12">
        <f>SUMIF(Mercado_Receita!$S$2:$S$475,"44440B3BrancaNão se aplicaNão se aplicaNão se aplicaNão se aplicaFora ponta",Mercado_Receita!$L$2:$L$475)</f>
        <v>0.20399999999999999</v>
      </c>
      <c r="O44" s="12">
        <f>SUMIF(Mercado_Receita!$S$2:$S$475,"44470B3BrancaNão se aplicaNão se aplicaNão se aplicaNão se aplicaFora ponta",Mercado_Receita!$L$2:$L$475)</f>
        <v>0.19800000000000001</v>
      </c>
      <c r="P44" s="12">
        <f>SUMIF(Mercado_Receita!$S$2:$S$475,"44501B3BrancaNão se aplicaNão se aplicaNão se aplicaNão se aplicaFora ponta",Mercado_Receita!$L$2:$L$475)</f>
        <v>0.182</v>
      </c>
      <c r="Q44" s="12">
        <f>SUMIF(Mercado_Receita!$S$2:$S$475,"44531B3BrancaNão se aplicaNão se aplicaNão se aplicaNão se aplicaFora ponta",Mercado_Receita!$L$2:$L$475)</f>
        <v>0.21299999999999999</v>
      </c>
      <c r="R44" s="12">
        <f>SUMIF(Mercado_Receita!$S$2:$S$475,"44562B3BrancaNão se aplicaNão se aplicaNão se aplicaNão se aplicaFora ponta",Mercado_Receita!$L$2:$L$475)</f>
        <v>0.308</v>
      </c>
      <c r="S44" s="12">
        <f>SUMIF(Mercado_Receita!$S$2:$S$475,"44593B3BrancaNão se aplicaNão se aplicaNão se aplicaNão se aplicaFora ponta",Mercado_Receita!$L$2:$L$475)</f>
        <v>0.27</v>
      </c>
      <c r="T44" s="12">
        <f>SUMIF(Mercado_Receita!$S$2:$S$475,"44621B3BrancaNão se aplicaNão se aplicaNão se aplicaNão se aplicaFora ponta",Mercado_Receita!$L$2:$L$475)</f>
        <v>0.27500000000000002</v>
      </c>
      <c r="U44" s="12">
        <f t="shared" si="0"/>
        <v>2.8279999999999998</v>
      </c>
      <c r="V44" s="12"/>
      <c r="W44" s="12"/>
    </row>
    <row r="45" spans="1:23" ht="11.25" customHeight="1" x14ac:dyDescent="0.3">
      <c r="A45" s="106"/>
      <c r="B45" s="13" t="s">
        <v>23</v>
      </c>
      <c r="C45" s="13" t="s">
        <v>25</v>
      </c>
      <c r="D45" s="13" t="s">
        <v>25</v>
      </c>
      <c r="E45" s="13" t="s">
        <v>25</v>
      </c>
      <c r="F45" s="13" t="s">
        <v>25</v>
      </c>
      <c r="G45" s="12" t="s">
        <v>76</v>
      </c>
      <c r="H45" s="12" t="s">
        <v>72</v>
      </c>
      <c r="I45" s="12">
        <f>SUMIF(Mercado_Receita!$S$2:$S$475,"44287B3ConvencionalNão se aplicaNão se aplicaNão se aplicaNão se aplicaPonta",Mercado_Receita!$L$2:$L$475)+SUMIF(Mercado_Receita!$S$2:$S$475,"44287B3ConvencionalNão se aplicaNão se aplicaNão se aplicaNão se aplicaFora ponta",Mercado_Receita!$L$2:$L$475)+SUMIF(Mercado_Receita!$S$2:$S$475,"44287B3ConvencionalNão se aplicaNão se aplicaNão se aplicaNão se aplicaIntermediário",Mercado_Receita!$L$2:$L$475)+SUMIF(Mercado_Receita!$S$2:$S$475,"44287B3ConvencionalNão se aplicaNão se aplicaNão se aplicaNão se aplicaNão se aplica",Mercado_Receita!$L$2:$L$475)</f>
        <v>156.46299999999999</v>
      </c>
      <c r="J45" s="12">
        <f>SUMIF(Mercado_Receita!$S$2:$S$475,"44317B3ConvencionalNão se aplicaNão se aplicaNão se aplicaNão se aplicaPonta",Mercado_Receita!$L$2:$L$475)+SUMIF(Mercado_Receita!$S$2:$S$475,"44317B3ConvencionalNão se aplicaNão se aplicaNão se aplicaNão se aplicaFora ponta",Mercado_Receita!$L$2:$L$475)+SUMIF(Mercado_Receita!$S$2:$S$475,"44317B3ConvencionalNão se aplicaNão se aplicaNão se aplicaNão se aplicaIntermediário",Mercado_Receita!$L$2:$L$475)+SUMIF(Mercado_Receita!$S$2:$S$475,"44317B3ConvencionalNão se aplicaNão se aplicaNão se aplicaNão se aplicaNão se aplica",Mercado_Receita!$L$2:$L$475)</f>
        <v>132.63400000000001</v>
      </c>
      <c r="K45" s="12">
        <f>SUMIF(Mercado_Receita!$S$2:$S$475,"44348B3ConvencionalNão se aplicaNão se aplicaNão se aplicaNão se aplicaPonta",Mercado_Receita!$L$2:$L$475)+SUMIF(Mercado_Receita!$S$2:$S$475,"44348B3ConvencionalNão se aplicaNão se aplicaNão se aplicaNão se aplicaFora ponta",Mercado_Receita!$L$2:$L$475)+SUMIF(Mercado_Receita!$S$2:$S$475,"44348B3ConvencionalNão se aplicaNão se aplicaNão se aplicaNão se aplicaIntermediário",Mercado_Receita!$L$2:$L$475)+SUMIF(Mercado_Receita!$S$2:$S$475,"44348B3ConvencionalNão se aplicaNão se aplicaNão se aplicaNão se aplicaNão se aplica",Mercado_Receita!$L$2:$L$475)</f>
        <v>151.62099999999998</v>
      </c>
      <c r="L45" s="12">
        <f>SUMIF(Mercado_Receita!$S$2:$S$475,"44378B3ConvencionalNão se aplicaNão se aplicaNão se aplicaNão se aplicaPonta",Mercado_Receita!$L$2:$L$475)+SUMIF(Mercado_Receita!$S$2:$S$475,"44378B3ConvencionalNão se aplicaNão se aplicaNão se aplicaNão se aplicaFora ponta",Mercado_Receita!$L$2:$L$475)+SUMIF(Mercado_Receita!$S$2:$S$475,"44378B3ConvencionalNão se aplicaNão se aplicaNão se aplicaNão se aplicaIntermediário",Mercado_Receita!$L$2:$L$475)+SUMIF(Mercado_Receita!$S$2:$S$475,"44378B3ConvencionalNão se aplicaNão se aplicaNão se aplicaNão se aplicaNão se aplica",Mercado_Receita!$L$2:$L$475)</f>
        <v>124.85800000000002</v>
      </c>
      <c r="M45" s="12">
        <f>SUMIF(Mercado_Receita!$S$2:$S$475,"44409B3ConvencionalNão se aplicaNão se aplicaNão se aplicaNão se aplicaPonta",Mercado_Receita!$L$2:$L$475)+SUMIF(Mercado_Receita!$S$2:$S$475,"44409B3ConvencionalNão se aplicaNão se aplicaNão se aplicaNão se aplicaFora ponta",Mercado_Receita!$L$2:$L$475)+SUMIF(Mercado_Receita!$S$2:$S$475,"44409B3ConvencionalNão se aplicaNão se aplicaNão se aplicaNão se aplicaIntermediário",Mercado_Receita!$L$2:$L$475)+SUMIF(Mercado_Receita!$S$2:$S$475,"44409B3ConvencionalNão se aplicaNão se aplicaNão se aplicaNão se aplicaNão se aplica",Mercado_Receita!$L$2:$L$475)</f>
        <v>128.96600000000001</v>
      </c>
      <c r="N45" s="12">
        <f>SUMIF(Mercado_Receita!$S$2:$S$475,"44440B3ConvencionalNão se aplicaNão se aplicaNão se aplicaNão se aplicaPonta",Mercado_Receita!$L$2:$L$475)+SUMIF(Mercado_Receita!$S$2:$S$475,"44440B3ConvencionalNão se aplicaNão se aplicaNão se aplicaNão se aplicaFora ponta",Mercado_Receita!$L$2:$L$475)+SUMIF(Mercado_Receita!$S$2:$S$475,"44440B3ConvencionalNão se aplicaNão se aplicaNão se aplicaNão se aplicaIntermediário",Mercado_Receita!$L$2:$L$475)+SUMIF(Mercado_Receita!$S$2:$S$475,"44440B3ConvencionalNão se aplicaNão se aplicaNão se aplicaNão se aplicaNão se aplica",Mercado_Receita!$L$2:$L$475)</f>
        <v>137.89200000000002</v>
      </c>
      <c r="O45" s="12">
        <f>SUMIF(Mercado_Receita!$S$2:$S$475,"44470B3ConvencionalNão se aplicaNão se aplicaNão se aplicaNão se aplicaPonta",Mercado_Receita!$L$2:$L$475)+SUMIF(Mercado_Receita!$S$2:$S$475,"44470B3ConvencionalNão se aplicaNão se aplicaNão se aplicaNão se aplicaFora ponta",Mercado_Receita!$L$2:$L$475)+SUMIF(Mercado_Receita!$S$2:$S$475,"44470B3ConvencionalNão se aplicaNão se aplicaNão se aplicaNão se aplicaIntermediário",Mercado_Receita!$L$2:$L$475)+SUMIF(Mercado_Receita!$S$2:$S$475,"44470B3ConvencionalNão se aplicaNão se aplicaNão se aplicaNão se aplicaNão se aplica",Mercado_Receita!$L$2:$L$475)</f>
        <v>142.09300000000002</v>
      </c>
      <c r="P45" s="12">
        <f>SUMIF(Mercado_Receita!$S$2:$S$475,"44501B3ConvencionalNão se aplicaNão se aplicaNão se aplicaNão se aplicaPonta",Mercado_Receita!$L$2:$L$475)+SUMIF(Mercado_Receita!$S$2:$S$475,"44501B3ConvencionalNão se aplicaNão se aplicaNão se aplicaNão se aplicaFora ponta",Mercado_Receita!$L$2:$L$475)+SUMIF(Mercado_Receita!$S$2:$S$475,"44501B3ConvencionalNão se aplicaNão se aplicaNão se aplicaNão se aplicaIntermediário",Mercado_Receita!$L$2:$L$475)+SUMIF(Mercado_Receita!$S$2:$S$475,"44501B3ConvencionalNão se aplicaNão se aplicaNão se aplicaNão se aplicaNão se aplica",Mercado_Receita!$L$2:$L$475)</f>
        <v>138.095</v>
      </c>
      <c r="Q45" s="12">
        <f>SUMIF(Mercado_Receita!$S$2:$S$475,"44531B3ConvencionalNão se aplicaNão se aplicaNão se aplicaNão se aplicaPonta",Mercado_Receita!$L$2:$L$475)+SUMIF(Mercado_Receita!$S$2:$S$475,"44531B3ConvencionalNão se aplicaNão se aplicaNão se aplicaNão se aplicaFora ponta",Mercado_Receita!$L$2:$L$475)+SUMIF(Mercado_Receita!$S$2:$S$475,"44531B3ConvencionalNão se aplicaNão se aplicaNão se aplicaNão se aplicaIntermediário",Mercado_Receita!$L$2:$L$475)+SUMIF(Mercado_Receita!$S$2:$S$475,"44531B3ConvencionalNão se aplicaNão se aplicaNão se aplicaNão se aplicaNão se aplica",Mercado_Receita!$L$2:$L$475)</f>
        <v>153.94200000000001</v>
      </c>
      <c r="R45" s="12">
        <f>SUMIF(Mercado_Receita!$S$2:$S$475,"44562B3ConvencionalNão se aplicaNão se aplicaNão se aplicaNão se aplicaPonta",Mercado_Receita!$L$2:$L$475)+SUMIF(Mercado_Receita!$S$2:$S$475,"44562B3ConvencionalNão se aplicaNão se aplicaNão se aplicaNão se aplicaFora ponta",Mercado_Receita!$L$2:$L$475)+SUMIF(Mercado_Receita!$S$2:$S$475,"44562B3ConvencionalNão se aplicaNão se aplicaNão se aplicaNão se aplicaIntermediário",Mercado_Receita!$L$2:$L$475)+SUMIF(Mercado_Receita!$S$2:$S$475,"44562B3ConvencionalNão se aplicaNão se aplicaNão se aplicaNão se aplicaNão se aplica",Mercado_Receita!$L$2:$L$475)</f>
        <v>176.20700000000002</v>
      </c>
      <c r="S45" s="12">
        <f>SUMIF(Mercado_Receita!$S$2:$S$475,"44593B3ConvencionalNão se aplicaNão se aplicaNão se aplicaNão se aplicaPonta",Mercado_Receita!$L$2:$L$475)+SUMIF(Mercado_Receita!$S$2:$S$475,"44593B3ConvencionalNão se aplicaNão se aplicaNão se aplicaNão se aplicaFora ponta",Mercado_Receita!$L$2:$L$475)+SUMIF(Mercado_Receita!$S$2:$S$475,"44593B3ConvencionalNão se aplicaNão se aplicaNão se aplicaNão se aplicaIntermediário",Mercado_Receita!$L$2:$L$475)+SUMIF(Mercado_Receita!$S$2:$S$475,"44593B3ConvencionalNão se aplicaNão se aplicaNão se aplicaNão se aplicaNão se aplica",Mercado_Receita!$L$2:$L$475)</f>
        <v>171.33099999999999</v>
      </c>
      <c r="T45" s="12">
        <f>SUMIF(Mercado_Receita!$S$2:$S$475,"44621B3ConvencionalNão se aplicaNão se aplicaNão se aplicaNão se aplicaPonta",Mercado_Receita!$L$2:$L$475)+SUMIF(Mercado_Receita!$S$2:$S$475,"44621B3ConvencionalNão se aplicaNão se aplicaNão se aplicaNão se aplicaFora ponta",Mercado_Receita!$L$2:$L$475)+SUMIF(Mercado_Receita!$S$2:$S$475,"44621B3ConvencionalNão se aplicaNão se aplicaNão se aplicaNão se aplicaIntermediário",Mercado_Receita!$L$2:$L$475)+SUMIF(Mercado_Receita!$S$2:$S$475,"44621B3ConvencionalNão se aplicaNão se aplicaNão se aplicaNão se aplicaNão se aplica",Mercado_Receita!$L$2:$L$475)</f>
        <v>184.89399999999995</v>
      </c>
      <c r="U45" s="12">
        <f t="shared" si="0"/>
        <v>1798.9960000000001</v>
      </c>
      <c r="V45" s="12"/>
      <c r="W45" s="12"/>
    </row>
    <row r="46" spans="1:23" ht="11.25" customHeight="1" x14ac:dyDescent="0.3">
      <c r="A46" s="106"/>
      <c r="B46" s="13" t="s">
        <v>87</v>
      </c>
      <c r="C46" s="13" t="s">
        <v>25</v>
      </c>
      <c r="D46" s="13" t="s">
        <v>25</v>
      </c>
      <c r="E46" s="13" t="s">
        <v>25</v>
      </c>
      <c r="F46" s="13" t="s">
        <v>25</v>
      </c>
      <c r="G46" s="12" t="s">
        <v>76</v>
      </c>
      <c r="H46" s="12" t="s">
        <v>72</v>
      </c>
      <c r="I46" s="12">
        <f>SUMIF(Mercado_Receita!$S$2:$S$475,"44287B3Convencional pré-pagamentoNão se aplicaNão se aplicaNão se aplicaNão se aplicaPonta",Mercado_Receita!$L$2:$L$475)+SUMIF(Mercado_Receita!$S$2:$S$475,"44287B3Convencional pré-pagamentoNão se aplicaNão se aplicaNão se aplicaNão se aplicaFora ponta",Mercado_Receita!$L$2:$L$475)+SUMIF(Mercado_Receita!$S$2:$S$475,"44287B3Convencional pré-pagamentoNão se aplicaNão se aplicaNão se aplicaNão se aplicaIntermediário",Mercado_Receita!$L$2:$L$475)+SUMIF(Mercado_Receita!$S$2:$S$475,"44287B3Convencional pré-pagamentoNão se aplicaNão se aplicaNão se aplicaNão se aplicaNão se aplica",Mercado_Receita!$L$2:$L$475)</f>
        <v>0</v>
      </c>
      <c r="J46" s="12">
        <f>SUMIF(Mercado_Receita!$S$2:$S$475,"44317B3Convencional pré-pagamentoNão se aplicaNão se aplicaNão se aplicaNão se aplicaPonta",Mercado_Receita!$L$2:$L$475)+SUMIF(Mercado_Receita!$S$2:$S$475,"44317B3Convencional pré-pagamentoNão se aplicaNão se aplicaNão se aplicaNão se aplicaFora ponta",Mercado_Receita!$L$2:$L$475)+SUMIF(Mercado_Receita!$S$2:$S$475,"44317B3Convencional pré-pagamentoNão se aplicaNão se aplicaNão se aplicaNão se aplicaIntermediário",Mercado_Receita!$L$2:$L$475)+SUMIF(Mercado_Receita!$S$2:$S$475,"44317B3Convencional pré-pagamentoNão se aplicaNão se aplicaNão se aplicaNão se aplicaNão se aplica",Mercado_Receita!$L$2:$L$475)</f>
        <v>0</v>
      </c>
      <c r="K46" s="12">
        <f>SUMIF(Mercado_Receita!$S$2:$S$475,"44348B3Convencional pré-pagamentoNão se aplicaNão se aplicaNão se aplicaNão se aplicaPonta",Mercado_Receita!$L$2:$L$475)+SUMIF(Mercado_Receita!$S$2:$S$475,"44348B3Convencional pré-pagamentoNão se aplicaNão se aplicaNão se aplicaNão se aplicaFora ponta",Mercado_Receita!$L$2:$L$475)+SUMIF(Mercado_Receita!$S$2:$S$475,"44348B3Convencional pré-pagamentoNão se aplicaNão se aplicaNão se aplicaNão se aplicaIntermediário",Mercado_Receita!$L$2:$L$475)+SUMIF(Mercado_Receita!$S$2:$S$475,"44348B3Convencional pré-pagamentoNão se aplicaNão se aplicaNão se aplicaNão se aplicaNão se aplica",Mercado_Receita!$L$2:$L$475)</f>
        <v>0</v>
      </c>
      <c r="L46" s="12">
        <f>SUMIF(Mercado_Receita!$S$2:$S$475,"44378B3Convencional pré-pagamentoNão se aplicaNão se aplicaNão se aplicaNão se aplicaPonta",Mercado_Receita!$L$2:$L$475)+SUMIF(Mercado_Receita!$S$2:$S$475,"44378B3Convencional pré-pagamentoNão se aplicaNão se aplicaNão se aplicaNão se aplicaFora ponta",Mercado_Receita!$L$2:$L$475)+SUMIF(Mercado_Receita!$S$2:$S$475,"44378B3Convencional pré-pagamentoNão se aplicaNão se aplicaNão se aplicaNão se aplicaIntermediário",Mercado_Receita!$L$2:$L$475)+SUMIF(Mercado_Receita!$S$2:$S$475,"44378B3Convencional pré-pagamentoNão se aplicaNão se aplicaNão se aplicaNão se aplicaNão se aplica",Mercado_Receita!$L$2:$L$475)</f>
        <v>0</v>
      </c>
      <c r="M46" s="12">
        <f>SUMIF(Mercado_Receita!$S$2:$S$475,"44409B3Convencional pré-pagamentoNão se aplicaNão se aplicaNão se aplicaNão se aplicaPonta",Mercado_Receita!$L$2:$L$475)+SUMIF(Mercado_Receita!$S$2:$S$475,"44409B3Convencional pré-pagamentoNão se aplicaNão se aplicaNão se aplicaNão se aplicaFora ponta",Mercado_Receita!$L$2:$L$475)+SUMIF(Mercado_Receita!$S$2:$S$475,"44409B3Convencional pré-pagamentoNão se aplicaNão se aplicaNão se aplicaNão se aplicaIntermediário",Mercado_Receita!$L$2:$L$475)+SUMIF(Mercado_Receita!$S$2:$S$475,"44409B3Convencional pré-pagamentoNão se aplicaNão se aplicaNão se aplicaNão se aplicaNão se aplica",Mercado_Receita!$L$2:$L$475)</f>
        <v>0</v>
      </c>
      <c r="N46" s="12">
        <f>SUMIF(Mercado_Receita!$S$2:$S$475,"44440B3Convencional pré-pagamentoNão se aplicaNão se aplicaNão se aplicaNão se aplicaPonta",Mercado_Receita!$L$2:$L$475)+SUMIF(Mercado_Receita!$S$2:$S$475,"44440B3Convencional pré-pagamentoNão se aplicaNão se aplicaNão se aplicaNão se aplicaFora ponta",Mercado_Receita!$L$2:$L$475)+SUMIF(Mercado_Receita!$S$2:$S$475,"44440B3Convencional pré-pagamentoNão se aplicaNão se aplicaNão se aplicaNão se aplicaIntermediário",Mercado_Receita!$L$2:$L$475)+SUMIF(Mercado_Receita!$S$2:$S$475,"44440B3Convencional pré-pagamentoNão se aplicaNão se aplicaNão se aplicaNão se aplicaNão se aplica",Mercado_Receita!$L$2:$L$475)</f>
        <v>0</v>
      </c>
      <c r="O46" s="12">
        <f>SUMIF(Mercado_Receita!$S$2:$S$475,"44470B3Convencional pré-pagamentoNão se aplicaNão se aplicaNão se aplicaNão se aplicaPonta",Mercado_Receita!$L$2:$L$475)+SUMIF(Mercado_Receita!$S$2:$S$475,"44470B3Convencional pré-pagamentoNão se aplicaNão se aplicaNão se aplicaNão se aplicaFora ponta",Mercado_Receita!$L$2:$L$475)+SUMIF(Mercado_Receita!$S$2:$S$475,"44470B3Convencional pré-pagamentoNão se aplicaNão se aplicaNão se aplicaNão se aplicaIntermediário",Mercado_Receita!$L$2:$L$475)+SUMIF(Mercado_Receita!$S$2:$S$475,"44470B3Convencional pré-pagamentoNão se aplicaNão se aplicaNão se aplicaNão se aplicaNão se aplica",Mercado_Receita!$L$2:$L$475)</f>
        <v>0</v>
      </c>
      <c r="P46" s="12">
        <f>SUMIF(Mercado_Receita!$S$2:$S$475,"44501B3Convencional pré-pagamentoNão se aplicaNão se aplicaNão se aplicaNão se aplicaPonta",Mercado_Receita!$L$2:$L$475)+SUMIF(Mercado_Receita!$S$2:$S$475,"44501B3Convencional pré-pagamentoNão se aplicaNão se aplicaNão se aplicaNão se aplicaFora ponta",Mercado_Receita!$L$2:$L$475)+SUMIF(Mercado_Receita!$S$2:$S$475,"44501B3Convencional pré-pagamentoNão se aplicaNão se aplicaNão se aplicaNão se aplicaIntermediário",Mercado_Receita!$L$2:$L$475)+SUMIF(Mercado_Receita!$S$2:$S$475,"44501B3Convencional pré-pagamentoNão se aplicaNão se aplicaNão se aplicaNão se aplicaNão se aplica",Mercado_Receita!$L$2:$L$475)</f>
        <v>0</v>
      </c>
      <c r="Q46" s="12">
        <f>SUMIF(Mercado_Receita!$S$2:$S$475,"44531B3Convencional pré-pagamentoNão se aplicaNão se aplicaNão se aplicaNão se aplicaPonta",Mercado_Receita!$L$2:$L$475)+SUMIF(Mercado_Receita!$S$2:$S$475,"44531B3Convencional pré-pagamentoNão se aplicaNão se aplicaNão se aplicaNão se aplicaFora ponta",Mercado_Receita!$L$2:$L$475)+SUMIF(Mercado_Receita!$S$2:$S$475,"44531B3Convencional pré-pagamentoNão se aplicaNão se aplicaNão se aplicaNão se aplicaIntermediário",Mercado_Receita!$L$2:$L$475)+SUMIF(Mercado_Receita!$S$2:$S$475,"44531B3Convencional pré-pagamentoNão se aplicaNão se aplicaNão se aplicaNão se aplicaNão se aplica",Mercado_Receita!$L$2:$L$475)</f>
        <v>0</v>
      </c>
      <c r="R46" s="12">
        <f>SUMIF(Mercado_Receita!$S$2:$S$475,"44562B3Convencional pré-pagamentoNão se aplicaNão se aplicaNão se aplicaNão se aplicaPonta",Mercado_Receita!$L$2:$L$475)+SUMIF(Mercado_Receita!$S$2:$S$475,"44562B3Convencional pré-pagamentoNão se aplicaNão se aplicaNão se aplicaNão se aplicaFora ponta",Mercado_Receita!$L$2:$L$475)+SUMIF(Mercado_Receita!$S$2:$S$475,"44562B3Convencional pré-pagamentoNão se aplicaNão se aplicaNão se aplicaNão se aplicaIntermediário",Mercado_Receita!$L$2:$L$475)+SUMIF(Mercado_Receita!$S$2:$S$475,"44562B3Convencional pré-pagamentoNão se aplicaNão se aplicaNão se aplicaNão se aplicaNão se aplica",Mercado_Receita!$L$2:$L$475)</f>
        <v>0</v>
      </c>
      <c r="S46" s="12">
        <f>SUMIF(Mercado_Receita!$S$2:$S$475,"44593B3Convencional pré-pagamentoNão se aplicaNão se aplicaNão se aplicaNão se aplicaPonta",Mercado_Receita!$L$2:$L$475)+SUMIF(Mercado_Receita!$S$2:$S$475,"44593B3Convencional pré-pagamentoNão se aplicaNão se aplicaNão se aplicaNão se aplicaFora ponta",Mercado_Receita!$L$2:$L$475)+SUMIF(Mercado_Receita!$S$2:$S$475,"44593B3Convencional pré-pagamentoNão se aplicaNão se aplicaNão se aplicaNão se aplicaIntermediário",Mercado_Receita!$L$2:$L$475)+SUMIF(Mercado_Receita!$S$2:$S$475,"44593B3Convencional pré-pagamentoNão se aplicaNão se aplicaNão se aplicaNão se aplicaNão se aplica",Mercado_Receita!$L$2:$L$475)</f>
        <v>0</v>
      </c>
      <c r="T46" s="12">
        <f>SUMIF(Mercado_Receita!$S$2:$S$475,"44621B3Convencional pré-pagamentoNão se aplicaNão se aplicaNão se aplicaNão se aplicaPonta",Mercado_Receita!$L$2:$L$475)+SUMIF(Mercado_Receita!$S$2:$S$475,"44621B3Convencional pré-pagamentoNão se aplicaNão se aplicaNão se aplicaNão se aplicaFora ponta",Mercado_Receita!$L$2:$L$475)+SUMIF(Mercado_Receita!$S$2:$S$475,"44621B3Convencional pré-pagamentoNão se aplicaNão se aplicaNão se aplicaNão se aplicaIntermediário",Mercado_Receita!$L$2:$L$475)+SUMIF(Mercado_Receita!$S$2:$S$475,"44621B3Convencional pré-pagamentoNão se aplicaNão se aplicaNão se aplicaNão se aplicaNão se aplica",Mercado_Receita!$L$2:$L$475)</f>
        <v>0</v>
      </c>
      <c r="U46" s="12">
        <f t="shared" si="0"/>
        <v>0</v>
      </c>
      <c r="V46" s="12"/>
      <c r="W46" s="12"/>
    </row>
    <row r="47" spans="1:23" ht="11.25" customHeight="1" x14ac:dyDescent="0.3">
      <c r="A47" s="105" t="s">
        <v>46</v>
      </c>
      <c r="B47" s="105" t="s">
        <v>23</v>
      </c>
      <c r="C47" s="105" t="s">
        <v>47</v>
      </c>
      <c r="D47" s="13" t="s">
        <v>48</v>
      </c>
      <c r="E47" s="13" t="s">
        <v>25</v>
      </c>
      <c r="F47" s="13" t="s">
        <v>25</v>
      </c>
      <c r="G47" s="12" t="s">
        <v>76</v>
      </c>
      <c r="H47" s="12" t="s">
        <v>72</v>
      </c>
      <c r="I47" s="12">
        <f>SUMIF(Mercado_Receita!$S$2:$S$475,"44287B4ConvencionalIluminação públicaIluminação pública – B4aNão se aplicaNão se aplicaPonta",Mercado_Receita!$L$2:$L$475)+SUMIF(Mercado_Receita!$S$2:$S$475,"44287B4ConvencionalIluminação públicaIluminação pública – B4aNão se aplicaNão se aplicaFora ponta",Mercado_Receita!$L$2:$L$475)+SUMIF(Mercado_Receita!$S$2:$S$475,"44287B4ConvencionalIluminação públicaIluminação pública – B4aNão se aplicaNão se aplicaIntermediário",Mercado_Receita!$L$2:$L$475)+SUMIF(Mercado_Receita!$S$2:$S$475,"44287B4ConvencionalIluminação públicaIluminação pública – B4aNão se aplicaNão se aplicaNão se aplica",Mercado_Receita!$L$2:$L$475)</f>
        <v>267.41500000000002</v>
      </c>
      <c r="J47" s="12">
        <f>SUMIF(Mercado_Receita!$S$2:$S$475,"44317B4ConvencionalIluminação públicaIluminação pública – B4aNão se aplicaNão se aplicaPonta",Mercado_Receita!$L$2:$L$475)+SUMIF(Mercado_Receita!$S$2:$S$475,"44317B4ConvencionalIluminação públicaIluminação pública – B4aNão se aplicaNão se aplicaFora ponta",Mercado_Receita!$L$2:$L$475)+SUMIF(Mercado_Receita!$S$2:$S$475,"44317B4ConvencionalIluminação públicaIluminação pública – B4aNão se aplicaNão se aplicaIntermediário",Mercado_Receita!$L$2:$L$475)+SUMIF(Mercado_Receita!$S$2:$S$475,"44317B4ConvencionalIluminação públicaIluminação pública – B4aNão se aplicaNão se aplicaNão se aplica",Mercado_Receita!$L$2:$L$475)</f>
        <v>291.803</v>
      </c>
      <c r="K47" s="12">
        <f>SUMIF(Mercado_Receita!$S$2:$S$475,"44348B4ConvencionalIluminação públicaIluminação pública – B4aNão se aplicaNão se aplicaPonta",Mercado_Receita!$L$2:$L$475)+SUMIF(Mercado_Receita!$S$2:$S$475,"44348B4ConvencionalIluminação públicaIluminação pública – B4aNão se aplicaNão se aplicaFora ponta",Mercado_Receita!$L$2:$L$475)+SUMIF(Mercado_Receita!$S$2:$S$475,"44348B4ConvencionalIluminação públicaIluminação pública – B4aNão se aplicaNão se aplicaIntermediário",Mercado_Receita!$L$2:$L$475)+SUMIF(Mercado_Receita!$S$2:$S$475,"44348B4ConvencionalIluminação públicaIluminação pública – B4aNão se aplicaNão se aplicaNão se aplica",Mercado_Receita!$L$2:$L$475)</f>
        <v>288.34699999999998</v>
      </c>
      <c r="L47" s="12">
        <f>SUMIF(Mercado_Receita!$S$2:$S$475,"44378B4ConvencionalIluminação públicaIluminação pública – B4aNão se aplicaNão se aplicaPonta",Mercado_Receita!$L$2:$L$475)+SUMIF(Mercado_Receita!$S$2:$S$475,"44378B4ConvencionalIluminação públicaIluminação pública – B4aNão se aplicaNão se aplicaFora ponta",Mercado_Receita!$L$2:$L$475)+SUMIF(Mercado_Receita!$S$2:$S$475,"44378B4ConvencionalIluminação públicaIluminação pública – B4aNão se aplicaNão se aplicaIntermediário",Mercado_Receita!$L$2:$L$475)+SUMIF(Mercado_Receita!$S$2:$S$475,"44378B4ConvencionalIluminação públicaIluminação pública – B4aNão se aplicaNão se aplicaNão se aplica",Mercado_Receita!$L$2:$L$475)</f>
        <v>294.88200000000001</v>
      </c>
      <c r="M47" s="12">
        <f>SUMIF(Mercado_Receita!$S$2:$S$475,"44409B4ConvencionalIluminação públicaIluminação pública – B4aNão se aplicaNão se aplicaPonta",Mercado_Receita!$L$2:$L$475)+SUMIF(Mercado_Receita!$S$2:$S$475,"44409B4ConvencionalIluminação públicaIluminação pública – B4aNão se aplicaNão se aplicaFora ponta",Mercado_Receita!$L$2:$L$475)+SUMIF(Mercado_Receita!$S$2:$S$475,"44409B4ConvencionalIluminação públicaIluminação pública – B4aNão se aplicaNão se aplicaIntermediário",Mercado_Receita!$L$2:$L$475)+SUMIF(Mercado_Receita!$S$2:$S$475,"44409B4ConvencionalIluminação públicaIluminação pública – B4aNão se aplicaNão se aplicaNão se aplica",Mercado_Receita!$L$2:$L$475)</f>
        <v>284.49299999999999</v>
      </c>
      <c r="N47" s="12">
        <f>SUMIF(Mercado_Receita!$S$2:$S$475,"44440B4ConvencionalIluminação públicaIluminação pública – B4aNão se aplicaNão se aplicaPonta",Mercado_Receita!$L$2:$L$475)+SUMIF(Mercado_Receita!$S$2:$S$475,"44440B4ConvencionalIluminação públicaIluminação pública – B4aNão se aplicaNão se aplicaFora ponta",Mercado_Receita!$L$2:$L$475)+SUMIF(Mercado_Receita!$S$2:$S$475,"44440B4ConvencionalIluminação públicaIluminação pública – B4aNão se aplicaNão se aplicaIntermediário",Mercado_Receita!$L$2:$L$475)+SUMIF(Mercado_Receita!$S$2:$S$475,"44440B4ConvencionalIluminação públicaIluminação pública – B4aNão se aplicaNão se aplicaNão se aplica",Mercado_Receita!$L$2:$L$475)</f>
        <v>260.94600000000003</v>
      </c>
      <c r="O47" s="12">
        <f>SUMIF(Mercado_Receita!$S$2:$S$475,"44470B4ConvencionalIluminação públicaIluminação pública – B4aNão se aplicaNão se aplicaPonta",Mercado_Receita!$L$2:$L$475)+SUMIF(Mercado_Receita!$S$2:$S$475,"44470B4ConvencionalIluminação públicaIluminação pública – B4aNão se aplicaNão se aplicaFora ponta",Mercado_Receita!$L$2:$L$475)+SUMIF(Mercado_Receita!$S$2:$S$475,"44470B4ConvencionalIluminação públicaIluminação pública – B4aNão se aplicaNão se aplicaIntermediário",Mercado_Receita!$L$2:$L$475)+SUMIF(Mercado_Receita!$S$2:$S$475,"44470B4ConvencionalIluminação públicaIluminação pública – B4aNão se aplicaNão se aplicaNão se aplica",Mercado_Receita!$L$2:$L$475)</f>
        <v>253.86</v>
      </c>
      <c r="P47" s="12">
        <f>SUMIF(Mercado_Receita!$S$2:$S$475,"44501B4ConvencionalIluminação públicaIluminação pública – B4aNão se aplicaNão se aplicaPonta",Mercado_Receita!$L$2:$L$475)+SUMIF(Mercado_Receita!$S$2:$S$475,"44501B4ConvencionalIluminação públicaIluminação pública – B4aNão se aplicaNão se aplicaFora ponta",Mercado_Receita!$L$2:$L$475)+SUMIF(Mercado_Receita!$S$2:$S$475,"44501B4ConvencionalIluminação públicaIluminação pública – B4aNão se aplicaNão se aplicaIntermediário",Mercado_Receita!$L$2:$L$475)+SUMIF(Mercado_Receita!$S$2:$S$475,"44501B4ConvencionalIluminação públicaIluminação pública – B4aNão se aplicaNão se aplicaNão se aplica",Mercado_Receita!$L$2:$L$475)</f>
        <v>232.631</v>
      </c>
      <c r="Q47" s="12">
        <f>SUMIF(Mercado_Receita!$S$2:$S$475,"44531B4ConvencionalIluminação públicaIluminação pública – B4aNão se aplicaNão se aplicaPonta",Mercado_Receita!$L$2:$L$475)+SUMIF(Mercado_Receita!$S$2:$S$475,"44531B4ConvencionalIluminação públicaIluminação pública – B4aNão se aplicaNão se aplicaFora ponta",Mercado_Receita!$L$2:$L$475)+SUMIF(Mercado_Receita!$S$2:$S$475,"44531B4ConvencionalIluminação públicaIluminação pública – B4aNão se aplicaNão se aplicaIntermediário",Mercado_Receita!$L$2:$L$475)+SUMIF(Mercado_Receita!$S$2:$S$475,"44531B4ConvencionalIluminação públicaIluminação pública – B4aNão se aplicaNão se aplicaNão se aplica",Mercado_Receita!$L$2:$L$475)</f>
        <v>241.02600000000001</v>
      </c>
      <c r="R47" s="12">
        <f>SUMIF(Mercado_Receita!$S$2:$S$475,"44562B4ConvencionalIluminação públicaIluminação pública – B4aNão se aplicaNão se aplicaPonta",Mercado_Receita!$L$2:$L$475)+SUMIF(Mercado_Receita!$S$2:$S$475,"44562B4ConvencionalIluminação públicaIluminação pública – B4aNão se aplicaNão se aplicaFora ponta",Mercado_Receita!$L$2:$L$475)+SUMIF(Mercado_Receita!$S$2:$S$475,"44562B4ConvencionalIluminação públicaIluminação pública – B4aNão se aplicaNão se aplicaIntermediário",Mercado_Receita!$L$2:$L$475)+SUMIF(Mercado_Receita!$S$2:$S$475,"44562B4ConvencionalIluminação públicaIluminação pública – B4aNão se aplicaNão se aplicaNão se aplica",Mercado_Receita!$L$2:$L$475)</f>
        <v>244.99600000000001</v>
      </c>
      <c r="S47" s="12">
        <f>SUMIF(Mercado_Receita!$S$2:$S$475,"44593B4ConvencionalIluminação públicaIluminação pública – B4aNão se aplicaNão se aplicaPonta",Mercado_Receita!$L$2:$L$475)+SUMIF(Mercado_Receita!$S$2:$S$475,"44593B4ConvencionalIluminação públicaIluminação pública – B4aNão se aplicaNão se aplicaFora ponta",Mercado_Receita!$L$2:$L$475)+SUMIF(Mercado_Receita!$S$2:$S$475,"44593B4ConvencionalIluminação públicaIluminação pública – B4aNão se aplicaNão se aplicaIntermediário",Mercado_Receita!$L$2:$L$475)+SUMIF(Mercado_Receita!$S$2:$S$475,"44593B4ConvencionalIluminação públicaIluminação pública – B4aNão se aplicaNão se aplicaNão se aplica",Mercado_Receita!$L$2:$L$475)</f>
        <v>232.03800000000001</v>
      </c>
      <c r="T47" s="12">
        <f>SUMIF(Mercado_Receita!$S$2:$S$475,"44621B4ConvencionalIluminação públicaIluminação pública – B4aNão se aplicaNão se aplicaPonta",Mercado_Receita!$L$2:$L$475)+SUMIF(Mercado_Receita!$S$2:$S$475,"44621B4ConvencionalIluminação públicaIluminação pública – B4aNão se aplicaNão se aplicaFora ponta",Mercado_Receita!$L$2:$L$475)+SUMIF(Mercado_Receita!$S$2:$S$475,"44621B4ConvencionalIluminação públicaIluminação pública – B4aNão se aplicaNão se aplicaIntermediário",Mercado_Receita!$L$2:$L$475)+SUMIF(Mercado_Receita!$S$2:$S$475,"44621B4ConvencionalIluminação públicaIluminação pública – B4aNão se aplicaNão se aplicaNão se aplica",Mercado_Receita!$L$2:$L$475)</f>
        <v>271.97899999999998</v>
      </c>
      <c r="U47" s="12">
        <f t="shared" si="0"/>
        <v>3164.4159999999997</v>
      </c>
      <c r="V47" s="12"/>
      <c r="W47" s="12"/>
    </row>
    <row r="48" spans="1:23" ht="11.25" customHeight="1" x14ac:dyDescent="0.3">
      <c r="A48" s="106"/>
      <c r="B48" s="106"/>
      <c r="C48" s="106"/>
      <c r="D48" s="12" t="s">
        <v>90</v>
      </c>
      <c r="E48" s="12" t="s">
        <v>25</v>
      </c>
      <c r="F48" s="12" t="s">
        <v>25</v>
      </c>
      <c r="G48" s="12" t="s">
        <v>76</v>
      </c>
      <c r="H48" s="12" t="s">
        <v>72</v>
      </c>
      <c r="I48" s="12">
        <f>SUMIF(Mercado_Receita!$S$2:$S$475,"44287B4ConvencionalIluminação públicaIluminação pública – B4bNão se aplicaNão se aplicaPonta",Mercado_Receita!$L$2:$L$475)+SUMIF(Mercado_Receita!$S$2:$S$475,"44287B4ConvencionalIluminação públicaIluminação pública – B4bNão se aplicaNão se aplicaFora ponta",Mercado_Receita!$L$2:$L$475)+SUMIF(Mercado_Receita!$S$2:$S$475,"44287B4ConvencionalIluminação públicaIluminação pública – B4bNão se aplicaNão se aplicaIntermediário",Mercado_Receita!$L$2:$L$475)+SUMIF(Mercado_Receita!$S$2:$S$475,"44287B4ConvencionalIluminação públicaIluminação pública – B4bNão se aplicaNão se aplicaNão se aplica",Mercado_Receita!$L$2:$L$475)</f>
        <v>0</v>
      </c>
      <c r="J48" s="12">
        <f>SUMIF(Mercado_Receita!$S$2:$S$475,"44317B4ConvencionalIluminação públicaIluminação pública – B4bNão se aplicaNão se aplicaPonta",Mercado_Receita!$L$2:$L$475)+SUMIF(Mercado_Receita!$S$2:$S$475,"44317B4ConvencionalIluminação públicaIluminação pública – B4bNão se aplicaNão se aplicaFora ponta",Mercado_Receita!$L$2:$L$475)+SUMIF(Mercado_Receita!$S$2:$S$475,"44317B4ConvencionalIluminação públicaIluminação pública – B4bNão se aplicaNão se aplicaIntermediário",Mercado_Receita!$L$2:$L$475)+SUMIF(Mercado_Receita!$S$2:$S$475,"44317B4ConvencionalIluminação públicaIluminação pública – B4bNão se aplicaNão se aplicaNão se aplica",Mercado_Receita!$L$2:$L$475)</f>
        <v>0</v>
      </c>
      <c r="K48" s="12">
        <f>SUMIF(Mercado_Receita!$S$2:$S$475,"44348B4ConvencionalIluminação públicaIluminação pública – B4bNão se aplicaNão se aplicaPonta",Mercado_Receita!$L$2:$L$475)+SUMIF(Mercado_Receita!$S$2:$S$475,"44348B4ConvencionalIluminação públicaIluminação pública – B4bNão se aplicaNão se aplicaFora ponta",Mercado_Receita!$L$2:$L$475)+SUMIF(Mercado_Receita!$S$2:$S$475,"44348B4ConvencionalIluminação públicaIluminação pública – B4bNão se aplicaNão se aplicaIntermediário",Mercado_Receita!$L$2:$L$475)+SUMIF(Mercado_Receita!$S$2:$S$475,"44348B4ConvencionalIluminação públicaIluminação pública – B4bNão se aplicaNão se aplicaNão se aplica",Mercado_Receita!$L$2:$L$475)</f>
        <v>0</v>
      </c>
      <c r="L48" s="12">
        <f>SUMIF(Mercado_Receita!$S$2:$S$475,"44378B4ConvencionalIluminação públicaIluminação pública – B4bNão se aplicaNão se aplicaPonta",Mercado_Receita!$L$2:$L$475)+SUMIF(Mercado_Receita!$S$2:$S$475,"44378B4ConvencionalIluminação públicaIluminação pública – B4bNão se aplicaNão se aplicaFora ponta",Mercado_Receita!$L$2:$L$475)+SUMIF(Mercado_Receita!$S$2:$S$475,"44378B4ConvencionalIluminação públicaIluminação pública – B4bNão se aplicaNão se aplicaIntermediário",Mercado_Receita!$L$2:$L$475)+SUMIF(Mercado_Receita!$S$2:$S$475,"44378B4ConvencionalIluminação públicaIluminação pública – B4bNão se aplicaNão se aplicaNão se aplica",Mercado_Receita!$L$2:$L$475)</f>
        <v>0</v>
      </c>
      <c r="M48" s="12">
        <f>SUMIF(Mercado_Receita!$S$2:$S$475,"44409B4ConvencionalIluminação públicaIluminação pública – B4bNão se aplicaNão se aplicaPonta",Mercado_Receita!$L$2:$L$475)+SUMIF(Mercado_Receita!$S$2:$S$475,"44409B4ConvencionalIluminação públicaIluminação pública – B4bNão se aplicaNão se aplicaFora ponta",Mercado_Receita!$L$2:$L$475)+SUMIF(Mercado_Receita!$S$2:$S$475,"44409B4ConvencionalIluminação públicaIluminação pública – B4bNão se aplicaNão se aplicaIntermediário",Mercado_Receita!$L$2:$L$475)+SUMIF(Mercado_Receita!$S$2:$S$475,"44409B4ConvencionalIluminação públicaIluminação pública – B4bNão se aplicaNão se aplicaNão se aplica",Mercado_Receita!$L$2:$L$475)</f>
        <v>0</v>
      </c>
      <c r="N48" s="12">
        <f>SUMIF(Mercado_Receita!$S$2:$S$475,"44440B4ConvencionalIluminação públicaIluminação pública – B4bNão se aplicaNão se aplicaPonta",Mercado_Receita!$L$2:$L$475)+SUMIF(Mercado_Receita!$S$2:$S$475,"44440B4ConvencionalIluminação públicaIluminação pública – B4bNão se aplicaNão se aplicaFora ponta",Mercado_Receita!$L$2:$L$475)+SUMIF(Mercado_Receita!$S$2:$S$475,"44440B4ConvencionalIluminação públicaIluminação pública – B4bNão se aplicaNão se aplicaIntermediário",Mercado_Receita!$L$2:$L$475)+SUMIF(Mercado_Receita!$S$2:$S$475,"44440B4ConvencionalIluminação públicaIluminação pública – B4bNão se aplicaNão se aplicaNão se aplica",Mercado_Receita!$L$2:$L$475)</f>
        <v>0</v>
      </c>
      <c r="O48" s="12">
        <f>SUMIF(Mercado_Receita!$S$2:$S$475,"44470B4ConvencionalIluminação públicaIluminação pública – B4bNão se aplicaNão se aplicaPonta",Mercado_Receita!$L$2:$L$475)+SUMIF(Mercado_Receita!$S$2:$S$475,"44470B4ConvencionalIluminação públicaIluminação pública – B4bNão se aplicaNão se aplicaFora ponta",Mercado_Receita!$L$2:$L$475)+SUMIF(Mercado_Receita!$S$2:$S$475,"44470B4ConvencionalIluminação públicaIluminação pública – B4bNão se aplicaNão se aplicaIntermediário",Mercado_Receita!$L$2:$L$475)+SUMIF(Mercado_Receita!$S$2:$S$475,"44470B4ConvencionalIluminação públicaIluminação pública – B4bNão se aplicaNão se aplicaNão se aplica",Mercado_Receita!$L$2:$L$475)</f>
        <v>0</v>
      </c>
      <c r="P48" s="12">
        <f>SUMIF(Mercado_Receita!$S$2:$S$475,"44501B4ConvencionalIluminação públicaIluminação pública – B4bNão se aplicaNão se aplicaPonta",Mercado_Receita!$L$2:$L$475)+SUMIF(Mercado_Receita!$S$2:$S$475,"44501B4ConvencionalIluminação públicaIluminação pública – B4bNão se aplicaNão se aplicaFora ponta",Mercado_Receita!$L$2:$L$475)+SUMIF(Mercado_Receita!$S$2:$S$475,"44501B4ConvencionalIluminação públicaIluminação pública – B4bNão se aplicaNão se aplicaIntermediário",Mercado_Receita!$L$2:$L$475)+SUMIF(Mercado_Receita!$S$2:$S$475,"44501B4ConvencionalIluminação públicaIluminação pública – B4bNão se aplicaNão se aplicaNão se aplica",Mercado_Receita!$L$2:$L$475)</f>
        <v>0</v>
      </c>
      <c r="Q48" s="12">
        <f>SUMIF(Mercado_Receita!$S$2:$S$475,"44531B4ConvencionalIluminação públicaIluminação pública – B4bNão se aplicaNão se aplicaPonta",Mercado_Receita!$L$2:$L$475)+SUMIF(Mercado_Receita!$S$2:$S$475,"44531B4ConvencionalIluminação públicaIluminação pública – B4bNão se aplicaNão se aplicaFora ponta",Mercado_Receita!$L$2:$L$475)+SUMIF(Mercado_Receita!$S$2:$S$475,"44531B4ConvencionalIluminação públicaIluminação pública – B4bNão se aplicaNão se aplicaIntermediário",Mercado_Receita!$L$2:$L$475)+SUMIF(Mercado_Receita!$S$2:$S$475,"44531B4ConvencionalIluminação públicaIluminação pública – B4bNão se aplicaNão se aplicaNão se aplica",Mercado_Receita!$L$2:$L$475)</f>
        <v>0</v>
      </c>
      <c r="R48" s="12">
        <f>SUMIF(Mercado_Receita!$S$2:$S$475,"44562B4ConvencionalIluminação públicaIluminação pública – B4bNão se aplicaNão se aplicaPonta",Mercado_Receita!$L$2:$L$475)+SUMIF(Mercado_Receita!$S$2:$S$475,"44562B4ConvencionalIluminação públicaIluminação pública – B4bNão se aplicaNão se aplicaFora ponta",Mercado_Receita!$L$2:$L$475)+SUMIF(Mercado_Receita!$S$2:$S$475,"44562B4ConvencionalIluminação públicaIluminação pública – B4bNão se aplicaNão se aplicaIntermediário",Mercado_Receita!$L$2:$L$475)+SUMIF(Mercado_Receita!$S$2:$S$475,"44562B4ConvencionalIluminação públicaIluminação pública – B4bNão se aplicaNão se aplicaNão se aplica",Mercado_Receita!$L$2:$L$475)</f>
        <v>0</v>
      </c>
      <c r="S48" s="12">
        <f>SUMIF(Mercado_Receita!$S$2:$S$475,"44593B4ConvencionalIluminação públicaIluminação pública – B4bNão se aplicaNão se aplicaPonta",Mercado_Receita!$L$2:$L$475)+SUMIF(Mercado_Receita!$S$2:$S$475,"44593B4ConvencionalIluminação públicaIluminação pública – B4bNão se aplicaNão se aplicaFora ponta",Mercado_Receita!$L$2:$L$475)+SUMIF(Mercado_Receita!$S$2:$S$475,"44593B4ConvencionalIluminação públicaIluminação pública – B4bNão se aplicaNão se aplicaIntermediário",Mercado_Receita!$L$2:$L$475)+SUMIF(Mercado_Receita!$S$2:$S$475,"44593B4ConvencionalIluminação públicaIluminação pública – B4bNão se aplicaNão se aplicaNão se aplica",Mercado_Receita!$L$2:$L$475)</f>
        <v>0</v>
      </c>
      <c r="T48" s="12">
        <f>SUMIF(Mercado_Receita!$S$2:$S$475,"44621B4ConvencionalIluminação públicaIluminação pública – B4bNão se aplicaNão se aplicaPonta",Mercado_Receita!$L$2:$L$475)+SUMIF(Mercado_Receita!$S$2:$S$475,"44621B4ConvencionalIluminação públicaIluminação pública – B4bNão se aplicaNão se aplicaFora ponta",Mercado_Receita!$L$2:$L$475)+SUMIF(Mercado_Receita!$S$2:$S$475,"44621B4ConvencionalIluminação públicaIluminação pública – B4bNão se aplicaNão se aplicaIntermediário",Mercado_Receita!$L$2:$L$475)+SUMIF(Mercado_Receita!$S$2:$S$475,"44621B4ConvencionalIluminação públicaIluminação pública – B4bNão se aplicaNão se aplicaNão se aplica",Mercado_Receita!$L$2:$L$475)</f>
        <v>0</v>
      </c>
      <c r="U48" s="12">
        <f t="shared" si="0"/>
        <v>0</v>
      </c>
      <c r="V48" s="12"/>
      <c r="W48" s="12"/>
    </row>
    <row r="49" spans="1:23" ht="11.25" customHeight="1" x14ac:dyDescent="0.3">
      <c r="A49" s="107" t="s">
        <v>469</v>
      </c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2"/>
      <c r="W49" s="12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F90B-D456-4419-8528-D880657D68B3}">
  <dimension ref="A1:AD40"/>
  <sheetViews>
    <sheetView showGridLines="0" workbookViewId="0">
      <selection sqref="A1:W40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5.88671875" style="9" bestFit="1" customWidth="1"/>
    <col min="10" max="10" width="6.109375" style="9" bestFit="1" customWidth="1"/>
    <col min="11" max="12" width="5.6640625" style="9" bestFit="1" customWidth="1"/>
    <col min="13" max="13" width="6.109375" style="9" bestFit="1" customWidth="1"/>
    <col min="14" max="15" width="5.88671875" style="9" bestFit="1" customWidth="1"/>
    <col min="16" max="17" width="6.109375" style="9" bestFit="1" customWidth="1"/>
    <col min="18" max="19" width="5.6640625" style="9" bestFit="1" customWidth="1"/>
    <col min="20" max="20" width="6.44140625" style="9" bestFit="1" customWidth="1"/>
    <col min="21" max="21" width="14.109375" style="9" bestFit="1" customWidth="1"/>
    <col min="22" max="16384" width="9.109375" style="9"/>
  </cols>
  <sheetData>
    <row r="1" spans="1:30" ht="11.25" customHeight="1" x14ac:dyDescent="0.3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1">
        <v>44287</v>
      </c>
      <c r="J1" s="11">
        <v>44317</v>
      </c>
      <c r="K1" s="11">
        <v>44348</v>
      </c>
      <c r="L1" s="11">
        <v>44378</v>
      </c>
      <c r="M1" s="11">
        <v>44409</v>
      </c>
      <c r="N1" s="11">
        <v>44440</v>
      </c>
      <c r="O1" s="11">
        <v>44470</v>
      </c>
      <c r="P1" s="11">
        <v>44501</v>
      </c>
      <c r="Q1" s="11">
        <v>44531</v>
      </c>
      <c r="R1" s="11">
        <v>44562</v>
      </c>
      <c r="S1" s="11">
        <v>44593</v>
      </c>
      <c r="T1" s="11">
        <v>44621</v>
      </c>
      <c r="U1" s="10" t="s">
        <v>70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105" t="s">
        <v>37</v>
      </c>
      <c r="B2" s="105" t="s">
        <v>71</v>
      </c>
      <c r="C2" s="105" t="s">
        <v>25</v>
      </c>
      <c r="D2" s="105" t="s">
        <v>25</v>
      </c>
      <c r="E2" s="105" t="s">
        <v>25</v>
      </c>
      <c r="F2" s="105" t="s">
        <v>25</v>
      </c>
      <c r="G2" s="14" t="s">
        <v>73</v>
      </c>
      <c r="H2" s="14" t="s">
        <v>72</v>
      </c>
      <c r="I2" s="14">
        <f>SUMIF(Mercado_Receita!$T$2:$T$475,"44287A4Energia horáriaNão se aplicaNão se aplicaNão se aplicaNão se aplicaPonta",Mercado_Receita!$N$2:$N$475)</f>
        <v>6.9979999999999993</v>
      </c>
      <c r="J2" s="14">
        <f>SUMIF(Mercado_Receita!$T$2:$T$475,"44317A4Energia horáriaNão se aplicaNão se aplicaNão se aplicaNão se aplicaPonta",Mercado_Receita!$N$2:$N$475)</f>
        <v>7.03</v>
      </c>
      <c r="K2" s="14">
        <f>SUMIF(Mercado_Receita!$T$2:$T$475,"44348A4Energia horáriaNão se aplicaNão se aplicaNão se aplicaNão se aplicaPonta",Mercado_Receita!$N$2:$N$475)</f>
        <v>6.9420000000000002</v>
      </c>
      <c r="L2" s="14">
        <f>SUMIF(Mercado_Receita!$T$2:$T$475,"44378A4Energia horáriaNão se aplicaNão se aplicaNão se aplicaNão se aplicaPonta",Mercado_Receita!$N$2:$N$475)</f>
        <v>7.383</v>
      </c>
      <c r="M2" s="14">
        <f>SUMIF(Mercado_Receita!$T$2:$T$475,"44409A4Energia horáriaNão se aplicaNão se aplicaNão se aplicaNão se aplicaPonta",Mercado_Receita!$N$2:$N$475)</f>
        <v>7.3159999999999998</v>
      </c>
      <c r="N2" s="14">
        <f>SUMIF(Mercado_Receita!$T$2:$T$475,"44440A4Energia horáriaNão se aplicaNão se aplicaNão se aplicaNão se aplicaPonta",Mercado_Receita!$N$2:$N$475)</f>
        <v>7.3780000000000001</v>
      </c>
      <c r="O2" s="14">
        <f>SUMIF(Mercado_Receita!$T$2:$T$475,"44470A4Energia horáriaNão se aplicaNão se aplicaNão se aplicaNão se aplicaPonta",Mercado_Receita!$N$2:$N$475)</f>
        <v>6.4619999999999997</v>
      </c>
      <c r="P2" s="14">
        <f>SUMIF(Mercado_Receita!$T$2:$T$475,"44501A4Energia horáriaNão se aplicaNão se aplicaNão se aplicaNão se aplicaPonta",Mercado_Receita!$N$2:$N$475)</f>
        <v>6.676000000000001</v>
      </c>
      <c r="Q2" s="14">
        <f>SUMIF(Mercado_Receita!$T$2:$T$475,"44531A4Energia horáriaNão se aplicaNão se aplicaNão se aplicaNão se aplicaPonta",Mercado_Receita!$N$2:$N$475)</f>
        <v>8.0679999999999996</v>
      </c>
      <c r="R2" s="14">
        <f>SUMIF(Mercado_Receita!$T$2:$T$475,"44562A4Energia horáriaNão se aplicaNão se aplicaNão se aplicaNão se aplicaPonta",Mercado_Receita!$N$2:$N$475)</f>
        <v>8.4969999999999999</v>
      </c>
      <c r="S2" s="14">
        <f>SUMIF(Mercado_Receita!$T$2:$T$475,"44593A4Energia horáriaNão se aplicaNão se aplicaNão se aplicaNão se aplicaPonta",Mercado_Receita!$N$2:$N$475)</f>
        <v>7.9219999999999997</v>
      </c>
      <c r="T2" s="14">
        <f>SUMIF(Mercado_Receita!$T$2:$T$475,"44621A4Energia horáriaNão se aplicaNão se aplicaNão se aplicaNão se aplicaPonta",Mercado_Receita!$N$2:$N$475)</f>
        <v>9.1530000000000005</v>
      </c>
      <c r="U2" s="14">
        <f t="shared" ref="U2:U39" si="0">SUM(I2:T2)</f>
        <v>89.825000000000003</v>
      </c>
      <c r="V2" s="14"/>
      <c r="W2" s="14"/>
    </row>
    <row r="3" spans="1:30" ht="11.25" customHeight="1" x14ac:dyDescent="0.3">
      <c r="A3" s="106"/>
      <c r="B3" s="106"/>
      <c r="C3" s="106"/>
      <c r="D3" s="106"/>
      <c r="E3" s="106"/>
      <c r="F3" s="106"/>
      <c r="G3" s="14" t="s">
        <v>74</v>
      </c>
      <c r="H3" s="14" t="s">
        <v>72</v>
      </c>
      <c r="I3" s="14">
        <f>SUMIF(Mercado_Receita!$T$2:$T$475,"44287A4Energia horáriaNão se aplicaNão se aplicaNão se aplicaNão se aplicaFora ponta",Mercado_Receita!$N$2:$N$475)</f>
        <v>230.00700000000001</v>
      </c>
      <c r="J3" s="14">
        <f>SUMIF(Mercado_Receita!$T$2:$T$475,"44317A4Energia horáriaNão se aplicaNão se aplicaNão se aplicaNão se aplicaFora ponta",Mercado_Receita!$N$2:$N$475)</f>
        <v>252.04699999999997</v>
      </c>
      <c r="K3" s="14">
        <f>SUMIF(Mercado_Receita!$T$2:$T$475,"44348A4Energia horáriaNão se aplicaNão se aplicaNão se aplicaNão se aplicaFora ponta",Mercado_Receita!$N$2:$N$475)</f>
        <v>218.327</v>
      </c>
      <c r="L3" s="14">
        <f>SUMIF(Mercado_Receita!$T$2:$T$475,"44378A4Energia horáriaNão se aplicaNão se aplicaNão se aplicaNão se aplicaFora ponta",Mercado_Receita!$N$2:$N$475)</f>
        <v>256.43700000000001</v>
      </c>
      <c r="M3" s="14">
        <f>SUMIF(Mercado_Receita!$T$2:$T$475,"44409A4Energia horáriaNão se aplicaNão se aplicaNão se aplicaNão se aplicaFora ponta",Mercado_Receita!$N$2:$N$475)</f>
        <v>195.73800000000003</v>
      </c>
      <c r="N3" s="14">
        <f>SUMIF(Mercado_Receita!$T$2:$T$475,"44440A4Energia horáriaNão se aplicaNão se aplicaNão se aplicaNão se aplicaFora ponta",Mercado_Receita!$N$2:$N$475)</f>
        <v>214.99</v>
      </c>
      <c r="O3" s="14">
        <f>SUMIF(Mercado_Receita!$T$2:$T$475,"44470A4Energia horáriaNão se aplicaNão se aplicaNão se aplicaNão se aplicaFora ponta",Mercado_Receita!$N$2:$N$475)</f>
        <v>252.19399999999999</v>
      </c>
      <c r="P3" s="14">
        <f>SUMIF(Mercado_Receita!$T$2:$T$475,"44501A4Energia horáriaNão se aplicaNão se aplicaNão se aplicaNão se aplicaFora ponta",Mercado_Receita!$N$2:$N$475)</f>
        <v>275.13099999999997</v>
      </c>
      <c r="Q3" s="14">
        <f>SUMIF(Mercado_Receita!$T$2:$T$475,"44531A4Energia horáriaNão se aplicaNão se aplicaNão se aplicaNão se aplicaFora ponta",Mercado_Receita!$N$2:$N$475)</f>
        <v>292.61</v>
      </c>
      <c r="R3" s="14">
        <f>SUMIF(Mercado_Receita!$T$2:$T$475,"44562A4Energia horáriaNão se aplicaNão se aplicaNão se aplicaNão se aplicaFora ponta",Mercado_Receita!$N$2:$N$475)</f>
        <v>339.00899999999996</v>
      </c>
      <c r="S3" s="14">
        <f>SUMIF(Mercado_Receita!$T$2:$T$475,"44593A4Energia horáriaNão se aplicaNão se aplicaNão se aplicaNão se aplicaFora ponta",Mercado_Receita!$N$2:$N$475)</f>
        <v>297.40900000000005</v>
      </c>
      <c r="T3" s="14">
        <f>SUMIF(Mercado_Receita!$T$2:$T$475,"44621A4Energia horáriaNão se aplicaNão se aplicaNão se aplicaNão se aplicaFora ponta",Mercado_Receita!$N$2:$N$475)</f>
        <v>433.21699999999998</v>
      </c>
      <c r="U3" s="14">
        <f t="shared" si="0"/>
        <v>3257.1160000000004</v>
      </c>
      <c r="V3" s="14"/>
      <c r="W3" s="14"/>
    </row>
    <row r="4" spans="1:30" ht="11.25" customHeight="1" x14ac:dyDescent="0.3">
      <c r="A4" s="106"/>
      <c r="B4" s="13" t="s">
        <v>75</v>
      </c>
      <c r="C4" s="13" t="s">
        <v>25</v>
      </c>
      <c r="D4" s="13" t="s">
        <v>25</v>
      </c>
      <c r="E4" s="13" t="s">
        <v>25</v>
      </c>
      <c r="F4" s="13" t="s">
        <v>25</v>
      </c>
      <c r="G4" s="14" t="s">
        <v>76</v>
      </c>
      <c r="H4" s="14" t="s">
        <v>72</v>
      </c>
      <c r="I4" s="14">
        <f>SUMIF(Mercado_Receita!$T$2:$T$475,"44287A4Energia convencionalNão se aplicaNão se aplicaNão se aplicaNão se aplicaNão se aplica",Mercado_Receita!$N$2:$N$475)</f>
        <v>0</v>
      </c>
      <c r="J4" s="14">
        <f>SUMIF(Mercado_Receita!$T$2:$T$475,"44317A4Energia convencionalNão se aplicaNão se aplicaNão se aplicaNão se aplicaNão se aplica",Mercado_Receita!$N$2:$N$475)</f>
        <v>0</v>
      </c>
      <c r="K4" s="14">
        <f>SUMIF(Mercado_Receita!$T$2:$T$475,"44348A4Energia convencionalNão se aplicaNão se aplicaNão se aplicaNão se aplicaNão se aplica",Mercado_Receita!$N$2:$N$475)</f>
        <v>0</v>
      </c>
      <c r="L4" s="14">
        <f>SUMIF(Mercado_Receita!$T$2:$T$475,"44378A4Energia convencionalNão se aplicaNão se aplicaNão se aplicaNão se aplicaNão se aplica",Mercado_Receita!$N$2:$N$475)</f>
        <v>0</v>
      </c>
      <c r="M4" s="14">
        <f>SUMIF(Mercado_Receita!$T$2:$T$475,"44409A4Energia convencionalNão se aplicaNão se aplicaNão se aplicaNão se aplicaNão se aplica",Mercado_Receita!$N$2:$N$475)</f>
        <v>0</v>
      </c>
      <c r="N4" s="14">
        <f>SUMIF(Mercado_Receita!$T$2:$T$475,"44440A4Energia convencionalNão se aplicaNão se aplicaNão se aplicaNão se aplicaNão se aplica",Mercado_Receita!$N$2:$N$475)</f>
        <v>0</v>
      </c>
      <c r="O4" s="14">
        <f>SUMIF(Mercado_Receita!$T$2:$T$475,"44470A4Energia convencionalNão se aplicaNão se aplicaNão se aplicaNão se aplicaNão se aplica",Mercado_Receita!$N$2:$N$475)</f>
        <v>0</v>
      </c>
      <c r="P4" s="14">
        <f>SUMIF(Mercado_Receita!$T$2:$T$475,"44501A4Energia convencionalNão se aplicaNão se aplicaNão se aplicaNão se aplicaNão se aplica",Mercado_Receita!$N$2:$N$475)</f>
        <v>0</v>
      </c>
      <c r="Q4" s="14">
        <f>SUMIF(Mercado_Receita!$T$2:$T$475,"44531A4Energia convencionalNão se aplicaNão se aplicaNão se aplicaNão se aplicaNão se aplica",Mercado_Receita!$N$2:$N$475)</f>
        <v>0</v>
      </c>
      <c r="R4" s="14">
        <f>SUMIF(Mercado_Receita!$T$2:$T$475,"44562A4Energia convencionalNão se aplicaNão se aplicaNão se aplicaNão se aplicaNão se aplica",Mercado_Receita!$N$2:$N$475)</f>
        <v>0</v>
      </c>
      <c r="S4" s="14">
        <f>SUMIF(Mercado_Receita!$T$2:$T$475,"44593A4Energia convencionalNão se aplicaNão se aplicaNão se aplicaNão se aplicaNão se aplica",Mercado_Receita!$N$2:$N$475)</f>
        <v>0</v>
      </c>
      <c r="T4" s="14">
        <f>SUMIF(Mercado_Receita!$T$2:$T$475,"44621A4Energia convencionalNão se aplicaNão se aplicaNão se aplicaNão se aplicaNão se aplica",Mercado_Receita!$N$2:$N$475)</f>
        <v>0</v>
      </c>
      <c r="U4" s="14">
        <f t="shared" si="0"/>
        <v>0</v>
      </c>
      <c r="V4" s="14"/>
      <c r="W4" s="14"/>
    </row>
    <row r="5" spans="1:30" ht="11.25" customHeight="1" x14ac:dyDescent="0.3">
      <c r="A5" s="105" t="s">
        <v>22</v>
      </c>
      <c r="B5" s="105" t="s">
        <v>71</v>
      </c>
      <c r="C5" s="105" t="s">
        <v>24</v>
      </c>
      <c r="D5" s="105" t="s">
        <v>24</v>
      </c>
      <c r="E5" s="105" t="s">
        <v>25</v>
      </c>
      <c r="F5" s="105" t="s">
        <v>25</v>
      </c>
      <c r="G5" s="14" t="s">
        <v>73</v>
      </c>
      <c r="H5" s="14" t="s">
        <v>72</v>
      </c>
      <c r="I5" s="14">
        <f>SUMIF(Mercado_Receita!$T$2:$T$475,"44287B1Energia horáriaResidencialResidencialNão se aplicaNão se aplicaPonta",Mercado_Receita!$N$2:$N$475)</f>
        <v>0</v>
      </c>
      <c r="J5" s="14">
        <f>SUMIF(Mercado_Receita!$T$2:$T$475,"44317B1Energia horáriaResidencialResidencialNão se aplicaNão se aplicaPonta",Mercado_Receita!$N$2:$N$475)</f>
        <v>0</v>
      </c>
      <c r="K5" s="14">
        <f>SUMIF(Mercado_Receita!$T$2:$T$475,"44348B1Energia horáriaResidencialResidencialNão se aplicaNão se aplicaPonta",Mercado_Receita!$N$2:$N$475)</f>
        <v>2.8000000000000001E-2</v>
      </c>
      <c r="L5" s="14">
        <f>SUMIF(Mercado_Receita!$T$2:$T$475,"44378B1Energia horáriaResidencialResidencialNão se aplicaNão se aplicaPonta",Mercado_Receita!$N$2:$N$475)</f>
        <v>3.0000000000000001E-3</v>
      </c>
      <c r="M5" s="14">
        <f>SUMIF(Mercado_Receita!$T$2:$T$475,"44409B1Energia horáriaResidencialResidencialNão se aplicaNão se aplicaPonta",Mercado_Receita!$N$2:$N$475)</f>
        <v>0</v>
      </c>
      <c r="N5" s="14">
        <f>SUMIF(Mercado_Receita!$T$2:$T$475,"44440B1Energia horáriaResidencialResidencialNão se aplicaNão se aplicaPonta",Mercado_Receita!$N$2:$N$475)</f>
        <v>0</v>
      </c>
      <c r="O5" s="14">
        <f>SUMIF(Mercado_Receita!$T$2:$T$475,"44470B1Energia horáriaResidencialResidencialNão se aplicaNão se aplicaPonta",Mercado_Receita!$N$2:$N$475)</f>
        <v>0</v>
      </c>
      <c r="P5" s="14">
        <f>SUMIF(Mercado_Receita!$T$2:$T$475,"44501B1Energia horáriaResidencialResidencialNão se aplicaNão se aplicaPonta",Mercado_Receita!$N$2:$N$475)</f>
        <v>0</v>
      </c>
      <c r="Q5" s="14">
        <f>SUMIF(Mercado_Receita!$T$2:$T$475,"44531B1Energia horáriaResidencialResidencialNão se aplicaNão se aplicaPonta",Mercado_Receita!$N$2:$N$475)</f>
        <v>0</v>
      </c>
      <c r="R5" s="14">
        <f>SUMIF(Mercado_Receita!$T$2:$T$475,"44562B1Energia horáriaResidencialResidencialNão se aplicaNão se aplicaPonta",Mercado_Receita!$N$2:$N$475)</f>
        <v>0</v>
      </c>
      <c r="S5" s="14">
        <f>SUMIF(Mercado_Receita!$T$2:$T$475,"44593B1Energia horáriaResidencialResidencialNão se aplicaNão se aplicaPonta",Mercado_Receita!$N$2:$N$475)</f>
        <v>0</v>
      </c>
      <c r="T5" s="14">
        <f>SUMIF(Mercado_Receita!$T$2:$T$475,"44621B1Energia horáriaResidencialResidencialNão se aplicaNão se aplicaPonta",Mercado_Receita!$N$2:$N$475)</f>
        <v>0</v>
      </c>
      <c r="U5" s="14">
        <f t="shared" si="0"/>
        <v>3.1E-2</v>
      </c>
      <c r="V5" s="14"/>
      <c r="W5" s="14"/>
    </row>
    <row r="6" spans="1:30" ht="11.25" customHeight="1" x14ac:dyDescent="0.3">
      <c r="A6" s="106"/>
      <c r="B6" s="106"/>
      <c r="C6" s="106"/>
      <c r="D6" s="106"/>
      <c r="E6" s="106"/>
      <c r="F6" s="106"/>
      <c r="G6" s="14" t="s">
        <v>85</v>
      </c>
      <c r="H6" s="14" t="s">
        <v>72</v>
      </c>
      <c r="I6" s="14">
        <f>SUMIF(Mercado_Receita!$T$2:$T$475,"44287B1Energia horáriaResidencialResidencialNão se aplicaNão se aplicaIntermediário",Mercado_Receita!$N$2:$N$475)</f>
        <v>0</v>
      </c>
      <c r="J6" s="14">
        <f>SUMIF(Mercado_Receita!$T$2:$T$475,"44317B1Energia horáriaResidencialResidencialNão se aplicaNão se aplicaIntermediário",Mercado_Receita!$N$2:$N$475)</f>
        <v>0</v>
      </c>
      <c r="K6" s="14">
        <f>SUMIF(Mercado_Receita!$T$2:$T$475,"44348B1Energia horáriaResidencialResidencialNão se aplicaNão se aplicaIntermediário",Mercado_Receita!$N$2:$N$475)</f>
        <v>0</v>
      </c>
      <c r="L6" s="14">
        <f>SUMIF(Mercado_Receita!$T$2:$T$475,"44378B1Energia horáriaResidencialResidencialNão se aplicaNão se aplicaIntermediário",Mercado_Receita!$N$2:$N$475)</f>
        <v>0</v>
      </c>
      <c r="M6" s="14">
        <f>SUMIF(Mercado_Receita!$T$2:$T$475,"44409B1Energia horáriaResidencialResidencialNão se aplicaNão se aplicaIntermediário",Mercado_Receita!$N$2:$N$475)</f>
        <v>0</v>
      </c>
      <c r="N6" s="14">
        <f>SUMIF(Mercado_Receita!$T$2:$T$475,"44440B1Energia horáriaResidencialResidencialNão se aplicaNão se aplicaIntermediário",Mercado_Receita!$N$2:$N$475)</f>
        <v>0</v>
      </c>
      <c r="O6" s="14">
        <f>SUMIF(Mercado_Receita!$T$2:$T$475,"44470B1Energia horáriaResidencialResidencialNão se aplicaNão se aplicaIntermediário",Mercado_Receita!$N$2:$N$475)</f>
        <v>0</v>
      </c>
      <c r="P6" s="14">
        <f>SUMIF(Mercado_Receita!$T$2:$T$475,"44501B1Energia horáriaResidencialResidencialNão se aplicaNão se aplicaIntermediário",Mercado_Receita!$N$2:$N$475)</f>
        <v>0</v>
      </c>
      <c r="Q6" s="14">
        <f>SUMIF(Mercado_Receita!$T$2:$T$475,"44531B1Energia horáriaResidencialResidencialNão se aplicaNão se aplicaIntermediário",Mercado_Receita!$N$2:$N$475)</f>
        <v>0</v>
      </c>
      <c r="R6" s="14">
        <f>SUMIF(Mercado_Receita!$T$2:$T$475,"44562B1Energia horáriaResidencialResidencialNão se aplicaNão se aplicaIntermediário",Mercado_Receita!$N$2:$N$475)</f>
        <v>0</v>
      </c>
      <c r="S6" s="14">
        <f>SUMIF(Mercado_Receita!$T$2:$T$475,"44593B1Energia horáriaResidencialResidencialNão se aplicaNão se aplicaIntermediário",Mercado_Receita!$N$2:$N$475)</f>
        <v>0</v>
      </c>
      <c r="T6" s="14">
        <f>SUMIF(Mercado_Receita!$T$2:$T$475,"44621B1Energia horáriaResidencialResidencialNão se aplicaNão se aplicaIntermediário",Mercado_Receita!$N$2:$N$475)</f>
        <v>0</v>
      </c>
      <c r="U6" s="14">
        <f t="shared" si="0"/>
        <v>0</v>
      </c>
      <c r="V6" s="14"/>
      <c r="W6" s="14"/>
    </row>
    <row r="7" spans="1:30" ht="11.25" customHeight="1" x14ac:dyDescent="0.3">
      <c r="A7" s="106"/>
      <c r="B7" s="106"/>
      <c r="C7" s="106"/>
      <c r="D7" s="106"/>
      <c r="E7" s="106"/>
      <c r="F7" s="106"/>
      <c r="G7" s="14" t="s">
        <v>74</v>
      </c>
      <c r="H7" s="14" t="s">
        <v>72</v>
      </c>
      <c r="I7" s="14">
        <f>SUMIF(Mercado_Receita!$T$2:$T$475,"44287B1Energia horáriaResidencialResidencialNão se aplicaNão se aplicaFora ponta",Mercado_Receita!$N$2:$N$475)</f>
        <v>7.1999999999999995E-2</v>
      </c>
      <c r="J7" s="14">
        <f>SUMIF(Mercado_Receita!$T$2:$T$475,"44317B1Energia horáriaResidencialResidencialNão se aplicaNão se aplicaFora ponta",Mercado_Receita!$N$2:$N$475)</f>
        <v>7.1999999999999995E-2</v>
      </c>
      <c r="K7" s="14">
        <f>SUMIF(Mercado_Receita!$T$2:$T$475,"44348B1Energia horáriaResidencialResidencialNão se aplicaNão se aplicaFora ponta",Mercado_Receita!$N$2:$N$475)</f>
        <v>0</v>
      </c>
      <c r="L7" s="14">
        <f>SUMIF(Mercado_Receita!$T$2:$T$475,"44378B1Energia horáriaResidencialResidencialNão se aplicaNão se aplicaFora ponta",Mercado_Receita!$N$2:$N$475)</f>
        <v>6.3E-2</v>
      </c>
      <c r="M7" s="14">
        <f>SUMIF(Mercado_Receita!$T$2:$T$475,"44409B1Energia horáriaResidencialResidencialNão se aplicaNão se aplicaFora ponta",Mercado_Receita!$N$2:$N$475)</f>
        <v>7.1999999999999995E-2</v>
      </c>
      <c r="N7" s="14">
        <f>SUMIF(Mercado_Receita!$T$2:$T$475,"44440B1Energia horáriaResidencialResidencialNão se aplicaNão se aplicaFora ponta",Mercado_Receita!$N$2:$N$475)</f>
        <v>7.1999999999999995E-2</v>
      </c>
      <c r="O7" s="14">
        <f>SUMIF(Mercado_Receita!$T$2:$T$475,"44470B1Energia horáriaResidencialResidencialNão se aplicaNão se aplicaFora ponta",Mercado_Receita!$N$2:$N$475)</f>
        <v>7.1999999999999995E-2</v>
      </c>
      <c r="P7" s="14">
        <f>SUMIF(Mercado_Receita!$T$2:$T$475,"44501B1Energia horáriaResidencialResidencialNão se aplicaNão se aplicaFora ponta",Mercado_Receita!$N$2:$N$475)</f>
        <v>7.1999999999999995E-2</v>
      </c>
      <c r="Q7" s="14">
        <f>SUMIF(Mercado_Receita!$T$2:$T$475,"44531B1Energia horáriaResidencialResidencialNão se aplicaNão se aplicaFora ponta",Mercado_Receita!$N$2:$N$475)</f>
        <v>7.1999999999999995E-2</v>
      </c>
      <c r="R7" s="14">
        <f>SUMIF(Mercado_Receita!$T$2:$T$475,"44562B1Energia horáriaResidencialResidencialNão se aplicaNão se aplicaFora ponta",Mercado_Receita!$N$2:$N$475)</f>
        <v>7.1999999999999995E-2</v>
      </c>
      <c r="S7" s="14">
        <f>SUMIF(Mercado_Receita!$T$2:$T$475,"44593B1Energia horáriaResidencialResidencialNão se aplicaNão se aplicaFora ponta",Mercado_Receita!$N$2:$N$475)</f>
        <v>7.1999999999999995E-2</v>
      </c>
      <c r="T7" s="14">
        <f>SUMIF(Mercado_Receita!$T$2:$T$475,"44621B1Energia horáriaResidencialResidencialNão se aplicaNão se aplicaFora ponta",Mercado_Receita!$N$2:$N$475)</f>
        <v>0</v>
      </c>
      <c r="U7" s="14">
        <f t="shared" si="0"/>
        <v>0.71099999999999985</v>
      </c>
      <c r="V7" s="14"/>
      <c r="W7" s="14"/>
    </row>
    <row r="8" spans="1:30" ht="11.25" customHeight="1" x14ac:dyDescent="0.3">
      <c r="A8" s="106"/>
      <c r="B8" s="105" t="s">
        <v>75</v>
      </c>
      <c r="C8" s="105" t="s">
        <v>24</v>
      </c>
      <c r="D8" s="13" t="s">
        <v>24</v>
      </c>
      <c r="E8" s="13" t="s">
        <v>25</v>
      </c>
      <c r="F8" s="13" t="s">
        <v>25</v>
      </c>
      <c r="G8" s="14" t="s">
        <v>76</v>
      </c>
      <c r="H8" s="14" t="s">
        <v>72</v>
      </c>
      <c r="I8" s="14">
        <f>SUMIF(Mercado_Receita!$T$2:$T$475,"44287B1Energia convencionalResidencialResidencialNão se aplicaNão se aplicaNão se aplica",Mercado_Receita!$N$2:$N$475)</f>
        <v>966.3309999999999</v>
      </c>
      <c r="J8" s="14">
        <f>SUMIF(Mercado_Receita!$T$2:$T$475,"44317B1Energia convencionalResidencialResidencialNão se aplicaNão se aplicaNão se aplica",Mercado_Receita!$N$2:$N$475)</f>
        <v>750.7120000000001</v>
      </c>
      <c r="K8" s="14">
        <f>SUMIF(Mercado_Receita!$T$2:$T$475,"44348B1Energia convencionalResidencialResidencialNão se aplicaNão se aplicaNão se aplica",Mercado_Receita!$N$2:$N$475)</f>
        <v>802.43500000000006</v>
      </c>
      <c r="L8" s="14">
        <f>SUMIF(Mercado_Receita!$T$2:$T$475,"44378B1Energia convencionalResidencialResidencialNão se aplicaNão se aplicaNão se aplica",Mercado_Receita!$N$2:$N$475)</f>
        <v>682.10699999999997</v>
      </c>
      <c r="M8" s="14">
        <f>SUMIF(Mercado_Receita!$T$2:$T$475,"44409B1Energia convencionalResidencialResidencialNão se aplicaNão se aplicaNão se aplica",Mercado_Receita!$N$2:$N$475)</f>
        <v>726.83800000000008</v>
      </c>
      <c r="N8" s="14">
        <f>SUMIF(Mercado_Receita!$T$2:$T$475,"44440B1Energia convencionalResidencialResidencialNão se aplicaNão se aplicaNão se aplica",Mercado_Receita!$N$2:$N$475)</f>
        <v>751.00200000000007</v>
      </c>
      <c r="O8" s="14">
        <f>SUMIF(Mercado_Receita!$T$2:$T$475,"44470B1Energia convencionalResidencialResidencialNão se aplicaNão se aplicaNão se aplica",Mercado_Receita!$N$2:$N$475)</f>
        <v>803.80799999999999</v>
      </c>
      <c r="P8" s="14">
        <f>SUMIF(Mercado_Receita!$T$2:$T$475,"44501B1Energia convencionalResidencialResidencialNão se aplicaNão se aplicaNão se aplica",Mercado_Receita!$N$2:$N$475)</f>
        <v>752.51900000000001</v>
      </c>
      <c r="Q8" s="14">
        <f>SUMIF(Mercado_Receita!$T$2:$T$475,"44531B1Energia convencionalResidencialResidencialNão se aplicaNão se aplicaNão se aplica",Mercado_Receita!$N$2:$N$475)</f>
        <v>813.21799999999996</v>
      </c>
      <c r="R8" s="14">
        <f>SUMIF(Mercado_Receita!$T$2:$T$475,"44562B1Energia convencionalResidencialResidencialNão se aplicaNão se aplicaNão se aplica",Mercado_Receita!$N$2:$N$475)</f>
        <v>932.66300000000001</v>
      </c>
      <c r="S8" s="14">
        <f>SUMIF(Mercado_Receita!$T$2:$T$475,"44593B1Energia convencionalResidencialResidencialNão se aplicaNão se aplicaNão se aplica",Mercado_Receita!$N$2:$N$475)</f>
        <v>955.67</v>
      </c>
      <c r="T8" s="14">
        <f>SUMIF(Mercado_Receita!$T$2:$T$475,"44621B1Energia convencionalResidencialResidencialNão se aplicaNão se aplicaNão se aplica",Mercado_Receita!$N$2:$N$475)</f>
        <v>939.08800000000008</v>
      </c>
      <c r="U8" s="14">
        <f t="shared" si="0"/>
        <v>9876.3909999999996</v>
      </c>
      <c r="V8" s="14"/>
      <c r="W8" s="14"/>
    </row>
    <row r="9" spans="1:30" ht="11.25" customHeight="1" x14ac:dyDescent="0.3">
      <c r="A9" s="106"/>
      <c r="B9" s="106"/>
      <c r="C9" s="106"/>
      <c r="D9" s="13" t="s">
        <v>29</v>
      </c>
      <c r="E9" s="13" t="s">
        <v>25</v>
      </c>
      <c r="F9" s="13" t="s">
        <v>25</v>
      </c>
      <c r="G9" s="14" t="s">
        <v>76</v>
      </c>
      <c r="H9" s="14" t="s">
        <v>72</v>
      </c>
      <c r="I9" s="14">
        <f>SUMIF(Mercado_Receita!$T$2:$T$475,"44287B1Energia convencionalResidencialResidencial baixa renda – faixa 01Não se aplicaNão se aplicaNão se aplica",Mercado_Receita!$N$2:$N$475)</f>
        <v>1.95</v>
      </c>
      <c r="J9" s="14">
        <f>SUMIF(Mercado_Receita!$T$2:$T$475,"44317B1Energia convencionalResidencialResidencial baixa renda – faixa 01Não se aplicaNão se aplicaNão se aplica",Mercado_Receita!$N$2:$N$475)</f>
        <v>2.13</v>
      </c>
      <c r="K9" s="14">
        <f>SUMIF(Mercado_Receita!$T$2:$T$475,"44348B1Energia convencionalResidencialResidencial baixa renda – faixa 01Não se aplicaNão se aplicaNão se aplica",Mercado_Receita!$N$2:$N$475)</f>
        <v>2.2200000000000002</v>
      </c>
      <c r="L9" s="14">
        <f>SUMIF(Mercado_Receita!$T$2:$T$475,"44378B1Energia convencionalResidencialResidencial baixa renda – faixa 01Não se aplicaNão se aplicaNão se aplica",Mercado_Receita!$N$2:$N$475)</f>
        <v>2.2799999999999998</v>
      </c>
      <c r="M9" s="14">
        <f>SUMIF(Mercado_Receita!$T$2:$T$475,"44409B1Energia convencionalResidencialResidencial baixa renda – faixa 01Não se aplicaNão se aplicaNão se aplica",Mercado_Receita!$N$2:$N$475)</f>
        <v>2.31</v>
      </c>
      <c r="N9" s="14">
        <f>SUMIF(Mercado_Receita!$T$2:$T$475,"44440B1Energia convencionalResidencialResidencial baixa renda – faixa 01Não se aplicaNão se aplicaNão se aplica",Mercado_Receita!$N$2:$N$475)</f>
        <v>2.34</v>
      </c>
      <c r="O9" s="14">
        <f>SUMIF(Mercado_Receita!$T$2:$T$475,"44470B1Energia convencionalResidencialResidencial baixa renda – faixa 01Não se aplicaNão se aplicaNão se aplica",Mercado_Receita!$N$2:$N$475)</f>
        <v>2.4300000000000002</v>
      </c>
      <c r="P9" s="14">
        <f>SUMIF(Mercado_Receita!$T$2:$T$475,"44501B1Energia convencionalResidencialResidencial baixa renda – faixa 01Não se aplicaNão se aplicaNão se aplica",Mercado_Receita!$N$2:$N$475)</f>
        <v>2.64</v>
      </c>
      <c r="Q9" s="14">
        <f>SUMIF(Mercado_Receita!$T$2:$T$475,"44531B1Energia convencionalResidencialResidencial baixa renda – faixa 01Não se aplicaNão se aplicaNão se aplica",Mercado_Receita!$N$2:$N$475)</f>
        <v>2.73</v>
      </c>
      <c r="R9" s="14">
        <f>SUMIF(Mercado_Receita!$T$2:$T$475,"44562B1Energia convencionalResidencialResidencial baixa renda – faixa 01Não se aplicaNão se aplicaNão se aplica",Mercado_Receita!$N$2:$N$475)</f>
        <v>2.73</v>
      </c>
      <c r="S9" s="14">
        <f>SUMIF(Mercado_Receita!$T$2:$T$475,"44593B1Energia convencionalResidencialResidencial baixa renda – faixa 01Não se aplicaNão se aplicaNão se aplica",Mercado_Receita!$N$2:$N$475)</f>
        <v>3.15</v>
      </c>
      <c r="T9" s="14">
        <f>SUMIF(Mercado_Receita!$T$2:$T$475,"44621B1Energia convencionalResidencialResidencial baixa renda – faixa 01Não se aplicaNão se aplicaNão se aplica",Mercado_Receita!$N$2:$N$475)</f>
        <v>11.67</v>
      </c>
      <c r="U9" s="14">
        <f t="shared" si="0"/>
        <v>38.58</v>
      </c>
      <c r="V9" s="14"/>
      <c r="W9" s="14"/>
    </row>
    <row r="10" spans="1:30" ht="11.25" customHeight="1" x14ac:dyDescent="0.3">
      <c r="A10" s="106"/>
      <c r="B10" s="106"/>
      <c r="C10" s="106"/>
      <c r="D10" s="13" t="s">
        <v>30</v>
      </c>
      <c r="E10" s="13" t="s">
        <v>25</v>
      </c>
      <c r="F10" s="13" t="s">
        <v>25</v>
      </c>
      <c r="G10" s="14" t="s">
        <v>76</v>
      </c>
      <c r="H10" s="14" t="s">
        <v>72</v>
      </c>
      <c r="I10" s="14">
        <f>SUMIF(Mercado_Receita!$T$2:$T$475,"44287B1Energia convencionalResidencialResidencial baixa renda – faixa 02Não se aplicaNão se aplicaNão se aplica",Mercado_Receita!$N$2:$N$475)</f>
        <v>4.2549999999999999</v>
      </c>
      <c r="J10" s="14">
        <f>SUMIF(Mercado_Receita!$T$2:$T$475,"44317B1Energia convencionalResidencialResidencial baixa renda – faixa 02Não se aplicaNão se aplicaNão se aplica",Mercado_Receita!$N$2:$N$475)</f>
        <v>4.4409999999999998</v>
      </c>
      <c r="K10" s="14">
        <f>SUMIF(Mercado_Receita!$T$2:$T$475,"44348B1Energia convencionalResidencialResidencial baixa renda – faixa 02Não se aplicaNão se aplicaNão se aplica",Mercado_Receita!$N$2:$N$475)</f>
        <v>4.7050000000000001</v>
      </c>
      <c r="L10" s="14">
        <f>SUMIF(Mercado_Receita!$T$2:$T$475,"44378B1Energia convencionalResidencialResidencial baixa renda – faixa 02Não se aplicaNão se aplicaNão se aplica",Mercado_Receita!$N$2:$N$475)</f>
        <v>4.46</v>
      </c>
      <c r="M10" s="14">
        <f>SUMIF(Mercado_Receita!$T$2:$T$475,"44409B1Energia convencionalResidencialResidencial baixa renda – faixa 02Não se aplicaNão se aplicaNão se aplica",Mercado_Receita!$N$2:$N$475)</f>
        <v>4.375</v>
      </c>
      <c r="N10" s="14">
        <f>SUMIF(Mercado_Receita!$T$2:$T$475,"44440B1Energia convencionalResidencialResidencial baixa renda – faixa 02Não se aplicaNão se aplicaNão se aplica",Mercado_Receita!$N$2:$N$475)</f>
        <v>4.665</v>
      </c>
      <c r="O10" s="14">
        <f>SUMIF(Mercado_Receita!$T$2:$T$475,"44470B1Energia convencionalResidencialResidencial baixa renda – faixa 02Não se aplicaNão se aplicaNão se aplica",Mercado_Receita!$N$2:$N$475)</f>
        <v>4.9409999999999998</v>
      </c>
      <c r="P10" s="14">
        <f>SUMIF(Mercado_Receita!$T$2:$T$475,"44501B1Energia convencionalResidencialResidencial baixa renda – faixa 02Não se aplicaNão se aplicaNão se aplica",Mercado_Receita!$N$2:$N$475)</f>
        <v>5.03</v>
      </c>
      <c r="Q10" s="14">
        <f>SUMIF(Mercado_Receita!$T$2:$T$475,"44531B1Energia convencionalResidencialResidencial baixa renda – faixa 02Não se aplicaNão se aplicaNão se aplica",Mercado_Receita!$N$2:$N$475)</f>
        <v>5.51</v>
      </c>
      <c r="R10" s="14">
        <f>SUMIF(Mercado_Receita!$T$2:$T$475,"44562B1Energia convencionalResidencialResidencial baixa renda – faixa 02Não se aplicaNão se aplicaNão se aplica",Mercado_Receita!$N$2:$N$475)</f>
        <v>5.641</v>
      </c>
      <c r="S10" s="14">
        <f>SUMIF(Mercado_Receita!$T$2:$T$475,"44593B1Energia convencionalResidencialResidencial baixa renda – faixa 02Não se aplicaNão se aplicaNão se aplica",Mercado_Receita!$N$2:$N$475)</f>
        <v>6.7670000000000003</v>
      </c>
      <c r="T10" s="14">
        <f>SUMIF(Mercado_Receita!$T$2:$T$475,"44621B1Energia convencionalResidencialResidencial baixa renda – faixa 02Não se aplicaNão se aplicaNão se aplica",Mercado_Receita!$N$2:$N$475)</f>
        <v>22.331</v>
      </c>
      <c r="U10" s="14">
        <f t="shared" si="0"/>
        <v>77.120999999999995</v>
      </c>
      <c r="V10" s="14"/>
      <c r="W10" s="14"/>
    </row>
    <row r="11" spans="1:30" ht="11.25" customHeight="1" x14ac:dyDescent="0.3">
      <c r="A11" s="106"/>
      <c r="B11" s="106"/>
      <c r="C11" s="106"/>
      <c r="D11" s="13" t="s">
        <v>31</v>
      </c>
      <c r="E11" s="13" t="s">
        <v>25</v>
      </c>
      <c r="F11" s="13" t="s">
        <v>25</v>
      </c>
      <c r="G11" s="14" t="s">
        <v>76</v>
      </c>
      <c r="H11" s="14" t="s">
        <v>72</v>
      </c>
      <c r="I11" s="14">
        <f>SUMIF(Mercado_Receita!$T$2:$T$475,"44287B1Energia convencionalResidencialResidencial baixa renda – faixa 03Não se aplicaNão se aplicaNão se aplica",Mercado_Receita!$N$2:$N$475)</f>
        <v>4.0590000000000002</v>
      </c>
      <c r="J11" s="14">
        <f>SUMIF(Mercado_Receita!$T$2:$T$475,"44317B1Energia convencionalResidencialResidencial baixa renda – faixa 03Não se aplicaNão se aplicaNão se aplica",Mercado_Receita!$N$2:$N$475)</f>
        <v>2.5710000000000002</v>
      </c>
      <c r="K11" s="14">
        <f>SUMIF(Mercado_Receita!$T$2:$T$475,"44348B1Energia convencionalResidencialResidencial baixa renda – faixa 03Não se aplicaNão se aplicaNão se aplica",Mercado_Receita!$N$2:$N$475)</f>
        <v>3.3809999999999998</v>
      </c>
      <c r="L11" s="14">
        <f>SUMIF(Mercado_Receita!$T$2:$T$475,"44378B1Energia convencionalResidencialResidencial baixa renda – faixa 03Não se aplicaNão se aplicaNão se aplica",Mercado_Receita!$N$2:$N$475)</f>
        <v>1.5980000000000001</v>
      </c>
      <c r="M11" s="14">
        <f>SUMIF(Mercado_Receita!$T$2:$T$475,"44409B1Energia convencionalResidencialResidencial baixa renda – faixa 03Não se aplicaNão se aplicaNão se aplica",Mercado_Receita!$N$2:$N$475)</f>
        <v>1.5640000000000001</v>
      </c>
      <c r="N11" s="14">
        <f>SUMIF(Mercado_Receita!$T$2:$T$475,"44440B1Energia convencionalResidencialResidencial baixa renda – faixa 03Não se aplicaNão se aplicaNão se aplica",Mercado_Receita!$N$2:$N$475)</f>
        <v>2.6970000000000001</v>
      </c>
      <c r="O11" s="14">
        <f>SUMIF(Mercado_Receita!$T$2:$T$475,"44470B1Energia convencionalResidencialResidencial baixa renda – faixa 03Não se aplicaNão se aplicaNão se aplica",Mercado_Receita!$N$2:$N$475)</f>
        <v>2.8450000000000002</v>
      </c>
      <c r="P11" s="14">
        <f>SUMIF(Mercado_Receita!$T$2:$T$475,"44501B1Energia convencionalResidencialResidencial baixa renda – faixa 03Não se aplicaNão se aplicaNão se aplica",Mercado_Receita!$N$2:$N$475)</f>
        <v>2.488</v>
      </c>
      <c r="Q11" s="14">
        <f>SUMIF(Mercado_Receita!$T$2:$T$475,"44531B1Energia convencionalResidencialResidencial baixa renda – faixa 03Não se aplicaNão se aplicaNão se aplica",Mercado_Receita!$N$2:$N$475)</f>
        <v>3.766</v>
      </c>
      <c r="R11" s="14">
        <f>SUMIF(Mercado_Receita!$T$2:$T$475,"44562B1Energia convencionalResidencialResidencial baixa renda – faixa 03Não se aplicaNão se aplicaNão se aplica",Mercado_Receita!$N$2:$N$475)</f>
        <v>4.38</v>
      </c>
      <c r="S11" s="14">
        <f>SUMIF(Mercado_Receita!$T$2:$T$475,"44593B1Energia convencionalResidencialResidencial baixa renda – faixa 03Não se aplicaNão se aplicaNão se aplica",Mercado_Receita!$N$2:$N$475)</f>
        <v>6.0750000000000002</v>
      </c>
      <c r="T11" s="14">
        <f>SUMIF(Mercado_Receita!$T$2:$T$475,"44621B1Energia convencionalResidencialResidencial baixa renda – faixa 03Não se aplicaNão se aplicaNão se aplica",Mercado_Receita!$N$2:$N$475)</f>
        <v>19.045999999999999</v>
      </c>
      <c r="U11" s="14">
        <f t="shared" si="0"/>
        <v>54.47</v>
      </c>
      <c r="V11" s="14"/>
      <c r="W11" s="14"/>
    </row>
    <row r="12" spans="1:30" ht="11.25" customHeight="1" x14ac:dyDescent="0.3">
      <c r="A12" s="106"/>
      <c r="B12" s="106"/>
      <c r="C12" s="106"/>
      <c r="D12" s="13" t="s">
        <v>32</v>
      </c>
      <c r="E12" s="13" t="s">
        <v>25</v>
      </c>
      <c r="F12" s="13" t="s">
        <v>25</v>
      </c>
      <c r="G12" s="14" t="s">
        <v>76</v>
      </c>
      <c r="H12" s="14" t="s">
        <v>72</v>
      </c>
      <c r="I12" s="14">
        <f>SUMIF(Mercado_Receita!$T$2:$T$475,"44287B1Energia convencionalResidencialResidencial baixa renda – faixa 04Não se aplicaNão se aplicaNão se aplica",Mercado_Receita!$N$2:$N$475)</f>
        <v>0.97699999999999998</v>
      </c>
      <c r="J12" s="14">
        <f>SUMIF(Mercado_Receita!$T$2:$T$475,"44317B1Energia convencionalResidencialResidencial baixa renda – faixa 04Não se aplicaNão se aplicaNão se aplica",Mercado_Receita!$N$2:$N$475)</f>
        <v>0.21199999999999999</v>
      </c>
      <c r="K12" s="14">
        <f>SUMIF(Mercado_Receita!$T$2:$T$475,"44348B1Energia convencionalResidencialResidencial baixa renda – faixa 04Não se aplicaNão se aplicaNão se aplica",Mercado_Receita!$N$2:$N$475)</f>
        <v>0.38800000000000001</v>
      </c>
      <c r="L12" s="14">
        <f>SUMIF(Mercado_Receita!$T$2:$T$475,"44378B1Energia convencionalResidencialResidencial baixa renda – faixa 04Não se aplicaNão se aplicaNão se aplica",Mercado_Receita!$N$2:$N$475)</f>
        <v>0.18</v>
      </c>
      <c r="M12" s="14">
        <f>SUMIF(Mercado_Receita!$T$2:$T$475,"44409B1Energia convencionalResidencialResidencial baixa renda – faixa 04Não se aplicaNão se aplicaNão se aplica",Mercado_Receita!$N$2:$N$475)</f>
        <v>6.2E-2</v>
      </c>
      <c r="N12" s="14">
        <f>SUMIF(Mercado_Receita!$T$2:$T$475,"44440B1Energia convencionalResidencialResidencial baixa renda – faixa 04Não se aplicaNão se aplicaNão se aplica",Mercado_Receita!$N$2:$N$475)</f>
        <v>0.153</v>
      </c>
      <c r="O12" s="14">
        <f>SUMIF(Mercado_Receita!$T$2:$T$475,"44470B1Energia convencionalResidencialResidencial baixa renda – faixa 04Não se aplicaNão se aplicaNão se aplica",Mercado_Receita!$N$2:$N$475)</f>
        <v>0.43</v>
      </c>
      <c r="P12" s="14">
        <f>SUMIF(Mercado_Receita!$T$2:$T$475,"44501B1Energia convencionalResidencialResidencial baixa renda – faixa 04Não se aplicaNão se aplicaNão se aplica",Mercado_Receita!$N$2:$N$475)</f>
        <v>0.222</v>
      </c>
      <c r="Q12" s="14">
        <f>SUMIF(Mercado_Receita!$T$2:$T$475,"44531B1Energia convencionalResidencialResidencial baixa renda – faixa 04Não se aplicaNão se aplicaNão se aplica",Mercado_Receita!$N$2:$N$475)</f>
        <v>0.36599999999999999</v>
      </c>
      <c r="R12" s="14">
        <f>SUMIF(Mercado_Receita!$T$2:$T$475,"44562B1Energia convencionalResidencialResidencial baixa renda – faixa 04Não se aplicaNão se aplicaNão se aplica",Mercado_Receita!$N$2:$N$475)</f>
        <v>0.46</v>
      </c>
      <c r="S12" s="14">
        <f>SUMIF(Mercado_Receita!$T$2:$T$475,"44593B1Energia convencionalResidencialResidencial baixa renda – faixa 04Não se aplicaNão se aplicaNão se aplica",Mercado_Receita!$N$2:$N$475)</f>
        <v>1.0629999999999999</v>
      </c>
      <c r="T12" s="14">
        <f>SUMIF(Mercado_Receita!$T$2:$T$475,"44621B1Energia convencionalResidencialResidencial baixa renda – faixa 04Não se aplicaNão se aplicaNão se aplica",Mercado_Receita!$N$2:$N$475)</f>
        <v>4.6040000000000001</v>
      </c>
      <c r="U12" s="14">
        <f t="shared" si="0"/>
        <v>9.1170000000000009</v>
      </c>
      <c r="V12" s="14"/>
      <c r="W12" s="14"/>
    </row>
    <row r="13" spans="1:30" ht="11.25" customHeight="1" x14ac:dyDescent="0.3">
      <c r="A13" s="106"/>
      <c r="B13" s="105" t="s">
        <v>86</v>
      </c>
      <c r="C13" s="105" t="s">
        <v>24</v>
      </c>
      <c r="D13" s="13" t="s">
        <v>24</v>
      </c>
      <c r="E13" s="13" t="s">
        <v>25</v>
      </c>
      <c r="F13" s="13" t="s">
        <v>25</v>
      </c>
      <c r="G13" s="14" t="s">
        <v>76</v>
      </c>
      <c r="H13" s="14" t="s">
        <v>72</v>
      </c>
      <c r="I13" s="14">
        <f>SUMIF(Mercado_Receita!$T$2:$T$475,"44287B1Energia convencional pré-pagamentoResidencialResidencialNão se aplicaNão se aplicaNão se aplica",Mercado_Receita!$N$2:$N$475)</f>
        <v>0</v>
      </c>
      <c r="J13" s="14">
        <f>SUMIF(Mercado_Receita!$T$2:$T$475,"44317B1Energia convencional pré-pagamentoResidencialResidencialNão se aplicaNão se aplicaNão se aplica",Mercado_Receita!$N$2:$N$475)</f>
        <v>0</v>
      </c>
      <c r="K13" s="14">
        <f>SUMIF(Mercado_Receita!$T$2:$T$475,"44348B1Energia convencional pré-pagamentoResidencialResidencialNão se aplicaNão se aplicaNão se aplica",Mercado_Receita!$N$2:$N$475)</f>
        <v>0</v>
      </c>
      <c r="L13" s="14">
        <f>SUMIF(Mercado_Receita!$T$2:$T$475,"44378B1Energia convencional pré-pagamentoResidencialResidencialNão se aplicaNão se aplicaNão se aplica",Mercado_Receita!$N$2:$N$475)</f>
        <v>0</v>
      </c>
      <c r="M13" s="14">
        <f>SUMIF(Mercado_Receita!$T$2:$T$475,"44409B1Energia convencional pré-pagamentoResidencialResidencialNão se aplicaNão se aplicaNão se aplica",Mercado_Receita!$N$2:$N$475)</f>
        <v>0</v>
      </c>
      <c r="N13" s="14">
        <f>SUMIF(Mercado_Receita!$T$2:$T$475,"44440B1Energia convencional pré-pagamentoResidencialResidencialNão se aplicaNão se aplicaNão se aplica",Mercado_Receita!$N$2:$N$475)</f>
        <v>0</v>
      </c>
      <c r="O13" s="14">
        <f>SUMIF(Mercado_Receita!$T$2:$T$475,"44470B1Energia convencional pré-pagamentoResidencialResidencialNão se aplicaNão se aplicaNão se aplica",Mercado_Receita!$N$2:$N$475)</f>
        <v>0</v>
      </c>
      <c r="P13" s="14">
        <f>SUMIF(Mercado_Receita!$T$2:$T$475,"44501B1Energia convencional pré-pagamentoResidencialResidencialNão se aplicaNão se aplicaNão se aplica",Mercado_Receita!$N$2:$N$475)</f>
        <v>0</v>
      </c>
      <c r="Q13" s="14">
        <f>SUMIF(Mercado_Receita!$T$2:$T$475,"44531B1Energia convencional pré-pagamentoResidencialResidencialNão se aplicaNão se aplicaNão se aplica",Mercado_Receita!$N$2:$N$475)</f>
        <v>0</v>
      </c>
      <c r="R13" s="14">
        <f>SUMIF(Mercado_Receita!$T$2:$T$475,"44562B1Energia convencional pré-pagamentoResidencialResidencialNão se aplicaNão se aplicaNão se aplica",Mercado_Receita!$N$2:$N$475)</f>
        <v>0</v>
      </c>
      <c r="S13" s="14">
        <f>SUMIF(Mercado_Receita!$T$2:$T$475,"44593B1Energia convencional pré-pagamentoResidencialResidencialNão se aplicaNão se aplicaNão se aplica",Mercado_Receita!$N$2:$N$475)</f>
        <v>0</v>
      </c>
      <c r="T13" s="14">
        <f>SUMIF(Mercado_Receita!$T$2:$T$475,"44621B1Energia convencional pré-pagamentoResidencialResidencialNão se aplicaNão se aplicaNão se aplica",Mercado_Receita!$N$2:$N$475)</f>
        <v>0</v>
      </c>
      <c r="U13" s="14">
        <f t="shared" si="0"/>
        <v>0</v>
      </c>
      <c r="V13" s="14"/>
      <c r="W13" s="14"/>
    </row>
    <row r="14" spans="1:30" ht="11.25" customHeight="1" x14ac:dyDescent="0.3">
      <c r="A14" s="106"/>
      <c r="B14" s="106"/>
      <c r="C14" s="106"/>
      <c r="D14" s="13" t="s">
        <v>29</v>
      </c>
      <c r="E14" s="13" t="s">
        <v>25</v>
      </c>
      <c r="F14" s="13" t="s">
        <v>25</v>
      </c>
      <c r="G14" s="14" t="s">
        <v>76</v>
      </c>
      <c r="H14" s="14" t="s">
        <v>72</v>
      </c>
      <c r="I14" s="14">
        <f>SUMIF(Mercado_Receita!$T$2:$T$475,"44287B1Energia convencional pré-pagamentoResidencialResidencial baixa renda – faixa 01Não se aplicaNão se aplicaNão se aplica",Mercado_Receita!$N$2:$N$475)</f>
        <v>0</v>
      </c>
      <c r="J14" s="14">
        <f>SUMIF(Mercado_Receita!$T$2:$T$475,"44317B1Energia convencional pré-pagamentoResidencialResidencial baixa renda – faixa 01Não se aplicaNão se aplicaNão se aplica",Mercado_Receita!$N$2:$N$475)</f>
        <v>0</v>
      </c>
      <c r="K14" s="14">
        <f>SUMIF(Mercado_Receita!$T$2:$T$475,"44348B1Energia convencional pré-pagamentoResidencialResidencial baixa renda – faixa 01Não se aplicaNão se aplicaNão se aplica",Mercado_Receita!$N$2:$N$475)</f>
        <v>0</v>
      </c>
      <c r="L14" s="14">
        <f>SUMIF(Mercado_Receita!$T$2:$T$475,"44378B1Energia convencional pré-pagamentoResidencialResidencial baixa renda – faixa 01Não se aplicaNão se aplicaNão se aplica",Mercado_Receita!$N$2:$N$475)</f>
        <v>0</v>
      </c>
      <c r="M14" s="14">
        <f>SUMIF(Mercado_Receita!$T$2:$T$475,"44409B1Energia convencional pré-pagamentoResidencialResidencial baixa renda – faixa 01Não se aplicaNão se aplicaNão se aplica",Mercado_Receita!$N$2:$N$475)</f>
        <v>0</v>
      </c>
      <c r="N14" s="14">
        <f>SUMIF(Mercado_Receita!$T$2:$T$475,"44440B1Energia convencional pré-pagamentoResidencialResidencial baixa renda – faixa 01Não se aplicaNão se aplicaNão se aplica",Mercado_Receita!$N$2:$N$475)</f>
        <v>0</v>
      </c>
      <c r="O14" s="14">
        <f>SUMIF(Mercado_Receita!$T$2:$T$475,"44470B1Energia convencional pré-pagamentoResidencialResidencial baixa renda – faixa 01Não se aplicaNão se aplicaNão se aplica",Mercado_Receita!$N$2:$N$475)</f>
        <v>0</v>
      </c>
      <c r="P14" s="14">
        <f>SUMIF(Mercado_Receita!$T$2:$T$475,"44501B1Energia convencional pré-pagamentoResidencialResidencial baixa renda – faixa 01Não se aplicaNão se aplicaNão se aplica",Mercado_Receita!$N$2:$N$475)</f>
        <v>0</v>
      </c>
      <c r="Q14" s="14">
        <f>SUMIF(Mercado_Receita!$T$2:$T$475,"44531B1Energia convencional pré-pagamentoResidencialResidencial baixa renda – faixa 01Não se aplicaNão se aplicaNão se aplica",Mercado_Receita!$N$2:$N$475)</f>
        <v>0</v>
      </c>
      <c r="R14" s="14">
        <f>SUMIF(Mercado_Receita!$T$2:$T$475,"44562B1Energia convencional pré-pagamentoResidencialResidencial baixa renda – faixa 01Não se aplicaNão se aplicaNão se aplica",Mercado_Receita!$N$2:$N$475)</f>
        <v>0</v>
      </c>
      <c r="S14" s="14">
        <f>SUMIF(Mercado_Receita!$T$2:$T$475,"44593B1Energia convencional pré-pagamentoResidencialResidencial baixa renda – faixa 01Não se aplicaNão se aplicaNão se aplica",Mercado_Receita!$N$2:$N$475)</f>
        <v>0</v>
      </c>
      <c r="T14" s="14">
        <f>SUMIF(Mercado_Receita!$T$2:$T$475,"44621B1Energia convencional pré-pagamentoResidencialResidencial baixa renda – faixa 01Não se aplicaNão se aplicaNão se aplica",Mercado_Receita!$N$2:$N$475)</f>
        <v>0</v>
      </c>
      <c r="U14" s="14">
        <f t="shared" si="0"/>
        <v>0</v>
      </c>
      <c r="V14" s="14"/>
      <c r="W14" s="14"/>
    </row>
    <row r="15" spans="1:30" ht="11.25" customHeight="1" x14ac:dyDescent="0.3">
      <c r="A15" s="106"/>
      <c r="B15" s="106"/>
      <c r="C15" s="106"/>
      <c r="D15" s="13" t="s">
        <v>30</v>
      </c>
      <c r="E15" s="13" t="s">
        <v>25</v>
      </c>
      <c r="F15" s="13" t="s">
        <v>25</v>
      </c>
      <c r="G15" s="14" t="s">
        <v>76</v>
      </c>
      <c r="H15" s="14" t="s">
        <v>72</v>
      </c>
      <c r="I15" s="14">
        <f>SUMIF(Mercado_Receita!$T$2:$T$475,"44287B1Energia convencional pré-pagamentoResidencialResidencial baixa renda – faixa 02Não se aplicaNão se aplicaNão se aplica",Mercado_Receita!$N$2:$N$475)</f>
        <v>0</v>
      </c>
      <c r="J15" s="14">
        <f>SUMIF(Mercado_Receita!$T$2:$T$475,"44317B1Energia convencional pré-pagamentoResidencialResidencial baixa renda – faixa 02Não se aplicaNão se aplicaNão se aplica",Mercado_Receita!$N$2:$N$475)</f>
        <v>0</v>
      </c>
      <c r="K15" s="14">
        <f>SUMIF(Mercado_Receita!$T$2:$T$475,"44348B1Energia convencional pré-pagamentoResidencialResidencial baixa renda – faixa 02Não se aplicaNão se aplicaNão se aplica",Mercado_Receita!$N$2:$N$475)</f>
        <v>0</v>
      </c>
      <c r="L15" s="14">
        <f>SUMIF(Mercado_Receita!$T$2:$T$475,"44378B1Energia convencional pré-pagamentoResidencialResidencial baixa renda – faixa 02Não se aplicaNão se aplicaNão se aplica",Mercado_Receita!$N$2:$N$475)</f>
        <v>0</v>
      </c>
      <c r="M15" s="14">
        <f>SUMIF(Mercado_Receita!$T$2:$T$475,"44409B1Energia convencional pré-pagamentoResidencialResidencial baixa renda – faixa 02Não se aplicaNão se aplicaNão se aplica",Mercado_Receita!$N$2:$N$475)</f>
        <v>0</v>
      </c>
      <c r="N15" s="14">
        <f>SUMIF(Mercado_Receita!$T$2:$T$475,"44440B1Energia convencional pré-pagamentoResidencialResidencial baixa renda – faixa 02Não se aplicaNão se aplicaNão se aplica",Mercado_Receita!$N$2:$N$475)</f>
        <v>0</v>
      </c>
      <c r="O15" s="14">
        <f>SUMIF(Mercado_Receita!$T$2:$T$475,"44470B1Energia convencional pré-pagamentoResidencialResidencial baixa renda – faixa 02Não se aplicaNão se aplicaNão se aplica",Mercado_Receita!$N$2:$N$475)</f>
        <v>0</v>
      </c>
      <c r="P15" s="14">
        <f>SUMIF(Mercado_Receita!$T$2:$T$475,"44501B1Energia convencional pré-pagamentoResidencialResidencial baixa renda – faixa 02Não se aplicaNão se aplicaNão se aplica",Mercado_Receita!$N$2:$N$475)</f>
        <v>0</v>
      </c>
      <c r="Q15" s="14">
        <f>SUMIF(Mercado_Receita!$T$2:$T$475,"44531B1Energia convencional pré-pagamentoResidencialResidencial baixa renda – faixa 02Não se aplicaNão se aplicaNão se aplica",Mercado_Receita!$N$2:$N$475)</f>
        <v>0</v>
      </c>
      <c r="R15" s="14">
        <f>SUMIF(Mercado_Receita!$T$2:$T$475,"44562B1Energia convencional pré-pagamentoResidencialResidencial baixa renda – faixa 02Não se aplicaNão se aplicaNão se aplica",Mercado_Receita!$N$2:$N$475)</f>
        <v>0</v>
      </c>
      <c r="S15" s="14">
        <f>SUMIF(Mercado_Receita!$T$2:$T$475,"44593B1Energia convencional pré-pagamentoResidencialResidencial baixa renda – faixa 02Não se aplicaNão se aplicaNão se aplica",Mercado_Receita!$N$2:$N$475)</f>
        <v>0</v>
      </c>
      <c r="T15" s="14">
        <f>SUMIF(Mercado_Receita!$T$2:$T$475,"44621B1Energia convencional pré-pagamentoResidencialResidencial baixa renda – faixa 02Não se aplicaNão se aplicaNão se aplica",Mercado_Receita!$N$2:$N$475)</f>
        <v>0</v>
      </c>
      <c r="U15" s="14">
        <f t="shared" si="0"/>
        <v>0</v>
      </c>
      <c r="V15" s="14"/>
      <c r="W15" s="14"/>
    </row>
    <row r="16" spans="1:30" ht="11.25" customHeight="1" x14ac:dyDescent="0.3">
      <c r="A16" s="106"/>
      <c r="B16" s="106"/>
      <c r="C16" s="106"/>
      <c r="D16" s="13" t="s">
        <v>31</v>
      </c>
      <c r="E16" s="13" t="s">
        <v>25</v>
      </c>
      <c r="F16" s="13" t="s">
        <v>25</v>
      </c>
      <c r="G16" s="14" t="s">
        <v>76</v>
      </c>
      <c r="H16" s="14" t="s">
        <v>72</v>
      </c>
      <c r="I16" s="14">
        <f>SUMIF(Mercado_Receita!$T$2:$T$475,"44287B1Energia convencional pré-pagamentoResidencialResidencial baixa renda – faixa 03Não se aplicaNão se aplicaNão se aplica",Mercado_Receita!$N$2:$N$475)</f>
        <v>0</v>
      </c>
      <c r="J16" s="14">
        <f>SUMIF(Mercado_Receita!$T$2:$T$475,"44317B1Energia convencional pré-pagamentoResidencialResidencial baixa renda – faixa 03Não se aplicaNão se aplicaNão se aplica",Mercado_Receita!$N$2:$N$475)</f>
        <v>0</v>
      </c>
      <c r="K16" s="14">
        <f>SUMIF(Mercado_Receita!$T$2:$T$475,"44348B1Energia convencional pré-pagamentoResidencialResidencial baixa renda – faixa 03Não se aplicaNão se aplicaNão se aplica",Mercado_Receita!$N$2:$N$475)</f>
        <v>0</v>
      </c>
      <c r="L16" s="14">
        <f>SUMIF(Mercado_Receita!$T$2:$T$475,"44378B1Energia convencional pré-pagamentoResidencialResidencial baixa renda – faixa 03Não se aplicaNão se aplicaNão se aplica",Mercado_Receita!$N$2:$N$475)</f>
        <v>0</v>
      </c>
      <c r="M16" s="14">
        <f>SUMIF(Mercado_Receita!$T$2:$T$475,"44409B1Energia convencional pré-pagamentoResidencialResidencial baixa renda – faixa 03Não se aplicaNão se aplicaNão se aplica",Mercado_Receita!$N$2:$N$475)</f>
        <v>0</v>
      </c>
      <c r="N16" s="14">
        <f>SUMIF(Mercado_Receita!$T$2:$T$475,"44440B1Energia convencional pré-pagamentoResidencialResidencial baixa renda – faixa 03Não se aplicaNão se aplicaNão se aplica",Mercado_Receita!$N$2:$N$475)</f>
        <v>0</v>
      </c>
      <c r="O16" s="14">
        <f>SUMIF(Mercado_Receita!$T$2:$T$475,"44470B1Energia convencional pré-pagamentoResidencialResidencial baixa renda – faixa 03Não se aplicaNão se aplicaNão se aplica",Mercado_Receita!$N$2:$N$475)</f>
        <v>0</v>
      </c>
      <c r="P16" s="14">
        <f>SUMIF(Mercado_Receita!$T$2:$T$475,"44501B1Energia convencional pré-pagamentoResidencialResidencial baixa renda – faixa 03Não se aplicaNão se aplicaNão se aplica",Mercado_Receita!$N$2:$N$475)</f>
        <v>0</v>
      </c>
      <c r="Q16" s="14">
        <f>SUMIF(Mercado_Receita!$T$2:$T$475,"44531B1Energia convencional pré-pagamentoResidencialResidencial baixa renda – faixa 03Não se aplicaNão se aplicaNão se aplica",Mercado_Receita!$N$2:$N$475)</f>
        <v>0</v>
      </c>
      <c r="R16" s="14">
        <f>SUMIF(Mercado_Receita!$T$2:$T$475,"44562B1Energia convencional pré-pagamentoResidencialResidencial baixa renda – faixa 03Não se aplicaNão se aplicaNão se aplica",Mercado_Receita!$N$2:$N$475)</f>
        <v>0</v>
      </c>
      <c r="S16" s="14">
        <f>SUMIF(Mercado_Receita!$T$2:$T$475,"44593B1Energia convencional pré-pagamentoResidencialResidencial baixa renda – faixa 03Não se aplicaNão se aplicaNão se aplica",Mercado_Receita!$N$2:$N$475)</f>
        <v>0</v>
      </c>
      <c r="T16" s="14">
        <f>SUMIF(Mercado_Receita!$T$2:$T$475,"44621B1Energia convencional pré-pagamentoResidencialResidencial baixa renda – faixa 03Não se aplicaNão se aplicaNão se aplica",Mercado_Receita!$N$2:$N$475)</f>
        <v>0</v>
      </c>
      <c r="U16" s="14">
        <f t="shared" si="0"/>
        <v>0</v>
      </c>
      <c r="V16" s="14"/>
      <c r="W16" s="14"/>
    </row>
    <row r="17" spans="1:23" ht="11.25" customHeight="1" x14ac:dyDescent="0.3">
      <c r="A17" s="106"/>
      <c r="B17" s="106"/>
      <c r="C17" s="106"/>
      <c r="D17" s="13" t="s">
        <v>32</v>
      </c>
      <c r="E17" s="13" t="s">
        <v>25</v>
      </c>
      <c r="F17" s="13" t="s">
        <v>25</v>
      </c>
      <c r="G17" s="14" t="s">
        <v>76</v>
      </c>
      <c r="H17" s="14" t="s">
        <v>72</v>
      </c>
      <c r="I17" s="14">
        <f>SUMIF(Mercado_Receita!$T$2:$T$475,"44287B1Energia convencional pré-pagamentoResidencialResidencial baixa renda – faixa 04Não se aplicaNão se aplicaNão se aplica",Mercado_Receita!$N$2:$N$475)</f>
        <v>0</v>
      </c>
      <c r="J17" s="14">
        <f>SUMIF(Mercado_Receita!$T$2:$T$475,"44317B1Energia convencional pré-pagamentoResidencialResidencial baixa renda – faixa 04Não se aplicaNão se aplicaNão se aplica",Mercado_Receita!$N$2:$N$475)</f>
        <v>0</v>
      </c>
      <c r="K17" s="14">
        <f>SUMIF(Mercado_Receita!$T$2:$T$475,"44348B1Energia convencional pré-pagamentoResidencialResidencial baixa renda – faixa 04Não se aplicaNão se aplicaNão se aplica",Mercado_Receita!$N$2:$N$475)</f>
        <v>0</v>
      </c>
      <c r="L17" s="14">
        <f>SUMIF(Mercado_Receita!$T$2:$T$475,"44378B1Energia convencional pré-pagamentoResidencialResidencial baixa renda – faixa 04Não se aplicaNão se aplicaNão se aplica",Mercado_Receita!$N$2:$N$475)</f>
        <v>0</v>
      </c>
      <c r="M17" s="14">
        <f>SUMIF(Mercado_Receita!$T$2:$T$475,"44409B1Energia convencional pré-pagamentoResidencialResidencial baixa renda – faixa 04Não se aplicaNão se aplicaNão se aplica",Mercado_Receita!$N$2:$N$475)</f>
        <v>0</v>
      </c>
      <c r="N17" s="14">
        <f>SUMIF(Mercado_Receita!$T$2:$T$475,"44440B1Energia convencional pré-pagamentoResidencialResidencial baixa renda – faixa 04Não se aplicaNão se aplicaNão se aplica",Mercado_Receita!$N$2:$N$475)</f>
        <v>0</v>
      </c>
      <c r="O17" s="14">
        <f>SUMIF(Mercado_Receita!$T$2:$T$475,"44470B1Energia convencional pré-pagamentoResidencialResidencial baixa renda – faixa 04Não se aplicaNão se aplicaNão se aplica",Mercado_Receita!$N$2:$N$475)</f>
        <v>0</v>
      </c>
      <c r="P17" s="14">
        <f>SUMIF(Mercado_Receita!$T$2:$T$475,"44501B1Energia convencional pré-pagamentoResidencialResidencial baixa renda – faixa 04Não se aplicaNão se aplicaNão se aplica",Mercado_Receita!$N$2:$N$475)</f>
        <v>0</v>
      </c>
      <c r="Q17" s="14">
        <f>SUMIF(Mercado_Receita!$T$2:$T$475,"44531B1Energia convencional pré-pagamentoResidencialResidencial baixa renda – faixa 04Não se aplicaNão se aplicaNão se aplica",Mercado_Receita!$N$2:$N$475)</f>
        <v>0</v>
      </c>
      <c r="R17" s="14">
        <f>SUMIF(Mercado_Receita!$T$2:$T$475,"44562B1Energia convencional pré-pagamentoResidencialResidencial baixa renda – faixa 04Não se aplicaNão se aplicaNão se aplica",Mercado_Receita!$N$2:$N$475)</f>
        <v>0</v>
      </c>
      <c r="S17" s="14">
        <f>SUMIF(Mercado_Receita!$T$2:$T$475,"44593B1Energia convencional pré-pagamentoResidencialResidencial baixa renda – faixa 04Não se aplicaNão se aplicaNão se aplica",Mercado_Receita!$N$2:$N$475)</f>
        <v>0</v>
      </c>
      <c r="T17" s="14">
        <f>SUMIF(Mercado_Receita!$T$2:$T$475,"44621B1Energia convencional pré-pagamentoResidencialResidencial baixa renda – faixa 04Não se aplicaNão se aplicaNão se aplica",Mercado_Receita!$N$2:$N$475)</f>
        <v>0</v>
      </c>
      <c r="U17" s="14">
        <f t="shared" si="0"/>
        <v>0</v>
      </c>
      <c r="V17" s="14"/>
      <c r="W17" s="14"/>
    </row>
    <row r="18" spans="1:23" ht="11.25" customHeight="1" x14ac:dyDescent="0.3">
      <c r="A18" s="105" t="s">
        <v>43</v>
      </c>
      <c r="B18" s="105" t="s">
        <v>71</v>
      </c>
      <c r="C18" s="105" t="s">
        <v>44</v>
      </c>
      <c r="D18" s="105" t="s">
        <v>25</v>
      </c>
      <c r="E18" s="105" t="s">
        <v>25</v>
      </c>
      <c r="F18" s="105" t="s">
        <v>25</v>
      </c>
      <c r="G18" s="14" t="s">
        <v>73</v>
      </c>
      <c r="H18" s="14" t="s">
        <v>72</v>
      </c>
      <c r="I18" s="14">
        <f>SUMIF(Mercado_Receita!$T$2:$T$475,"44287B2Energia horáriaRuralNão se aplicaNão se aplicaNão se aplicaPonta",Mercado_Receita!$N$2:$N$475)</f>
        <v>0</v>
      </c>
      <c r="J18" s="14">
        <f>SUMIF(Mercado_Receita!$T$2:$T$475,"44317B2Energia horáriaRuralNão se aplicaNão se aplicaNão se aplicaPonta",Mercado_Receita!$N$2:$N$475)</f>
        <v>0</v>
      </c>
      <c r="K18" s="14">
        <f>SUMIF(Mercado_Receita!$T$2:$T$475,"44348B2Energia horáriaRuralNão se aplicaNão se aplicaNão se aplicaPonta",Mercado_Receita!$N$2:$N$475)</f>
        <v>0</v>
      </c>
      <c r="L18" s="14">
        <f>SUMIF(Mercado_Receita!$T$2:$T$475,"44378B2Energia horáriaRuralNão se aplicaNão se aplicaNão se aplicaPonta",Mercado_Receita!$N$2:$N$475)</f>
        <v>0</v>
      </c>
      <c r="M18" s="14">
        <f>SUMIF(Mercado_Receita!$T$2:$T$475,"44409B2Energia horáriaRuralNão se aplicaNão se aplicaNão se aplicaPonta",Mercado_Receita!$N$2:$N$475)</f>
        <v>0</v>
      </c>
      <c r="N18" s="14">
        <f>SUMIF(Mercado_Receita!$T$2:$T$475,"44440B2Energia horáriaRuralNão se aplicaNão se aplicaNão se aplicaPonta",Mercado_Receita!$N$2:$N$475)</f>
        <v>0</v>
      </c>
      <c r="O18" s="14">
        <f>SUMIF(Mercado_Receita!$T$2:$T$475,"44470B2Energia horáriaRuralNão se aplicaNão se aplicaNão se aplicaPonta",Mercado_Receita!$N$2:$N$475)</f>
        <v>0</v>
      </c>
      <c r="P18" s="14">
        <f>SUMIF(Mercado_Receita!$T$2:$T$475,"44501B2Energia horáriaRuralNão se aplicaNão se aplicaNão se aplicaPonta",Mercado_Receita!$N$2:$N$475)</f>
        <v>0</v>
      </c>
      <c r="Q18" s="14">
        <f>SUMIF(Mercado_Receita!$T$2:$T$475,"44531B2Energia horáriaRuralNão se aplicaNão se aplicaNão se aplicaPonta",Mercado_Receita!$N$2:$N$475)</f>
        <v>0</v>
      </c>
      <c r="R18" s="14">
        <f>SUMIF(Mercado_Receita!$T$2:$T$475,"44562B2Energia horáriaRuralNão se aplicaNão se aplicaNão se aplicaPonta",Mercado_Receita!$N$2:$N$475)</f>
        <v>0</v>
      </c>
      <c r="S18" s="14">
        <f>SUMIF(Mercado_Receita!$T$2:$T$475,"44593B2Energia horáriaRuralNão se aplicaNão se aplicaNão se aplicaPonta",Mercado_Receita!$N$2:$N$475)</f>
        <v>0</v>
      </c>
      <c r="T18" s="14">
        <f>SUMIF(Mercado_Receita!$T$2:$T$475,"44621B2Energia horáriaRuralNão se aplicaNão se aplicaNão se aplicaPonta",Mercado_Receita!$N$2:$N$475)</f>
        <v>0</v>
      </c>
      <c r="U18" s="14">
        <f t="shared" si="0"/>
        <v>0</v>
      </c>
      <c r="V18" s="14"/>
      <c r="W18" s="14"/>
    </row>
    <row r="19" spans="1:23" ht="11.25" customHeight="1" x14ac:dyDescent="0.3">
      <c r="A19" s="106"/>
      <c r="B19" s="106"/>
      <c r="C19" s="106"/>
      <c r="D19" s="106"/>
      <c r="E19" s="106"/>
      <c r="F19" s="106"/>
      <c r="G19" s="14" t="s">
        <v>85</v>
      </c>
      <c r="H19" s="14" t="s">
        <v>72</v>
      </c>
      <c r="I19" s="14">
        <f>SUMIF(Mercado_Receita!$T$2:$T$475,"44287B2Energia horáriaRuralNão se aplicaNão se aplicaNão se aplicaIntermediário",Mercado_Receita!$N$2:$N$475)</f>
        <v>0</v>
      </c>
      <c r="J19" s="14">
        <f>SUMIF(Mercado_Receita!$T$2:$T$475,"44317B2Energia horáriaRuralNão se aplicaNão se aplicaNão se aplicaIntermediário",Mercado_Receita!$N$2:$N$475)</f>
        <v>0</v>
      </c>
      <c r="K19" s="14">
        <f>SUMIF(Mercado_Receita!$T$2:$T$475,"44348B2Energia horáriaRuralNão se aplicaNão se aplicaNão se aplicaIntermediário",Mercado_Receita!$N$2:$N$475)</f>
        <v>0</v>
      </c>
      <c r="L19" s="14">
        <f>SUMIF(Mercado_Receita!$T$2:$T$475,"44378B2Energia horáriaRuralNão se aplicaNão se aplicaNão se aplicaIntermediário",Mercado_Receita!$N$2:$N$475)</f>
        <v>0</v>
      </c>
      <c r="M19" s="14">
        <f>SUMIF(Mercado_Receita!$T$2:$T$475,"44409B2Energia horáriaRuralNão se aplicaNão se aplicaNão se aplicaIntermediário",Mercado_Receita!$N$2:$N$475)</f>
        <v>0</v>
      </c>
      <c r="N19" s="14">
        <f>SUMIF(Mercado_Receita!$T$2:$T$475,"44440B2Energia horáriaRuralNão se aplicaNão se aplicaNão se aplicaIntermediário",Mercado_Receita!$N$2:$N$475)</f>
        <v>0</v>
      </c>
      <c r="O19" s="14">
        <f>SUMIF(Mercado_Receita!$T$2:$T$475,"44470B2Energia horáriaRuralNão se aplicaNão se aplicaNão se aplicaIntermediário",Mercado_Receita!$N$2:$N$475)</f>
        <v>0</v>
      </c>
      <c r="P19" s="14">
        <f>SUMIF(Mercado_Receita!$T$2:$T$475,"44501B2Energia horáriaRuralNão se aplicaNão se aplicaNão se aplicaIntermediário",Mercado_Receita!$N$2:$N$475)</f>
        <v>0</v>
      </c>
      <c r="Q19" s="14">
        <f>SUMIF(Mercado_Receita!$T$2:$T$475,"44531B2Energia horáriaRuralNão se aplicaNão se aplicaNão se aplicaIntermediário",Mercado_Receita!$N$2:$N$475)</f>
        <v>0</v>
      </c>
      <c r="R19" s="14">
        <f>SUMIF(Mercado_Receita!$T$2:$T$475,"44562B2Energia horáriaRuralNão se aplicaNão se aplicaNão se aplicaIntermediário",Mercado_Receita!$N$2:$N$475)</f>
        <v>0</v>
      </c>
      <c r="S19" s="14">
        <f>SUMIF(Mercado_Receita!$T$2:$T$475,"44593B2Energia horáriaRuralNão se aplicaNão se aplicaNão se aplicaIntermediário",Mercado_Receita!$N$2:$N$475)</f>
        <v>0</v>
      </c>
      <c r="T19" s="14">
        <f>SUMIF(Mercado_Receita!$T$2:$T$475,"44621B2Energia horáriaRuralNão se aplicaNão se aplicaNão se aplicaIntermediário",Mercado_Receita!$N$2:$N$475)</f>
        <v>0</v>
      </c>
      <c r="U19" s="14">
        <f t="shared" si="0"/>
        <v>0</v>
      </c>
      <c r="V19" s="14"/>
      <c r="W19" s="14"/>
    </row>
    <row r="20" spans="1:23" ht="11.25" customHeight="1" x14ac:dyDescent="0.3">
      <c r="A20" s="106"/>
      <c r="B20" s="106"/>
      <c r="C20" s="106"/>
      <c r="D20" s="106"/>
      <c r="E20" s="106"/>
      <c r="F20" s="106"/>
      <c r="G20" s="14" t="s">
        <v>74</v>
      </c>
      <c r="H20" s="14" t="s">
        <v>72</v>
      </c>
      <c r="I20" s="14">
        <f>SUMIF(Mercado_Receita!$T$2:$T$475,"44287B2Energia horáriaRuralNão se aplicaNão se aplicaNão se aplicaFora ponta",Mercado_Receita!$N$2:$N$475)</f>
        <v>0</v>
      </c>
      <c r="J20" s="14">
        <f>SUMIF(Mercado_Receita!$T$2:$T$475,"44317B2Energia horáriaRuralNão se aplicaNão se aplicaNão se aplicaFora ponta",Mercado_Receita!$N$2:$N$475)</f>
        <v>0</v>
      </c>
      <c r="K20" s="14">
        <f>SUMIF(Mercado_Receita!$T$2:$T$475,"44348B2Energia horáriaRuralNão se aplicaNão se aplicaNão se aplicaFora ponta",Mercado_Receita!$N$2:$N$475)</f>
        <v>0</v>
      </c>
      <c r="L20" s="14">
        <f>SUMIF(Mercado_Receita!$T$2:$T$475,"44378B2Energia horáriaRuralNão se aplicaNão se aplicaNão se aplicaFora ponta",Mercado_Receita!$N$2:$N$475)</f>
        <v>0</v>
      </c>
      <c r="M20" s="14">
        <f>SUMIF(Mercado_Receita!$T$2:$T$475,"44409B2Energia horáriaRuralNão se aplicaNão se aplicaNão se aplicaFora ponta",Mercado_Receita!$N$2:$N$475)</f>
        <v>0</v>
      </c>
      <c r="N20" s="14">
        <f>SUMIF(Mercado_Receita!$T$2:$T$475,"44440B2Energia horáriaRuralNão se aplicaNão se aplicaNão se aplicaFora ponta",Mercado_Receita!$N$2:$N$475)</f>
        <v>0</v>
      </c>
      <c r="O20" s="14">
        <f>SUMIF(Mercado_Receita!$T$2:$T$475,"44470B2Energia horáriaRuralNão se aplicaNão se aplicaNão se aplicaFora ponta",Mercado_Receita!$N$2:$N$475)</f>
        <v>0</v>
      </c>
      <c r="P20" s="14">
        <f>SUMIF(Mercado_Receita!$T$2:$T$475,"44501B2Energia horáriaRuralNão se aplicaNão se aplicaNão se aplicaFora ponta",Mercado_Receita!$N$2:$N$475)</f>
        <v>0</v>
      </c>
      <c r="Q20" s="14">
        <f>SUMIF(Mercado_Receita!$T$2:$T$475,"44531B2Energia horáriaRuralNão se aplicaNão se aplicaNão se aplicaFora ponta",Mercado_Receita!$N$2:$N$475)</f>
        <v>0</v>
      </c>
      <c r="R20" s="14">
        <f>SUMIF(Mercado_Receita!$T$2:$T$475,"44562B2Energia horáriaRuralNão se aplicaNão se aplicaNão se aplicaFora ponta",Mercado_Receita!$N$2:$N$475)</f>
        <v>0</v>
      </c>
      <c r="S20" s="14">
        <f>SUMIF(Mercado_Receita!$T$2:$T$475,"44593B2Energia horáriaRuralNão se aplicaNão se aplicaNão se aplicaFora ponta",Mercado_Receita!$N$2:$N$475)</f>
        <v>0</v>
      </c>
      <c r="T20" s="14">
        <f>SUMIF(Mercado_Receita!$T$2:$T$475,"44621B2Energia horáriaRuralNão se aplicaNão se aplicaNão se aplicaFora ponta",Mercado_Receita!$N$2:$N$475)</f>
        <v>0</v>
      </c>
      <c r="U20" s="14">
        <f t="shared" si="0"/>
        <v>0</v>
      </c>
      <c r="V20" s="14"/>
      <c r="W20" s="14"/>
    </row>
    <row r="21" spans="1:23" ht="11.25" customHeight="1" x14ac:dyDescent="0.3">
      <c r="A21" s="106"/>
      <c r="B21" s="13" t="s">
        <v>75</v>
      </c>
      <c r="C21" s="13" t="s">
        <v>44</v>
      </c>
      <c r="D21" s="13" t="s">
        <v>25</v>
      </c>
      <c r="E21" s="13" t="s">
        <v>25</v>
      </c>
      <c r="F21" s="13" t="s">
        <v>25</v>
      </c>
      <c r="G21" s="14" t="s">
        <v>76</v>
      </c>
      <c r="H21" s="14" t="s">
        <v>72</v>
      </c>
      <c r="I21" s="14">
        <f>SUMIF(Mercado_Receita!$T$2:$T$475,"44287B2Energia convencionalRuralNão se aplicaNão se aplicaNão se aplicaNão se aplica",Mercado_Receita!$N$2:$N$475)</f>
        <v>57.975000000000001</v>
      </c>
      <c r="J21" s="14">
        <f>SUMIF(Mercado_Receita!$T$2:$T$475,"44317B2Energia convencionalRuralNão se aplicaNão se aplicaNão se aplicaNão se aplica",Mercado_Receita!$N$2:$N$475)</f>
        <v>44.422000000000004</v>
      </c>
      <c r="K21" s="14">
        <f>SUMIF(Mercado_Receita!$T$2:$T$475,"44348B2Energia convencionalRuralNão se aplicaNão se aplicaNão se aplicaNão se aplica",Mercado_Receita!$N$2:$N$475)</f>
        <v>49.184999999999995</v>
      </c>
      <c r="L21" s="14">
        <f>SUMIF(Mercado_Receita!$T$2:$T$475,"44378B2Energia convencionalRuralNão se aplicaNão se aplicaNão se aplicaNão se aplica",Mercado_Receita!$N$2:$N$475)</f>
        <v>65.590999999999994</v>
      </c>
      <c r="M21" s="14">
        <f>SUMIF(Mercado_Receita!$T$2:$T$475,"44409B2Energia convencionalRuralNão se aplicaNão se aplicaNão se aplicaNão se aplica",Mercado_Receita!$N$2:$N$475)</f>
        <v>50.035999999999994</v>
      </c>
      <c r="N21" s="14">
        <f>SUMIF(Mercado_Receita!$T$2:$T$475,"44440B2Energia convencionalRuralNão se aplicaNão se aplicaNão se aplicaNão se aplica",Mercado_Receita!$N$2:$N$475)</f>
        <v>52.677000000000007</v>
      </c>
      <c r="O21" s="14">
        <f>SUMIF(Mercado_Receita!$T$2:$T$475,"44470B2Energia convencionalRuralNão se aplicaNão se aplicaNão se aplicaNão se aplica",Mercado_Receita!$N$2:$N$475)</f>
        <v>49.104999999999997</v>
      </c>
      <c r="P21" s="14">
        <f>SUMIF(Mercado_Receita!$T$2:$T$475,"44501B2Energia convencionalRuralNão se aplicaNão se aplicaNão se aplicaNão se aplica",Mercado_Receita!$N$2:$N$475)</f>
        <v>42.551000000000002</v>
      </c>
      <c r="Q21" s="14">
        <f>SUMIF(Mercado_Receita!$T$2:$T$475,"44531B2Energia convencionalRuralNão se aplicaNão se aplicaNão se aplicaNão se aplica",Mercado_Receita!$N$2:$N$475)</f>
        <v>43.126000000000005</v>
      </c>
      <c r="R21" s="14">
        <f>SUMIF(Mercado_Receita!$T$2:$T$475,"44562B2Energia convencionalRuralNão se aplicaNão se aplicaNão se aplicaNão se aplica",Mercado_Receita!$N$2:$N$475)</f>
        <v>48.966000000000001</v>
      </c>
      <c r="S21" s="14">
        <f>SUMIF(Mercado_Receita!$T$2:$T$475,"44593B2Energia convencionalRuralNão se aplicaNão se aplicaNão se aplicaNão se aplica",Mercado_Receita!$N$2:$N$475)</f>
        <v>48.672999999999995</v>
      </c>
      <c r="T21" s="14">
        <f>SUMIF(Mercado_Receita!$T$2:$T$475,"44621B2Energia convencionalRuralNão se aplicaNão se aplicaNão se aplicaNão se aplica",Mercado_Receita!$N$2:$N$475)</f>
        <v>47.942</v>
      </c>
      <c r="U21" s="14">
        <f t="shared" si="0"/>
        <v>600.24900000000002</v>
      </c>
      <c r="V21" s="14"/>
      <c r="W21" s="14"/>
    </row>
    <row r="22" spans="1:23" ht="11.25" customHeight="1" x14ac:dyDescent="0.3">
      <c r="A22" s="106"/>
      <c r="B22" s="105" t="s">
        <v>71</v>
      </c>
      <c r="C22" s="105" t="s">
        <v>44</v>
      </c>
      <c r="D22" s="105" t="s">
        <v>88</v>
      </c>
      <c r="E22" s="105" t="s">
        <v>25</v>
      </c>
      <c r="F22" s="105" t="s">
        <v>25</v>
      </c>
      <c r="G22" s="14" t="s">
        <v>73</v>
      </c>
      <c r="H22" s="14" t="s">
        <v>72</v>
      </c>
      <c r="I22" s="14">
        <f>SUMIF(Mercado_Receita!$T$2:$T$475,"44287B2Energia horáriaRuralCooperativa de eletrificação ruralNão se aplicaNão se aplicaPonta",Mercado_Receita!$N$2:$N$475)</f>
        <v>0</v>
      </c>
      <c r="J22" s="14">
        <f>SUMIF(Mercado_Receita!$T$2:$T$475,"44317B2Energia horáriaRuralCooperativa de eletrificação ruralNão se aplicaNão se aplicaPonta",Mercado_Receita!$N$2:$N$475)</f>
        <v>0</v>
      </c>
      <c r="K22" s="14">
        <f>SUMIF(Mercado_Receita!$T$2:$T$475,"44348B2Energia horáriaRuralCooperativa de eletrificação ruralNão se aplicaNão se aplicaPonta",Mercado_Receita!$N$2:$N$475)</f>
        <v>0</v>
      </c>
      <c r="L22" s="14">
        <f>SUMIF(Mercado_Receita!$T$2:$T$475,"44378B2Energia horáriaRuralCooperativa de eletrificação ruralNão se aplicaNão se aplicaPonta",Mercado_Receita!$N$2:$N$475)</f>
        <v>0</v>
      </c>
      <c r="M22" s="14">
        <f>SUMIF(Mercado_Receita!$T$2:$T$475,"44409B2Energia horáriaRuralCooperativa de eletrificação ruralNão se aplicaNão se aplicaPonta",Mercado_Receita!$N$2:$N$475)</f>
        <v>0</v>
      </c>
      <c r="N22" s="14">
        <f>SUMIF(Mercado_Receita!$T$2:$T$475,"44440B2Energia horáriaRuralCooperativa de eletrificação ruralNão se aplicaNão se aplicaPonta",Mercado_Receita!$N$2:$N$475)</f>
        <v>0</v>
      </c>
      <c r="O22" s="14">
        <f>SUMIF(Mercado_Receita!$T$2:$T$475,"44470B2Energia horáriaRuralCooperativa de eletrificação ruralNão se aplicaNão se aplicaPonta",Mercado_Receita!$N$2:$N$475)</f>
        <v>0</v>
      </c>
      <c r="P22" s="14">
        <f>SUMIF(Mercado_Receita!$T$2:$T$475,"44501B2Energia horáriaRuralCooperativa de eletrificação ruralNão se aplicaNão se aplicaPonta",Mercado_Receita!$N$2:$N$475)</f>
        <v>0</v>
      </c>
      <c r="Q22" s="14">
        <f>SUMIF(Mercado_Receita!$T$2:$T$475,"44531B2Energia horáriaRuralCooperativa de eletrificação ruralNão se aplicaNão se aplicaPonta",Mercado_Receita!$N$2:$N$475)</f>
        <v>0</v>
      </c>
      <c r="R22" s="14">
        <f>SUMIF(Mercado_Receita!$T$2:$T$475,"44562B2Energia horáriaRuralCooperativa de eletrificação ruralNão se aplicaNão se aplicaPonta",Mercado_Receita!$N$2:$N$475)</f>
        <v>0</v>
      </c>
      <c r="S22" s="14">
        <f>SUMIF(Mercado_Receita!$T$2:$T$475,"44593B2Energia horáriaRuralCooperativa de eletrificação ruralNão se aplicaNão se aplicaPonta",Mercado_Receita!$N$2:$N$475)</f>
        <v>0</v>
      </c>
      <c r="T22" s="14">
        <f>SUMIF(Mercado_Receita!$T$2:$T$475,"44621B2Energia horáriaRuralCooperativa de eletrificação ruralNão se aplicaNão se aplicaPonta",Mercado_Receita!$N$2:$N$475)</f>
        <v>0</v>
      </c>
      <c r="U22" s="14">
        <f t="shared" si="0"/>
        <v>0</v>
      </c>
      <c r="V22" s="14"/>
      <c r="W22" s="14"/>
    </row>
    <row r="23" spans="1:23" ht="11.25" customHeight="1" x14ac:dyDescent="0.3">
      <c r="A23" s="106"/>
      <c r="B23" s="106"/>
      <c r="C23" s="106"/>
      <c r="D23" s="106"/>
      <c r="E23" s="106"/>
      <c r="F23" s="106"/>
      <c r="G23" s="14" t="s">
        <v>85</v>
      </c>
      <c r="H23" s="14" t="s">
        <v>72</v>
      </c>
      <c r="I23" s="14">
        <f>SUMIF(Mercado_Receita!$T$2:$T$475,"44287B2Energia horáriaRuralCooperativa de eletrificação ruralNão se aplicaNão se aplicaIntermediário",Mercado_Receita!$N$2:$N$475)</f>
        <v>0</v>
      </c>
      <c r="J23" s="14">
        <f>SUMIF(Mercado_Receita!$T$2:$T$475,"44317B2Energia horáriaRuralCooperativa de eletrificação ruralNão se aplicaNão se aplicaIntermediário",Mercado_Receita!$N$2:$N$475)</f>
        <v>0</v>
      </c>
      <c r="K23" s="14">
        <f>SUMIF(Mercado_Receita!$T$2:$T$475,"44348B2Energia horáriaRuralCooperativa de eletrificação ruralNão se aplicaNão se aplicaIntermediário",Mercado_Receita!$N$2:$N$475)</f>
        <v>0</v>
      </c>
      <c r="L23" s="14">
        <f>SUMIF(Mercado_Receita!$T$2:$T$475,"44378B2Energia horáriaRuralCooperativa de eletrificação ruralNão se aplicaNão se aplicaIntermediário",Mercado_Receita!$N$2:$N$475)</f>
        <v>0</v>
      </c>
      <c r="M23" s="14">
        <f>SUMIF(Mercado_Receita!$T$2:$T$475,"44409B2Energia horáriaRuralCooperativa de eletrificação ruralNão se aplicaNão se aplicaIntermediário",Mercado_Receita!$N$2:$N$475)</f>
        <v>0</v>
      </c>
      <c r="N23" s="14">
        <f>SUMIF(Mercado_Receita!$T$2:$T$475,"44440B2Energia horáriaRuralCooperativa de eletrificação ruralNão se aplicaNão se aplicaIntermediário",Mercado_Receita!$N$2:$N$475)</f>
        <v>0</v>
      </c>
      <c r="O23" s="14">
        <f>SUMIF(Mercado_Receita!$T$2:$T$475,"44470B2Energia horáriaRuralCooperativa de eletrificação ruralNão se aplicaNão se aplicaIntermediário",Mercado_Receita!$N$2:$N$475)</f>
        <v>0</v>
      </c>
      <c r="P23" s="14">
        <f>SUMIF(Mercado_Receita!$T$2:$T$475,"44501B2Energia horáriaRuralCooperativa de eletrificação ruralNão se aplicaNão se aplicaIntermediário",Mercado_Receita!$N$2:$N$475)</f>
        <v>0</v>
      </c>
      <c r="Q23" s="14">
        <f>SUMIF(Mercado_Receita!$T$2:$T$475,"44531B2Energia horáriaRuralCooperativa de eletrificação ruralNão se aplicaNão se aplicaIntermediário",Mercado_Receita!$N$2:$N$475)</f>
        <v>0</v>
      </c>
      <c r="R23" s="14">
        <f>SUMIF(Mercado_Receita!$T$2:$T$475,"44562B2Energia horáriaRuralCooperativa de eletrificação ruralNão se aplicaNão se aplicaIntermediário",Mercado_Receita!$N$2:$N$475)</f>
        <v>0</v>
      </c>
      <c r="S23" s="14">
        <f>SUMIF(Mercado_Receita!$T$2:$T$475,"44593B2Energia horáriaRuralCooperativa de eletrificação ruralNão se aplicaNão se aplicaIntermediário",Mercado_Receita!$N$2:$N$475)</f>
        <v>0</v>
      </c>
      <c r="T23" s="14">
        <f>SUMIF(Mercado_Receita!$T$2:$T$475,"44621B2Energia horáriaRuralCooperativa de eletrificação ruralNão se aplicaNão se aplicaIntermediário",Mercado_Receita!$N$2:$N$475)</f>
        <v>0</v>
      </c>
      <c r="U23" s="14">
        <f t="shared" si="0"/>
        <v>0</v>
      </c>
      <c r="V23" s="14"/>
      <c r="W23" s="14"/>
    </row>
    <row r="24" spans="1:23" ht="11.25" customHeight="1" x14ac:dyDescent="0.3">
      <c r="A24" s="106"/>
      <c r="B24" s="106"/>
      <c r="C24" s="106"/>
      <c r="D24" s="106"/>
      <c r="E24" s="106"/>
      <c r="F24" s="106"/>
      <c r="G24" s="14" t="s">
        <v>74</v>
      </c>
      <c r="H24" s="14" t="s">
        <v>72</v>
      </c>
      <c r="I24" s="14">
        <f>SUMIF(Mercado_Receita!$T$2:$T$475,"44287B2Energia horáriaRuralCooperativa de eletrificação ruralNão se aplicaNão se aplicaFora ponta",Mercado_Receita!$N$2:$N$475)</f>
        <v>0</v>
      </c>
      <c r="J24" s="14">
        <f>SUMIF(Mercado_Receita!$T$2:$T$475,"44317B2Energia horáriaRuralCooperativa de eletrificação ruralNão se aplicaNão se aplicaFora ponta",Mercado_Receita!$N$2:$N$475)</f>
        <v>0</v>
      </c>
      <c r="K24" s="14">
        <f>SUMIF(Mercado_Receita!$T$2:$T$475,"44348B2Energia horáriaRuralCooperativa de eletrificação ruralNão se aplicaNão se aplicaFora ponta",Mercado_Receita!$N$2:$N$475)</f>
        <v>0</v>
      </c>
      <c r="L24" s="14">
        <f>SUMIF(Mercado_Receita!$T$2:$T$475,"44378B2Energia horáriaRuralCooperativa de eletrificação ruralNão se aplicaNão se aplicaFora ponta",Mercado_Receita!$N$2:$N$475)</f>
        <v>0</v>
      </c>
      <c r="M24" s="14">
        <f>SUMIF(Mercado_Receita!$T$2:$T$475,"44409B2Energia horáriaRuralCooperativa de eletrificação ruralNão se aplicaNão se aplicaFora ponta",Mercado_Receita!$N$2:$N$475)</f>
        <v>0</v>
      </c>
      <c r="N24" s="14">
        <f>SUMIF(Mercado_Receita!$T$2:$T$475,"44440B2Energia horáriaRuralCooperativa de eletrificação ruralNão se aplicaNão se aplicaFora ponta",Mercado_Receita!$N$2:$N$475)</f>
        <v>0</v>
      </c>
      <c r="O24" s="14">
        <f>SUMIF(Mercado_Receita!$T$2:$T$475,"44470B2Energia horáriaRuralCooperativa de eletrificação ruralNão se aplicaNão se aplicaFora ponta",Mercado_Receita!$N$2:$N$475)</f>
        <v>0</v>
      </c>
      <c r="P24" s="14">
        <f>SUMIF(Mercado_Receita!$T$2:$T$475,"44501B2Energia horáriaRuralCooperativa de eletrificação ruralNão se aplicaNão se aplicaFora ponta",Mercado_Receita!$N$2:$N$475)</f>
        <v>0</v>
      </c>
      <c r="Q24" s="14">
        <f>SUMIF(Mercado_Receita!$T$2:$T$475,"44531B2Energia horáriaRuralCooperativa de eletrificação ruralNão se aplicaNão se aplicaFora ponta",Mercado_Receita!$N$2:$N$475)</f>
        <v>0</v>
      </c>
      <c r="R24" s="14">
        <f>SUMIF(Mercado_Receita!$T$2:$T$475,"44562B2Energia horáriaRuralCooperativa de eletrificação ruralNão se aplicaNão se aplicaFora ponta",Mercado_Receita!$N$2:$N$475)</f>
        <v>0</v>
      </c>
      <c r="S24" s="14">
        <f>SUMIF(Mercado_Receita!$T$2:$T$475,"44593B2Energia horáriaRuralCooperativa de eletrificação ruralNão se aplicaNão se aplicaFora ponta",Mercado_Receita!$N$2:$N$475)</f>
        <v>0</v>
      </c>
      <c r="T24" s="14">
        <f>SUMIF(Mercado_Receita!$T$2:$T$475,"44621B2Energia horáriaRuralCooperativa de eletrificação ruralNão se aplicaNão se aplicaFora ponta",Mercado_Receita!$N$2:$N$475)</f>
        <v>0</v>
      </c>
      <c r="U24" s="14">
        <f t="shared" si="0"/>
        <v>0</v>
      </c>
      <c r="V24" s="14"/>
      <c r="W24" s="14"/>
    </row>
    <row r="25" spans="1:23" ht="11.25" customHeight="1" x14ac:dyDescent="0.3">
      <c r="A25" s="106"/>
      <c r="B25" s="13" t="s">
        <v>75</v>
      </c>
      <c r="C25" s="13" t="s">
        <v>44</v>
      </c>
      <c r="D25" s="13" t="s">
        <v>88</v>
      </c>
      <c r="E25" s="13" t="s">
        <v>25</v>
      </c>
      <c r="F25" s="13" t="s">
        <v>25</v>
      </c>
      <c r="G25" s="14" t="s">
        <v>76</v>
      </c>
      <c r="H25" s="14" t="s">
        <v>72</v>
      </c>
      <c r="I25" s="14">
        <f>SUMIF(Mercado_Receita!$T$2:$T$475,"44287B2Energia convencionalRuralCooperativa de eletrificação ruralNão se aplicaNão se aplicaNão se aplica",Mercado_Receita!$N$2:$N$475)</f>
        <v>0</v>
      </c>
      <c r="J25" s="14">
        <f>SUMIF(Mercado_Receita!$T$2:$T$475,"44317B2Energia convencionalRuralCooperativa de eletrificação ruralNão se aplicaNão se aplicaNão se aplica",Mercado_Receita!$N$2:$N$475)</f>
        <v>0</v>
      </c>
      <c r="K25" s="14">
        <f>SUMIF(Mercado_Receita!$T$2:$T$475,"44348B2Energia convencionalRuralCooperativa de eletrificação ruralNão se aplicaNão se aplicaNão se aplica",Mercado_Receita!$N$2:$N$475)</f>
        <v>0</v>
      </c>
      <c r="L25" s="14">
        <f>SUMIF(Mercado_Receita!$T$2:$T$475,"44378B2Energia convencionalRuralCooperativa de eletrificação ruralNão se aplicaNão se aplicaNão se aplica",Mercado_Receita!$N$2:$N$475)</f>
        <v>0</v>
      </c>
      <c r="M25" s="14">
        <f>SUMIF(Mercado_Receita!$T$2:$T$475,"44409B2Energia convencionalRuralCooperativa de eletrificação ruralNão se aplicaNão se aplicaNão se aplica",Mercado_Receita!$N$2:$N$475)</f>
        <v>0</v>
      </c>
      <c r="N25" s="14">
        <f>SUMIF(Mercado_Receita!$T$2:$T$475,"44440B2Energia convencionalRuralCooperativa de eletrificação ruralNão se aplicaNão se aplicaNão se aplica",Mercado_Receita!$N$2:$N$475)</f>
        <v>0</v>
      </c>
      <c r="O25" s="14">
        <f>SUMIF(Mercado_Receita!$T$2:$T$475,"44470B2Energia convencionalRuralCooperativa de eletrificação ruralNão se aplicaNão se aplicaNão se aplica",Mercado_Receita!$N$2:$N$475)</f>
        <v>0</v>
      </c>
      <c r="P25" s="14">
        <f>SUMIF(Mercado_Receita!$T$2:$T$475,"44501B2Energia convencionalRuralCooperativa de eletrificação ruralNão se aplicaNão se aplicaNão se aplica",Mercado_Receita!$N$2:$N$475)</f>
        <v>0</v>
      </c>
      <c r="Q25" s="14">
        <f>SUMIF(Mercado_Receita!$T$2:$T$475,"44531B2Energia convencionalRuralCooperativa de eletrificação ruralNão se aplicaNão se aplicaNão se aplica",Mercado_Receita!$N$2:$N$475)</f>
        <v>0</v>
      </c>
      <c r="R25" s="14">
        <f>SUMIF(Mercado_Receita!$T$2:$T$475,"44562B2Energia convencionalRuralCooperativa de eletrificação ruralNão se aplicaNão se aplicaNão se aplica",Mercado_Receita!$N$2:$N$475)</f>
        <v>0</v>
      </c>
      <c r="S25" s="14">
        <f>SUMIF(Mercado_Receita!$T$2:$T$475,"44593B2Energia convencionalRuralCooperativa de eletrificação ruralNão se aplicaNão se aplicaNão se aplica",Mercado_Receita!$N$2:$N$475)</f>
        <v>0</v>
      </c>
      <c r="T25" s="14">
        <f>SUMIF(Mercado_Receita!$T$2:$T$475,"44621B2Energia convencionalRuralCooperativa de eletrificação ruralNão se aplicaNão se aplicaNão se aplica",Mercado_Receita!$N$2:$N$475)</f>
        <v>0</v>
      </c>
      <c r="U25" s="14">
        <f t="shared" si="0"/>
        <v>0</v>
      </c>
      <c r="V25" s="14"/>
      <c r="W25" s="14"/>
    </row>
    <row r="26" spans="1:23" ht="11.25" customHeight="1" x14ac:dyDescent="0.3">
      <c r="A26" s="106"/>
      <c r="B26" s="105" t="s">
        <v>71</v>
      </c>
      <c r="C26" s="105" t="s">
        <v>44</v>
      </c>
      <c r="D26" s="105" t="s">
        <v>89</v>
      </c>
      <c r="E26" s="105" t="s">
        <v>25</v>
      </c>
      <c r="F26" s="105" t="s">
        <v>25</v>
      </c>
      <c r="G26" s="14" t="s">
        <v>73</v>
      </c>
      <c r="H26" s="14" t="s">
        <v>72</v>
      </c>
      <c r="I26" s="14">
        <f>SUMIF(Mercado_Receita!$T$2:$T$475,"44287B2Energia horáriaRuralServiço público de irrigação ruralNão se aplicaNão se aplicaPonta",Mercado_Receita!$N$2:$N$475)</f>
        <v>0</v>
      </c>
      <c r="J26" s="14">
        <f>SUMIF(Mercado_Receita!$T$2:$T$475,"44317B2Energia horáriaRuralServiço público de irrigação ruralNão se aplicaNão se aplicaPonta",Mercado_Receita!$N$2:$N$475)</f>
        <v>0</v>
      </c>
      <c r="K26" s="14">
        <f>SUMIF(Mercado_Receita!$T$2:$T$475,"44348B2Energia horáriaRuralServiço público de irrigação ruralNão se aplicaNão se aplicaPonta",Mercado_Receita!$N$2:$N$475)</f>
        <v>0</v>
      </c>
      <c r="L26" s="14">
        <f>SUMIF(Mercado_Receita!$T$2:$T$475,"44378B2Energia horáriaRuralServiço público de irrigação ruralNão se aplicaNão se aplicaPonta",Mercado_Receita!$N$2:$N$475)</f>
        <v>0</v>
      </c>
      <c r="M26" s="14">
        <f>SUMIF(Mercado_Receita!$T$2:$T$475,"44409B2Energia horáriaRuralServiço público de irrigação ruralNão se aplicaNão se aplicaPonta",Mercado_Receita!$N$2:$N$475)</f>
        <v>0</v>
      </c>
      <c r="N26" s="14">
        <f>SUMIF(Mercado_Receita!$T$2:$T$475,"44440B2Energia horáriaRuralServiço público de irrigação ruralNão se aplicaNão se aplicaPonta",Mercado_Receita!$N$2:$N$475)</f>
        <v>0</v>
      </c>
      <c r="O26" s="14">
        <f>SUMIF(Mercado_Receita!$T$2:$T$475,"44470B2Energia horáriaRuralServiço público de irrigação ruralNão se aplicaNão se aplicaPonta",Mercado_Receita!$N$2:$N$475)</f>
        <v>0</v>
      </c>
      <c r="P26" s="14">
        <f>SUMIF(Mercado_Receita!$T$2:$T$475,"44501B2Energia horáriaRuralServiço público de irrigação ruralNão se aplicaNão se aplicaPonta",Mercado_Receita!$N$2:$N$475)</f>
        <v>0</v>
      </c>
      <c r="Q26" s="14">
        <f>SUMIF(Mercado_Receita!$T$2:$T$475,"44531B2Energia horáriaRuralServiço público de irrigação ruralNão se aplicaNão se aplicaPonta",Mercado_Receita!$N$2:$N$475)</f>
        <v>0</v>
      </c>
      <c r="R26" s="14">
        <f>SUMIF(Mercado_Receita!$T$2:$T$475,"44562B2Energia horáriaRuralServiço público de irrigação ruralNão se aplicaNão se aplicaPonta",Mercado_Receita!$N$2:$N$475)</f>
        <v>0</v>
      </c>
      <c r="S26" s="14">
        <f>SUMIF(Mercado_Receita!$T$2:$T$475,"44593B2Energia horáriaRuralServiço público de irrigação ruralNão se aplicaNão se aplicaPonta",Mercado_Receita!$N$2:$N$475)</f>
        <v>0</v>
      </c>
      <c r="T26" s="14">
        <f>SUMIF(Mercado_Receita!$T$2:$T$475,"44621B2Energia horáriaRuralServiço público de irrigação ruralNão se aplicaNão se aplicaPonta",Mercado_Receita!$N$2:$N$475)</f>
        <v>0</v>
      </c>
      <c r="U26" s="14">
        <f t="shared" si="0"/>
        <v>0</v>
      </c>
      <c r="V26" s="14"/>
      <c r="W26" s="14"/>
    </row>
    <row r="27" spans="1:23" ht="11.25" customHeight="1" x14ac:dyDescent="0.3">
      <c r="A27" s="106"/>
      <c r="B27" s="106"/>
      <c r="C27" s="106"/>
      <c r="D27" s="106"/>
      <c r="E27" s="106"/>
      <c r="F27" s="106"/>
      <c r="G27" s="14" t="s">
        <v>85</v>
      </c>
      <c r="H27" s="14" t="s">
        <v>72</v>
      </c>
      <c r="I27" s="14">
        <f>SUMIF(Mercado_Receita!$T$2:$T$475,"44287B2Energia horáriaRuralServiço público de irrigação ruralNão se aplicaNão se aplicaIntermediário",Mercado_Receita!$N$2:$N$475)</f>
        <v>0</v>
      </c>
      <c r="J27" s="14">
        <f>SUMIF(Mercado_Receita!$T$2:$T$475,"44317B2Energia horáriaRuralServiço público de irrigação ruralNão se aplicaNão se aplicaIntermediário",Mercado_Receita!$N$2:$N$475)</f>
        <v>0</v>
      </c>
      <c r="K27" s="14">
        <f>SUMIF(Mercado_Receita!$T$2:$T$475,"44348B2Energia horáriaRuralServiço público de irrigação ruralNão se aplicaNão se aplicaIntermediário",Mercado_Receita!$N$2:$N$475)</f>
        <v>0</v>
      </c>
      <c r="L27" s="14">
        <f>SUMIF(Mercado_Receita!$T$2:$T$475,"44378B2Energia horáriaRuralServiço público de irrigação ruralNão se aplicaNão se aplicaIntermediário",Mercado_Receita!$N$2:$N$475)</f>
        <v>0</v>
      </c>
      <c r="M27" s="14">
        <f>SUMIF(Mercado_Receita!$T$2:$T$475,"44409B2Energia horáriaRuralServiço público de irrigação ruralNão se aplicaNão se aplicaIntermediário",Mercado_Receita!$N$2:$N$475)</f>
        <v>0</v>
      </c>
      <c r="N27" s="14">
        <f>SUMIF(Mercado_Receita!$T$2:$T$475,"44440B2Energia horáriaRuralServiço público de irrigação ruralNão se aplicaNão se aplicaIntermediário",Mercado_Receita!$N$2:$N$475)</f>
        <v>0</v>
      </c>
      <c r="O27" s="14">
        <f>SUMIF(Mercado_Receita!$T$2:$T$475,"44470B2Energia horáriaRuralServiço público de irrigação ruralNão se aplicaNão se aplicaIntermediário",Mercado_Receita!$N$2:$N$475)</f>
        <v>0</v>
      </c>
      <c r="P27" s="14">
        <f>SUMIF(Mercado_Receita!$T$2:$T$475,"44501B2Energia horáriaRuralServiço público de irrigação ruralNão se aplicaNão se aplicaIntermediário",Mercado_Receita!$N$2:$N$475)</f>
        <v>0</v>
      </c>
      <c r="Q27" s="14">
        <f>SUMIF(Mercado_Receita!$T$2:$T$475,"44531B2Energia horáriaRuralServiço público de irrigação ruralNão se aplicaNão se aplicaIntermediário",Mercado_Receita!$N$2:$N$475)</f>
        <v>0</v>
      </c>
      <c r="R27" s="14">
        <f>SUMIF(Mercado_Receita!$T$2:$T$475,"44562B2Energia horáriaRuralServiço público de irrigação ruralNão se aplicaNão se aplicaIntermediário",Mercado_Receita!$N$2:$N$475)</f>
        <v>0</v>
      </c>
      <c r="S27" s="14">
        <f>SUMIF(Mercado_Receita!$T$2:$T$475,"44593B2Energia horáriaRuralServiço público de irrigação ruralNão se aplicaNão se aplicaIntermediário",Mercado_Receita!$N$2:$N$475)</f>
        <v>0</v>
      </c>
      <c r="T27" s="14">
        <f>SUMIF(Mercado_Receita!$T$2:$T$475,"44621B2Energia horáriaRuralServiço público de irrigação ruralNão se aplicaNão se aplicaIntermediário",Mercado_Receita!$N$2:$N$475)</f>
        <v>0</v>
      </c>
      <c r="U27" s="14">
        <f t="shared" si="0"/>
        <v>0</v>
      </c>
      <c r="V27" s="14"/>
      <c r="W27" s="14"/>
    </row>
    <row r="28" spans="1:23" ht="11.25" customHeight="1" x14ac:dyDescent="0.3">
      <c r="A28" s="106"/>
      <c r="B28" s="106"/>
      <c r="C28" s="106"/>
      <c r="D28" s="106"/>
      <c r="E28" s="106"/>
      <c r="F28" s="106"/>
      <c r="G28" s="14" t="s">
        <v>74</v>
      </c>
      <c r="H28" s="14" t="s">
        <v>72</v>
      </c>
      <c r="I28" s="14">
        <f>SUMIF(Mercado_Receita!$T$2:$T$475,"44287B2Energia horáriaRuralServiço público de irrigação ruralNão se aplicaNão se aplicaFora ponta",Mercado_Receita!$N$2:$N$475)</f>
        <v>0</v>
      </c>
      <c r="J28" s="14">
        <f>SUMIF(Mercado_Receita!$T$2:$T$475,"44317B2Energia horáriaRuralServiço público de irrigação ruralNão se aplicaNão se aplicaFora ponta",Mercado_Receita!$N$2:$N$475)</f>
        <v>0</v>
      </c>
      <c r="K28" s="14">
        <f>SUMIF(Mercado_Receita!$T$2:$T$475,"44348B2Energia horáriaRuralServiço público de irrigação ruralNão se aplicaNão se aplicaFora ponta",Mercado_Receita!$N$2:$N$475)</f>
        <v>0</v>
      </c>
      <c r="L28" s="14">
        <f>SUMIF(Mercado_Receita!$T$2:$T$475,"44378B2Energia horáriaRuralServiço público de irrigação ruralNão se aplicaNão se aplicaFora ponta",Mercado_Receita!$N$2:$N$475)</f>
        <v>0</v>
      </c>
      <c r="M28" s="14">
        <f>SUMIF(Mercado_Receita!$T$2:$T$475,"44409B2Energia horáriaRuralServiço público de irrigação ruralNão se aplicaNão se aplicaFora ponta",Mercado_Receita!$N$2:$N$475)</f>
        <v>0</v>
      </c>
      <c r="N28" s="14">
        <f>SUMIF(Mercado_Receita!$T$2:$T$475,"44440B2Energia horáriaRuralServiço público de irrigação ruralNão se aplicaNão se aplicaFora ponta",Mercado_Receita!$N$2:$N$475)</f>
        <v>0</v>
      </c>
      <c r="O28" s="14">
        <f>SUMIF(Mercado_Receita!$T$2:$T$475,"44470B2Energia horáriaRuralServiço público de irrigação ruralNão se aplicaNão se aplicaFora ponta",Mercado_Receita!$N$2:$N$475)</f>
        <v>0</v>
      </c>
      <c r="P28" s="14">
        <f>SUMIF(Mercado_Receita!$T$2:$T$475,"44501B2Energia horáriaRuralServiço público de irrigação ruralNão se aplicaNão se aplicaFora ponta",Mercado_Receita!$N$2:$N$475)</f>
        <v>0</v>
      </c>
      <c r="Q28" s="14">
        <f>SUMIF(Mercado_Receita!$T$2:$T$475,"44531B2Energia horáriaRuralServiço público de irrigação ruralNão se aplicaNão se aplicaFora ponta",Mercado_Receita!$N$2:$N$475)</f>
        <v>0</v>
      </c>
      <c r="R28" s="14">
        <f>SUMIF(Mercado_Receita!$T$2:$T$475,"44562B2Energia horáriaRuralServiço público de irrigação ruralNão se aplicaNão se aplicaFora ponta",Mercado_Receita!$N$2:$N$475)</f>
        <v>0</v>
      </c>
      <c r="S28" s="14">
        <f>SUMIF(Mercado_Receita!$T$2:$T$475,"44593B2Energia horáriaRuralServiço público de irrigação ruralNão se aplicaNão se aplicaFora ponta",Mercado_Receita!$N$2:$N$475)</f>
        <v>0</v>
      </c>
      <c r="T28" s="14">
        <f>SUMIF(Mercado_Receita!$T$2:$T$475,"44621B2Energia horáriaRuralServiço público de irrigação ruralNão se aplicaNão se aplicaFora ponta",Mercado_Receita!$N$2:$N$475)</f>
        <v>0</v>
      </c>
      <c r="U28" s="14">
        <f t="shared" si="0"/>
        <v>0</v>
      </c>
      <c r="V28" s="14"/>
      <c r="W28" s="14"/>
    </row>
    <row r="29" spans="1:23" ht="11.25" customHeight="1" x14ac:dyDescent="0.3">
      <c r="A29" s="106"/>
      <c r="B29" s="13" t="s">
        <v>75</v>
      </c>
      <c r="C29" s="13" t="s">
        <v>44</v>
      </c>
      <c r="D29" s="13" t="s">
        <v>89</v>
      </c>
      <c r="E29" s="13" t="s">
        <v>25</v>
      </c>
      <c r="F29" s="13" t="s">
        <v>25</v>
      </c>
      <c r="G29" s="14" t="s">
        <v>76</v>
      </c>
      <c r="H29" s="14" t="s">
        <v>72</v>
      </c>
      <c r="I29" s="14">
        <f>SUMIF(Mercado_Receita!$T$2:$T$475,"44287B2Energia convencionalRuralServiço público de irrigação ruralNão se aplicaNão se aplicaNão se aplica",Mercado_Receita!$N$2:$N$475)</f>
        <v>0</v>
      </c>
      <c r="J29" s="14">
        <f>SUMIF(Mercado_Receita!$T$2:$T$475,"44317B2Energia convencionalRuralServiço público de irrigação ruralNão se aplicaNão se aplicaNão se aplica",Mercado_Receita!$N$2:$N$475)</f>
        <v>0</v>
      </c>
      <c r="K29" s="14">
        <f>SUMIF(Mercado_Receita!$T$2:$T$475,"44348B2Energia convencionalRuralServiço público de irrigação ruralNão se aplicaNão se aplicaNão se aplica",Mercado_Receita!$N$2:$N$475)</f>
        <v>0</v>
      </c>
      <c r="L29" s="14">
        <f>SUMIF(Mercado_Receita!$T$2:$T$475,"44378B2Energia convencionalRuralServiço público de irrigação ruralNão se aplicaNão se aplicaNão se aplica",Mercado_Receita!$N$2:$N$475)</f>
        <v>0</v>
      </c>
      <c r="M29" s="14">
        <f>SUMIF(Mercado_Receita!$T$2:$T$475,"44409B2Energia convencionalRuralServiço público de irrigação ruralNão se aplicaNão se aplicaNão se aplica",Mercado_Receita!$N$2:$N$475)</f>
        <v>0</v>
      </c>
      <c r="N29" s="14">
        <f>SUMIF(Mercado_Receita!$T$2:$T$475,"44440B2Energia convencionalRuralServiço público de irrigação ruralNão se aplicaNão se aplicaNão se aplica",Mercado_Receita!$N$2:$N$475)</f>
        <v>0</v>
      </c>
      <c r="O29" s="14">
        <f>SUMIF(Mercado_Receita!$T$2:$T$475,"44470B2Energia convencionalRuralServiço público de irrigação ruralNão se aplicaNão se aplicaNão se aplica",Mercado_Receita!$N$2:$N$475)</f>
        <v>0</v>
      </c>
      <c r="P29" s="14">
        <f>SUMIF(Mercado_Receita!$T$2:$T$475,"44501B2Energia convencionalRuralServiço público de irrigação ruralNão se aplicaNão se aplicaNão se aplica",Mercado_Receita!$N$2:$N$475)</f>
        <v>0</v>
      </c>
      <c r="Q29" s="14">
        <f>SUMIF(Mercado_Receita!$T$2:$T$475,"44531B2Energia convencionalRuralServiço público de irrigação ruralNão se aplicaNão se aplicaNão se aplica",Mercado_Receita!$N$2:$N$475)</f>
        <v>0</v>
      </c>
      <c r="R29" s="14">
        <f>SUMIF(Mercado_Receita!$T$2:$T$475,"44562B2Energia convencionalRuralServiço público de irrigação ruralNão se aplicaNão se aplicaNão se aplica",Mercado_Receita!$N$2:$N$475)</f>
        <v>0</v>
      </c>
      <c r="S29" s="14">
        <f>SUMIF(Mercado_Receita!$T$2:$T$475,"44593B2Energia convencionalRuralServiço público de irrigação ruralNão se aplicaNão se aplicaNão se aplica",Mercado_Receita!$N$2:$N$475)</f>
        <v>0</v>
      </c>
      <c r="T29" s="14">
        <f>SUMIF(Mercado_Receita!$T$2:$T$475,"44621B2Energia convencionalRuralServiço público de irrigação ruralNão se aplicaNão se aplicaNão se aplica",Mercado_Receita!$N$2:$N$475)</f>
        <v>0</v>
      </c>
      <c r="U29" s="14">
        <f t="shared" si="0"/>
        <v>0</v>
      </c>
      <c r="V29" s="14"/>
      <c r="W29" s="14"/>
    </row>
    <row r="30" spans="1:23" ht="11.25" customHeight="1" x14ac:dyDescent="0.3">
      <c r="A30" s="106"/>
      <c r="B30" s="105" t="s">
        <v>86</v>
      </c>
      <c r="C30" s="105" t="s">
        <v>44</v>
      </c>
      <c r="D30" s="13" t="s">
        <v>25</v>
      </c>
      <c r="E30" s="13" t="s">
        <v>25</v>
      </c>
      <c r="F30" s="13" t="s">
        <v>25</v>
      </c>
      <c r="G30" s="14" t="s">
        <v>76</v>
      </c>
      <c r="H30" s="14" t="s">
        <v>72</v>
      </c>
      <c r="I30" s="14">
        <f>SUMIF(Mercado_Receita!$T$2:$T$475,"44287B2Energia convencional pré-pagamentoRuralNão se aplicaNão se aplicaNão se aplicaNão se aplica",Mercado_Receita!$N$2:$N$475)</f>
        <v>0</v>
      </c>
      <c r="J30" s="14">
        <f>SUMIF(Mercado_Receita!$T$2:$T$475,"44317B2Energia convencional pré-pagamentoRuralNão se aplicaNão se aplicaNão se aplicaNão se aplica",Mercado_Receita!$N$2:$N$475)</f>
        <v>0</v>
      </c>
      <c r="K30" s="14">
        <f>SUMIF(Mercado_Receita!$T$2:$T$475,"44348B2Energia convencional pré-pagamentoRuralNão se aplicaNão se aplicaNão se aplicaNão se aplica",Mercado_Receita!$N$2:$N$475)</f>
        <v>0</v>
      </c>
      <c r="L30" s="14">
        <f>SUMIF(Mercado_Receita!$T$2:$T$475,"44378B2Energia convencional pré-pagamentoRuralNão se aplicaNão se aplicaNão se aplicaNão se aplica",Mercado_Receita!$N$2:$N$475)</f>
        <v>0</v>
      </c>
      <c r="M30" s="14">
        <f>SUMIF(Mercado_Receita!$T$2:$T$475,"44409B2Energia convencional pré-pagamentoRuralNão se aplicaNão se aplicaNão se aplicaNão se aplica",Mercado_Receita!$N$2:$N$475)</f>
        <v>0</v>
      </c>
      <c r="N30" s="14">
        <f>SUMIF(Mercado_Receita!$T$2:$T$475,"44440B2Energia convencional pré-pagamentoRuralNão se aplicaNão se aplicaNão se aplicaNão se aplica",Mercado_Receita!$N$2:$N$475)</f>
        <v>0</v>
      </c>
      <c r="O30" s="14">
        <f>SUMIF(Mercado_Receita!$T$2:$T$475,"44470B2Energia convencional pré-pagamentoRuralNão se aplicaNão se aplicaNão se aplicaNão se aplica",Mercado_Receita!$N$2:$N$475)</f>
        <v>0</v>
      </c>
      <c r="P30" s="14">
        <f>SUMIF(Mercado_Receita!$T$2:$T$475,"44501B2Energia convencional pré-pagamentoRuralNão se aplicaNão se aplicaNão se aplicaNão se aplica",Mercado_Receita!$N$2:$N$475)</f>
        <v>0</v>
      </c>
      <c r="Q30" s="14">
        <f>SUMIF(Mercado_Receita!$T$2:$T$475,"44531B2Energia convencional pré-pagamentoRuralNão se aplicaNão se aplicaNão se aplicaNão se aplica",Mercado_Receita!$N$2:$N$475)</f>
        <v>0</v>
      </c>
      <c r="R30" s="14">
        <f>SUMIF(Mercado_Receita!$T$2:$T$475,"44562B2Energia convencional pré-pagamentoRuralNão se aplicaNão se aplicaNão se aplicaNão se aplica",Mercado_Receita!$N$2:$N$475)</f>
        <v>0</v>
      </c>
      <c r="S30" s="14">
        <f>SUMIF(Mercado_Receita!$T$2:$T$475,"44593B2Energia convencional pré-pagamentoRuralNão se aplicaNão se aplicaNão se aplicaNão se aplica",Mercado_Receita!$N$2:$N$475)</f>
        <v>0</v>
      </c>
      <c r="T30" s="14">
        <f>SUMIF(Mercado_Receita!$T$2:$T$475,"44621B2Energia convencional pré-pagamentoRuralNão se aplicaNão se aplicaNão se aplicaNão se aplica",Mercado_Receita!$N$2:$N$475)</f>
        <v>0</v>
      </c>
      <c r="U30" s="14">
        <f t="shared" si="0"/>
        <v>0</v>
      </c>
      <c r="V30" s="14"/>
      <c r="W30" s="14"/>
    </row>
    <row r="31" spans="1:23" ht="11.25" customHeight="1" x14ac:dyDescent="0.3">
      <c r="A31" s="106"/>
      <c r="B31" s="106"/>
      <c r="C31" s="106"/>
      <c r="D31" s="13" t="s">
        <v>88</v>
      </c>
      <c r="E31" s="13" t="s">
        <v>25</v>
      </c>
      <c r="F31" s="13" t="s">
        <v>25</v>
      </c>
      <c r="G31" s="14" t="s">
        <v>76</v>
      </c>
      <c r="H31" s="14" t="s">
        <v>72</v>
      </c>
      <c r="I31" s="14">
        <f>SUMIF(Mercado_Receita!$T$2:$T$475,"44287B2Energia convencional pré-pagamentoRuralCooperativa de eletrificação ruralNão se aplicaNão se aplicaNão se aplica",Mercado_Receita!$N$2:$N$475)</f>
        <v>0</v>
      </c>
      <c r="J31" s="14">
        <f>SUMIF(Mercado_Receita!$T$2:$T$475,"44317B2Energia convencional pré-pagamentoRuralCooperativa de eletrificação ruralNão se aplicaNão se aplicaNão se aplica",Mercado_Receita!$N$2:$N$475)</f>
        <v>0</v>
      </c>
      <c r="K31" s="14">
        <f>SUMIF(Mercado_Receita!$T$2:$T$475,"44348B2Energia convencional pré-pagamentoRuralCooperativa de eletrificação ruralNão se aplicaNão se aplicaNão se aplica",Mercado_Receita!$N$2:$N$475)</f>
        <v>0</v>
      </c>
      <c r="L31" s="14">
        <f>SUMIF(Mercado_Receita!$T$2:$T$475,"44378B2Energia convencional pré-pagamentoRuralCooperativa de eletrificação ruralNão se aplicaNão se aplicaNão se aplica",Mercado_Receita!$N$2:$N$475)</f>
        <v>0</v>
      </c>
      <c r="M31" s="14">
        <f>SUMIF(Mercado_Receita!$T$2:$T$475,"44409B2Energia convencional pré-pagamentoRuralCooperativa de eletrificação ruralNão se aplicaNão se aplicaNão se aplica",Mercado_Receita!$N$2:$N$475)</f>
        <v>0</v>
      </c>
      <c r="N31" s="14">
        <f>SUMIF(Mercado_Receita!$T$2:$T$475,"44440B2Energia convencional pré-pagamentoRuralCooperativa de eletrificação ruralNão se aplicaNão se aplicaNão se aplica",Mercado_Receita!$N$2:$N$475)</f>
        <v>0</v>
      </c>
      <c r="O31" s="14">
        <f>SUMIF(Mercado_Receita!$T$2:$T$475,"44470B2Energia convencional pré-pagamentoRuralCooperativa de eletrificação ruralNão se aplicaNão se aplicaNão se aplica",Mercado_Receita!$N$2:$N$475)</f>
        <v>0</v>
      </c>
      <c r="P31" s="14">
        <f>SUMIF(Mercado_Receita!$T$2:$T$475,"44501B2Energia convencional pré-pagamentoRuralCooperativa de eletrificação ruralNão se aplicaNão se aplicaNão se aplica",Mercado_Receita!$N$2:$N$475)</f>
        <v>0</v>
      </c>
      <c r="Q31" s="14">
        <f>SUMIF(Mercado_Receita!$T$2:$T$475,"44531B2Energia convencional pré-pagamentoRuralCooperativa de eletrificação ruralNão se aplicaNão se aplicaNão se aplica",Mercado_Receita!$N$2:$N$475)</f>
        <v>0</v>
      </c>
      <c r="R31" s="14">
        <f>SUMIF(Mercado_Receita!$T$2:$T$475,"44562B2Energia convencional pré-pagamentoRuralCooperativa de eletrificação ruralNão se aplicaNão se aplicaNão se aplica",Mercado_Receita!$N$2:$N$475)</f>
        <v>0</v>
      </c>
      <c r="S31" s="14">
        <f>SUMIF(Mercado_Receita!$T$2:$T$475,"44593B2Energia convencional pré-pagamentoRuralCooperativa de eletrificação ruralNão se aplicaNão se aplicaNão se aplica",Mercado_Receita!$N$2:$N$475)</f>
        <v>0</v>
      </c>
      <c r="T31" s="14">
        <f>SUMIF(Mercado_Receita!$T$2:$T$475,"44621B2Energia convencional pré-pagamentoRuralCooperativa de eletrificação ruralNão se aplicaNão se aplicaNão se aplica",Mercado_Receita!$N$2:$N$475)</f>
        <v>0</v>
      </c>
      <c r="U31" s="14">
        <f t="shared" si="0"/>
        <v>0</v>
      </c>
      <c r="V31" s="14"/>
      <c r="W31" s="14"/>
    </row>
    <row r="32" spans="1:23" ht="11.25" customHeight="1" x14ac:dyDescent="0.3">
      <c r="A32" s="106"/>
      <c r="B32" s="106"/>
      <c r="C32" s="106"/>
      <c r="D32" s="13" t="s">
        <v>89</v>
      </c>
      <c r="E32" s="13" t="s">
        <v>25</v>
      </c>
      <c r="F32" s="13" t="s">
        <v>25</v>
      </c>
      <c r="G32" s="14" t="s">
        <v>76</v>
      </c>
      <c r="H32" s="14" t="s">
        <v>72</v>
      </c>
      <c r="I32" s="14">
        <f>SUMIF(Mercado_Receita!$T$2:$T$475,"44287B2Energia convencional pré-pagamentoRuralServiço público de irrigação ruralNão se aplicaNão se aplicaNão se aplica",Mercado_Receita!$N$2:$N$475)</f>
        <v>0</v>
      </c>
      <c r="J32" s="14">
        <f>SUMIF(Mercado_Receita!$T$2:$T$475,"44317B2Energia convencional pré-pagamentoRuralServiço público de irrigação ruralNão se aplicaNão se aplicaNão se aplica",Mercado_Receita!$N$2:$N$475)</f>
        <v>0</v>
      </c>
      <c r="K32" s="14">
        <f>SUMIF(Mercado_Receita!$T$2:$T$475,"44348B2Energia convencional pré-pagamentoRuralServiço público de irrigação ruralNão se aplicaNão se aplicaNão se aplica",Mercado_Receita!$N$2:$N$475)</f>
        <v>0</v>
      </c>
      <c r="L32" s="14">
        <f>SUMIF(Mercado_Receita!$T$2:$T$475,"44378B2Energia convencional pré-pagamentoRuralServiço público de irrigação ruralNão se aplicaNão se aplicaNão se aplica",Mercado_Receita!$N$2:$N$475)</f>
        <v>0</v>
      </c>
      <c r="M32" s="14">
        <f>SUMIF(Mercado_Receita!$T$2:$T$475,"44409B2Energia convencional pré-pagamentoRuralServiço público de irrigação ruralNão se aplicaNão se aplicaNão se aplica",Mercado_Receita!$N$2:$N$475)</f>
        <v>0</v>
      </c>
      <c r="N32" s="14">
        <f>SUMIF(Mercado_Receita!$T$2:$T$475,"44440B2Energia convencional pré-pagamentoRuralServiço público de irrigação ruralNão se aplicaNão se aplicaNão se aplica",Mercado_Receita!$N$2:$N$475)</f>
        <v>0</v>
      </c>
      <c r="O32" s="14">
        <f>SUMIF(Mercado_Receita!$T$2:$T$475,"44470B2Energia convencional pré-pagamentoRuralServiço público de irrigação ruralNão se aplicaNão se aplicaNão se aplica",Mercado_Receita!$N$2:$N$475)</f>
        <v>0</v>
      </c>
      <c r="P32" s="14">
        <f>SUMIF(Mercado_Receita!$T$2:$T$475,"44501B2Energia convencional pré-pagamentoRuralServiço público de irrigação ruralNão se aplicaNão se aplicaNão se aplica",Mercado_Receita!$N$2:$N$475)</f>
        <v>0</v>
      </c>
      <c r="Q32" s="14">
        <f>SUMIF(Mercado_Receita!$T$2:$T$475,"44531B2Energia convencional pré-pagamentoRuralServiço público de irrigação ruralNão se aplicaNão se aplicaNão se aplica",Mercado_Receita!$N$2:$N$475)</f>
        <v>0</v>
      </c>
      <c r="R32" s="14">
        <f>SUMIF(Mercado_Receita!$T$2:$T$475,"44562B2Energia convencional pré-pagamentoRuralServiço público de irrigação ruralNão se aplicaNão se aplicaNão se aplica",Mercado_Receita!$N$2:$N$475)</f>
        <v>0</v>
      </c>
      <c r="S32" s="14">
        <f>SUMIF(Mercado_Receita!$T$2:$T$475,"44593B2Energia convencional pré-pagamentoRuralServiço público de irrigação ruralNão se aplicaNão se aplicaNão se aplica",Mercado_Receita!$N$2:$N$475)</f>
        <v>0</v>
      </c>
      <c r="T32" s="14">
        <f>SUMIF(Mercado_Receita!$T$2:$T$475,"44621B2Energia convencional pré-pagamentoRuralServiço público de irrigação ruralNão se aplicaNão se aplicaNão se aplica",Mercado_Receita!$N$2:$N$475)</f>
        <v>0</v>
      </c>
      <c r="U32" s="14">
        <f t="shared" si="0"/>
        <v>0</v>
      </c>
      <c r="V32" s="14"/>
      <c r="W32" s="14"/>
    </row>
    <row r="33" spans="1:23" ht="11.25" customHeight="1" x14ac:dyDescent="0.3">
      <c r="A33" s="105" t="s">
        <v>35</v>
      </c>
      <c r="B33" s="105" t="s">
        <v>71</v>
      </c>
      <c r="C33" s="105" t="s">
        <v>25</v>
      </c>
      <c r="D33" s="105" t="s">
        <v>25</v>
      </c>
      <c r="E33" s="105" t="s">
        <v>25</v>
      </c>
      <c r="F33" s="105" t="s">
        <v>25</v>
      </c>
      <c r="G33" s="14" t="s">
        <v>73</v>
      </c>
      <c r="H33" s="14" t="s">
        <v>72</v>
      </c>
      <c r="I33" s="14">
        <f>SUMIF(Mercado_Receita!$T$2:$T$475,"44287B3Energia horáriaNão se aplicaNão se aplicaNão se aplicaNão se aplicaPonta",Mercado_Receita!$N$2:$N$475)</f>
        <v>2.1999999999999999E-2</v>
      </c>
      <c r="J33" s="14">
        <f>SUMIF(Mercado_Receita!$T$2:$T$475,"44317B3Energia horáriaNão se aplicaNão se aplicaNão se aplicaNão se aplicaPonta",Mercado_Receita!$N$2:$N$475)</f>
        <v>2.7E-2</v>
      </c>
      <c r="K33" s="14">
        <f>SUMIF(Mercado_Receita!$T$2:$T$475,"44348B3Energia horáriaNão se aplicaNão se aplicaNão se aplicaNão se aplicaPonta",Mercado_Receita!$N$2:$N$475)</f>
        <v>5.3999999999999999E-2</v>
      </c>
      <c r="L33" s="14">
        <f>SUMIF(Mercado_Receita!$T$2:$T$475,"44378B3Energia horáriaNão se aplicaNão se aplicaNão se aplicaNão se aplicaPonta",Mercado_Receita!$N$2:$N$475)</f>
        <v>0.02</v>
      </c>
      <c r="M33" s="14">
        <f>SUMIF(Mercado_Receita!$T$2:$T$475,"44409B3Energia horáriaNão se aplicaNão se aplicaNão se aplicaNão se aplicaPonta",Mercado_Receita!$N$2:$N$475)</f>
        <v>3.4000000000000002E-2</v>
      </c>
      <c r="N33" s="14">
        <f>SUMIF(Mercado_Receita!$T$2:$T$475,"44440B3Energia horáriaNão se aplicaNão se aplicaNão se aplicaNão se aplicaPonta",Mercado_Receita!$N$2:$N$475)</f>
        <v>3.6999999999999998E-2</v>
      </c>
      <c r="O33" s="14">
        <f>SUMIF(Mercado_Receita!$T$2:$T$475,"44470B3Energia horáriaNão se aplicaNão se aplicaNão se aplicaNão se aplicaPonta",Mercado_Receita!$N$2:$N$475)</f>
        <v>3.1E-2</v>
      </c>
      <c r="P33" s="14">
        <f>SUMIF(Mercado_Receita!$T$2:$T$475,"44501B3Energia horáriaNão se aplicaNão se aplicaNão se aplicaNão se aplicaPonta",Mercado_Receita!$N$2:$N$475)</f>
        <v>2.7E-2</v>
      </c>
      <c r="Q33" s="14">
        <f>SUMIF(Mercado_Receita!$T$2:$T$475,"44531B3Energia horáriaNão se aplicaNão se aplicaNão se aplicaNão se aplicaPonta",Mercado_Receita!$N$2:$N$475)</f>
        <v>3.3000000000000002E-2</v>
      </c>
      <c r="R33" s="14">
        <f>SUMIF(Mercado_Receita!$T$2:$T$475,"44562B3Energia horáriaNão se aplicaNão se aplicaNão se aplicaNão se aplicaPonta",Mercado_Receita!$N$2:$N$475)</f>
        <v>4.4999999999999998E-2</v>
      </c>
      <c r="S33" s="14">
        <f>SUMIF(Mercado_Receita!$T$2:$T$475,"44593B3Energia horáriaNão se aplicaNão se aplicaNão se aplicaNão se aplicaPonta",Mercado_Receita!$N$2:$N$475)</f>
        <v>0.03</v>
      </c>
      <c r="T33" s="14">
        <f>SUMIF(Mercado_Receita!$T$2:$T$475,"44621B3Energia horáriaNão se aplicaNão se aplicaNão se aplicaNão se aplicaPonta",Mercado_Receita!$N$2:$N$475)</f>
        <v>2.9000000000000001E-2</v>
      </c>
      <c r="U33" s="14">
        <f t="shared" si="0"/>
        <v>0.38900000000000001</v>
      </c>
      <c r="V33" s="14"/>
      <c r="W33" s="14"/>
    </row>
    <row r="34" spans="1:23" ht="11.25" customHeight="1" x14ac:dyDescent="0.3">
      <c r="A34" s="106"/>
      <c r="B34" s="106"/>
      <c r="C34" s="106"/>
      <c r="D34" s="106"/>
      <c r="E34" s="106"/>
      <c r="F34" s="106"/>
      <c r="G34" s="14" t="s">
        <v>85</v>
      </c>
      <c r="H34" s="14" t="s">
        <v>72</v>
      </c>
      <c r="I34" s="14">
        <f>SUMIF(Mercado_Receita!$T$2:$T$475,"44287B3Energia horáriaNão se aplicaNão se aplicaNão se aplicaNão se aplicaIntermediário",Mercado_Receita!$N$2:$N$475)</f>
        <v>1.4E-2</v>
      </c>
      <c r="J34" s="14">
        <f>SUMIF(Mercado_Receita!$T$2:$T$475,"44317B3Energia horáriaNão se aplicaNão se aplicaNão se aplicaNão se aplicaIntermediário",Mercado_Receita!$N$2:$N$475)</f>
        <v>1.7999999999999999E-2</v>
      </c>
      <c r="K34" s="14">
        <f>SUMIF(Mercado_Receita!$T$2:$T$475,"44348B3Energia horáriaNão se aplicaNão se aplicaNão se aplicaNão se aplicaIntermediário",Mercado_Receita!$N$2:$N$475)</f>
        <v>3.6999999999999998E-2</v>
      </c>
      <c r="L34" s="14">
        <f>SUMIF(Mercado_Receita!$T$2:$T$475,"44378B3Energia horáriaNão se aplicaNão se aplicaNão se aplicaNão se aplicaIntermediário",Mercado_Receita!$N$2:$N$475)</f>
        <v>1.4999999999999999E-2</v>
      </c>
      <c r="M34" s="14">
        <f>SUMIF(Mercado_Receita!$T$2:$T$475,"44409B3Energia horáriaNão se aplicaNão se aplicaNão se aplicaNão se aplicaIntermediário",Mercado_Receita!$N$2:$N$475)</f>
        <v>0.02</v>
      </c>
      <c r="N34" s="14">
        <f>SUMIF(Mercado_Receita!$T$2:$T$475,"44440B3Energia horáriaNão se aplicaNão se aplicaNão se aplicaNão se aplicaIntermediário",Mercado_Receita!$N$2:$N$475)</f>
        <v>1.9E-2</v>
      </c>
      <c r="O34" s="14">
        <f>SUMIF(Mercado_Receita!$T$2:$T$475,"44470B3Energia horáriaNão se aplicaNão se aplicaNão se aplicaNão se aplicaIntermediário",Mercado_Receita!$N$2:$N$475)</f>
        <v>1.7000000000000001E-2</v>
      </c>
      <c r="P34" s="14">
        <f>SUMIF(Mercado_Receita!$T$2:$T$475,"44501B3Energia horáriaNão se aplicaNão se aplicaNão se aplicaNão se aplicaIntermediário",Mercado_Receita!$N$2:$N$475)</f>
        <v>1.6E-2</v>
      </c>
      <c r="Q34" s="14">
        <f>SUMIF(Mercado_Receita!$T$2:$T$475,"44531B3Energia horáriaNão se aplicaNão se aplicaNão se aplicaNão se aplicaIntermediário",Mercado_Receita!$N$2:$N$475)</f>
        <v>1.7999999999999999E-2</v>
      </c>
      <c r="R34" s="14">
        <f>SUMIF(Mercado_Receita!$T$2:$T$475,"44562B3Energia horáriaNão se aplicaNão se aplicaNão se aplicaNão se aplicaIntermediário",Mercado_Receita!$N$2:$N$475)</f>
        <v>2.5000000000000001E-2</v>
      </c>
      <c r="S34" s="14">
        <f>SUMIF(Mercado_Receita!$T$2:$T$475,"44593B3Energia horáriaNão se aplicaNão se aplicaNão se aplicaNão se aplicaIntermediário",Mercado_Receita!$N$2:$N$475)</f>
        <v>0.02</v>
      </c>
      <c r="T34" s="14">
        <f>SUMIF(Mercado_Receita!$T$2:$T$475,"44621B3Energia horáriaNão se aplicaNão se aplicaNão se aplicaNão se aplicaIntermediário",Mercado_Receita!$N$2:$N$475)</f>
        <v>1.9E-2</v>
      </c>
      <c r="U34" s="14">
        <f t="shared" si="0"/>
        <v>0.23799999999999999</v>
      </c>
      <c r="V34" s="14"/>
      <c r="W34" s="14"/>
    </row>
    <row r="35" spans="1:23" ht="11.25" customHeight="1" x14ac:dyDescent="0.3">
      <c r="A35" s="106"/>
      <c r="B35" s="106"/>
      <c r="C35" s="106"/>
      <c r="D35" s="106"/>
      <c r="E35" s="106"/>
      <c r="F35" s="106"/>
      <c r="G35" s="14" t="s">
        <v>74</v>
      </c>
      <c r="H35" s="14" t="s">
        <v>72</v>
      </c>
      <c r="I35" s="14">
        <f>SUMIF(Mercado_Receita!$T$2:$T$475,"44287B3Energia horáriaNão se aplicaNão se aplicaNão se aplicaNão se aplicaFora ponta",Mercado_Receita!$N$2:$N$475)</f>
        <v>0.22600000000000001</v>
      </c>
      <c r="J35" s="14">
        <f>SUMIF(Mercado_Receita!$T$2:$T$475,"44317B3Energia horáriaNão se aplicaNão se aplicaNão se aplicaNão se aplicaFora ponta",Mercado_Receita!$N$2:$N$475)</f>
        <v>0.23599999999999999</v>
      </c>
      <c r="K35" s="14">
        <f>SUMIF(Mercado_Receita!$T$2:$T$475,"44348B3Energia horáriaNão se aplicaNão se aplicaNão se aplicaNão se aplicaFora ponta",Mercado_Receita!$N$2:$N$475)</f>
        <v>0.35499999999999998</v>
      </c>
      <c r="L35" s="14">
        <f>SUMIF(Mercado_Receita!$T$2:$T$475,"44378B3Energia horáriaNão se aplicaNão se aplicaNão se aplicaNão se aplicaFora ponta",Mercado_Receita!$N$2:$N$475)</f>
        <v>0.16</v>
      </c>
      <c r="M35" s="14">
        <f>SUMIF(Mercado_Receita!$T$2:$T$475,"44409B3Energia horáriaNão se aplicaNão se aplicaNão se aplicaNão se aplicaFora ponta",Mercado_Receita!$N$2:$N$475)</f>
        <v>0.20100000000000001</v>
      </c>
      <c r="N35" s="14">
        <f>SUMIF(Mercado_Receita!$T$2:$T$475,"44440B3Energia horáriaNão se aplicaNão se aplicaNão se aplicaNão se aplicaFora ponta",Mercado_Receita!$N$2:$N$475)</f>
        <v>0.20399999999999999</v>
      </c>
      <c r="O35" s="14">
        <f>SUMIF(Mercado_Receita!$T$2:$T$475,"44470B3Energia horáriaNão se aplicaNão se aplicaNão se aplicaNão se aplicaFora ponta",Mercado_Receita!$N$2:$N$475)</f>
        <v>0.19800000000000001</v>
      </c>
      <c r="P35" s="14">
        <f>SUMIF(Mercado_Receita!$T$2:$T$475,"44501B3Energia horáriaNão se aplicaNão se aplicaNão se aplicaNão se aplicaFora ponta",Mercado_Receita!$N$2:$N$475)</f>
        <v>0.182</v>
      </c>
      <c r="Q35" s="14">
        <f>SUMIF(Mercado_Receita!$T$2:$T$475,"44531B3Energia horáriaNão se aplicaNão se aplicaNão se aplicaNão se aplicaFora ponta",Mercado_Receita!$N$2:$N$475)</f>
        <v>0.21299999999999999</v>
      </c>
      <c r="R35" s="14">
        <f>SUMIF(Mercado_Receita!$T$2:$T$475,"44562B3Energia horáriaNão se aplicaNão se aplicaNão se aplicaNão se aplicaFora ponta",Mercado_Receita!$N$2:$N$475)</f>
        <v>0.308</v>
      </c>
      <c r="S35" s="14">
        <f>SUMIF(Mercado_Receita!$T$2:$T$475,"44593B3Energia horáriaNão se aplicaNão se aplicaNão se aplicaNão se aplicaFora ponta",Mercado_Receita!$N$2:$N$475)</f>
        <v>0.27</v>
      </c>
      <c r="T35" s="14">
        <f>SUMIF(Mercado_Receita!$T$2:$T$475,"44621B3Energia horáriaNão se aplicaNão se aplicaNão se aplicaNão se aplicaFora ponta",Mercado_Receita!$N$2:$N$475)</f>
        <v>0.27500000000000002</v>
      </c>
      <c r="U35" s="14">
        <f t="shared" si="0"/>
        <v>2.8279999999999998</v>
      </c>
      <c r="V35" s="14"/>
      <c r="W35" s="14"/>
    </row>
    <row r="36" spans="1:23" ht="11.25" customHeight="1" x14ac:dyDescent="0.3">
      <c r="A36" s="106"/>
      <c r="B36" s="13" t="s">
        <v>75</v>
      </c>
      <c r="C36" s="13" t="s">
        <v>25</v>
      </c>
      <c r="D36" s="13" t="s">
        <v>25</v>
      </c>
      <c r="E36" s="13" t="s">
        <v>25</v>
      </c>
      <c r="F36" s="13" t="s">
        <v>25</v>
      </c>
      <c r="G36" s="14" t="s">
        <v>76</v>
      </c>
      <c r="H36" s="14" t="s">
        <v>72</v>
      </c>
      <c r="I36" s="14">
        <f>SUMIF(Mercado_Receita!$T$2:$T$475,"44287B3Energia convencionalNão se aplicaNão se aplicaNão se aplicaNão se aplicaNão se aplica",Mercado_Receita!$N$2:$N$475)</f>
        <v>156.46299999999999</v>
      </c>
      <c r="J36" s="14">
        <f>SUMIF(Mercado_Receita!$T$2:$T$475,"44317B3Energia convencionalNão se aplicaNão se aplicaNão se aplicaNão se aplicaNão se aplica",Mercado_Receita!$N$2:$N$475)</f>
        <v>132.63400000000001</v>
      </c>
      <c r="K36" s="14">
        <f>SUMIF(Mercado_Receita!$T$2:$T$475,"44348B3Energia convencionalNão se aplicaNão se aplicaNão se aplicaNão se aplicaNão se aplica",Mercado_Receita!$N$2:$N$475)</f>
        <v>151.62099999999998</v>
      </c>
      <c r="L36" s="14">
        <f>SUMIF(Mercado_Receita!$T$2:$T$475,"44378B3Energia convencionalNão se aplicaNão se aplicaNão se aplicaNão se aplicaNão se aplica",Mercado_Receita!$N$2:$N$475)</f>
        <v>124.85800000000002</v>
      </c>
      <c r="M36" s="14">
        <f>SUMIF(Mercado_Receita!$T$2:$T$475,"44409B3Energia convencionalNão se aplicaNão se aplicaNão se aplicaNão se aplicaNão se aplica",Mercado_Receita!$N$2:$N$475)</f>
        <v>128.96600000000001</v>
      </c>
      <c r="N36" s="14">
        <f>SUMIF(Mercado_Receita!$T$2:$T$475,"44440B3Energia convencionalNão se aplicaNão se aplicaNão se aplicaNão se aplicaNão se aplica",Mercado_Receita!$N$2:$N$475)</f>
        <v>137.89200000000002</v>
      </c>
      <c r="O36" s="14">
        <f>SUMIF(Mercado_Receita!$T$2:$T$475,"44470B3Energia convencionalNão se aplicaNão se aplicaNão se aplicaNão se aplicaNão se aplica",Mercado_Receita!$N$2:$N$475)</f>
        <v>142.09300000000002</v>
      </c>
      <c r="P36" s="14">
        <f>SUMIF(Mercado_Receita!$T$2:$T$475,"44501B3Energia convencionalNão se aplicaNão se aplicaNão se aplicaNão se aplicaNão se aplica",Mercado_Receita!$N$2:$N$475)</f>
        <v>138.095</v>
      </c>
      <c r="Q36" s="14">
        <f>SUMIF(Mercado_Receita!$T$2:$T$475,"44531B3Energia convencionalNão se aplicaNão se aplicaNão se aplicaNão se aplicaNão se aplica",Mercado_Receita!$N$2:$N$475)</f>
        <v>153.94200000000001</v>
      </c>
      <c r="R36" s="14">
        <f>SUMIF(Mercado_Receita!$T$2:$T$475,"44562B3Energia convencionalNão se aplicaNão se aplicaNão se aplicaNão se aplicaNão se aplica",Mercado_Receita!$N$2:$N$475)</f>
        <v>176.20700000000002</v>
      </c>
      <c r="S36" s="14">
        <f>SUMIF(Mercado_Receita!$T$2:$T$475,"44593B3Energia convencionalNão se aplicaNão se aplicaNão se aplicaNão se aplicaNão se aplica",Mercado_Receita!$N$2:$N$475)</f>
        <v>171.33099999999999</v>
      </c>
      <c r="T36" s="14">
        <f>SUMIF(Mercado_Receita!$T$2:$T$475,"44621B3Energia convencionalNão se aplicaNão se aplicaNão se aplicaNão se aplicaNão se aplica",Mercado_Receita!$N$2:$N$475)</f>
        <v>184.89399999999995</v>
      </c>
      <c r="U36" s="14">
        <f t="shared" si="0"/>
        <v>1798.9960000000001</v>
      </c>
      <c r="V36" s="14"/>
      <c r="W36" s="14"/>
    </row>
    <row r="37" spans="1:23" ht="11.25" customHeight="1" x14ac:dyDescent="0.3">
      <c r="A37" s="106"/>
      <c r="B37" s="13" t="s">
        <v>86</v>
      </c>
      <c r="C37" s="13" t="s">
        <v>25</v>
      </c>
      <c r="D37" s="13" t="s">
        <v>25</v>
      </c>
      <c r="E37" s="13" t="s">
        <v>25</v>
      </c>
      <c r="F37" s="13" t="s">
        <v>25</v>
      </c>
      <c r="G37" s="14" t="s">
        <v>76</v>
      </c>
      <c r="H37" s="14" t="s">
        <v>72</v>
      </c>
      <c r="I37" s="14">
        <f>SUMIF(Mercado_Receita!$T$2:$T$475,"44287B3Energia convencional pré-pagamentoNão se aplicaNão se aplicaNão se aplicaNão se aplicaNão se aplica",Mercado_Receita!$N$2:$N$475)</f>
        <v>0</v>
      </c>
      <c r="J37" s="14">
        <f>SUMIF(Mercado_Receita!$T$2:$T$475,"44317B3Energia convencional pré-pagamentoNão se aplicaNão se aplicaNão se aplicaNão se aplicaNão se aplica",Mercado_Receita!$N$2:$N$475)</f>
        <v>0</v>
      </c>
      <c r="K37" s="14">
        <f>SUMIF(Mercado_Receita!$T$2:$T$475,"44348B3Energia convencional pré-pagamentoNão se aplicaNão se aplicaNão se aplicaNão se aplicaNão se aplica",Mercado_Receita!$N$2:$N$475)</f>
        <v>0</v>
      </c>
      <c r="L37" s="14">
        <f>SUMIF(Mercado_Receita!$T$2:$T$475,"44378B3Energia convencional pré-pagamentoNão se aplicaNão se aplicaNão se aplicaNão se aplicaNão se aplica",Mercado_Receita!$N$2:$N$475)</f>
        <v>0</v>
      </c>
      <c r="M37" s="14">
        <f>SUMIF(Mercado_Receita!$T$2:$T$475,"44409B3Energia convencional pré-pagamentoNão se aplicaNão se aplicaNão se aplicaNão se aplicaNão se aplica",Mercado_Receita!$N$2:$N$475)</f>
        <v>0</v>
      </c>
      <c r="N37" s="14">
        <f>SUMIF(Mercado_Receita!$T$2:$T$475,"44440B3Energia convencional pré-pagamentoNão se aplicaNão se aplicaNão se aplicaNão se aplicaNão se aplica",Mercado_Receita!$N$2:$N$475)</f>
        <v>0</v>
      </c>
      <c r="O37" s="14">
        <f>SUMIF(Mercado_Receita!$T$2:$T$475,"44470B3Energia convencional pré-pagamentoNão se aplicaNão se aplicaNão se aplicaNão se aplicaNão se aplica",Mercado_Receita!$N$2:$N$475)</f>
        <v>0</v>
      </c>
      <c r="P37" s="14">
        <f>SUMIF(Mercado_Receita!$T$2:$T$475,"44501B3Energia convencional pré-pagamentoNão se aplicaNão se aplicaNão se aplicaNão se aplicaNão se aplica",Mercado_Receita!$N$2:$N$475)</f>
        <v>0</v>
      </c>
      <c r="Q37" s="14">
        <f>SUMIF(Mercado_Receita!$T$2:$T$475,"44531B3Energia convencional pré-pagamentoNão se aplicaNão se aplicaNão se aplicaNão se aplicaNão se aplica",Mercado_Receita!$N$2:$N$475)</f>
        <v>0</v>
      </c>
      <c r="R37" s="14">
        <f>SUMIF(Mercado_Receita!$T$2:$T$475,"44562B3Energia convencional pré-pagamentoNão se aplicaNão se aplicaNão se aplicaNão se aplicaNão se aplica",Mercado_Receita!$N$2:$N$475)</f>
        <v>0</v>
      </c>
      <c r="S37" s="14">
        <f>SUMIF(Mercado_Receita!$T$2:$T$475,"44593B3Energia convencional pré-pagamentoNão se aplicaNão se aplicaNão se aplicaNão se aplicaNão se aplica",Mercado_Receita!$N$2:$N$475)</f>
        <v>0</v>
      </c>
      <c r="T37" s="14">
        <f>SUMIF(Mercado_Receita!$T$2:$T$475,"44621B3Energia convencional pré-pagamentoNão se aplicaNão se aplicaNão se aplicaNão se aplicaNão se aplica",Mercado_Receita!$N$2:$N$475)</f>
        <v>0</v>
      </c>
      <c r="U37" s="14">
        <f t="shared" si="0"/>
        <v>0</v>
      </c>
      <c r="V37" s="14"/>
      <c r="W37" s="14"/>
    </row>
    <row r="38" spans="1:23" ht="11.25" customHeight="1" x14ac:dyDescent="0.3">
      <c r="A38" s="105" t="s">
        <v>46</v>
      </c>
      <c r="B38" s="105" t="s">
        <v>75</v>
      </c>
      <c r="C38" s="105" t="s">
        <v>47</v>
      </c>
      <c r="D38" s="13" t="s">
        <v>48</v>
      </c>
      <c r="E38" s="13" t="s">
        <v>25</v>
      </c>
      <c r="F38" s="13" t="s">
        <v>25</v>
      </c>
      <c r="G38" s="14" t="s">
        <v>76</v>
      </c>
      <c r="H38" s="14" t="s">
        <v>72</v>
      </c>
      <c r="I38" s="14">
        <f>SUMIF(Mercado_Receita!$T$2:$T$475,"44287B4Energia convencionalIluminação públicaIluminação pública – B4aNão se aplicaNão se aplicaNão se aplica",Mercado_Receita!$N$2:$N$475)</f>
        <v>267.41500000000002</v>
      </c>
      <c r="J38" s="14">
        <f>SUMIF(Mercado_Receita!$T$2:$T$475,"44317B4Energia convencionalIluminação públicaIluminação pública – B4aNão se aplicaNão se aplicaNão se aplica",Mercado_Receita!$N$2:$N$475)</f>
        <v>291.803</v>
      </c>
      <c r="K38" s="14">
        <f>SUMIF(Mercado_Receita!$T$2:$T$475,"44348B4Energia convencionalIluminação públicaIluminação pública – B4aNão se aplicaNão se aplicaNão se aplica",Mercado_Receita!$N$2:$N$475)</f>
        <v>288.34699999999998</v>
      </c>
      <c r="L38" s="14">
        <f>SUMIF(Mercado_Receita!$T$2:$T$475,"44378B4Energia convencionalIluminação públicaIluminação pública – B4aNão se aplicaNão se aplicaNão se aplica",Mercado_Receita!$N$2:$N$475)</f>
        <v>294.88200000000001</v>
      </c>
      <c r="M38" s="14">
        <f>SUMIF(Mercado_Receita!$T$2:$T$475,"44409B4Energia convencionalIluminação públicaIluminação pública – B4aNão se aplicaNão se aplicaNão se aplica",Mercado_Receita!$N$2:$N$475)</f>
        <v>284.49299999999999</v>
      </c>
      <c r="N38" s="14">
        <f>SUMIF(Mercado_Receita!$T$2:$T$475,"44440B4Energia convencionalIluminação públicaIluminação pública – B4aNão se aplicaNão se aplicaNão se aplica",Mercado_Receita!$N$2:$N$475)</f>
        <v>260.94600000000003</v>
      </c>
      <c r="O38" s="14">
        <f>SUMIF(Mercado_Receita!$T$2:$T$475,"44470B4Energia convencionalIluminação públicaIluminação pública – B4aNão se aplicaNão se aplicaNão se aplica",Mercado_Receita!$N$2:$N$475)</f>
        <v>253.86</v>
      </c>
      <c r="P38" s="14">
        <f>SUMIF(Mercado_Receita!$T$2:$T$475,"44501B4Energia convencionalIluminação públicaIluminação pública – B4aNão se aplicaNão se aplicaNão se aplica",Mercado_Receita!$N$2:$N$475)</f>
        <v>232.631</v>
      </c>
      <c r="Q38" s="14">
        <f>SUMIF(Mercado_Receita!$T$2:$T$475,"44531B4Energia convencionalIluminação públicaIluminação pública – B4aNão se aplicaNão se aplicaNão se aplica",Mercado_Receita!$N$2:$N$475)</f>
        <v>241.02600000000001</v>
      </c>
      <c r="R38" s="14">
        <f>SUMIF(Mercado_Receita!$T$2:$T$475,"44562B4Energia convencionalIluminação públicaIluminação pública – B4aNão se aplicaNão se aplicaNão se aplica",Mercado_Receita!$N$2:$N$475)</f>
        <v>244.99600000000001</v>
      </c>
      <c r="S38" s="14">
        <f>SUMIF(Mercado_Receita!$T$2:$T$475,"44593B4Energia convencionalIluminação públicaIluminação pública – B4aNão se aplicaNão se aplicaNão se aplica",Mercado_Receita!$N$2:$N$475)</f>
        <v>232.03800000000001</v>
      </c>
      <c r="T38" s="14">
        <f>SUMIF(Mercado_Receita!$T$2:$T$475,"44621B4Energia convencionalIluminação públicaIluminação pública – B4aNão se aplicaNão se aplicaNão se aplica",Mercado_Receita!$N$2:$N$475)</f>
        <v>271.97899999999998</v>
      </c>
      <c r="U38" s="14">
        <f t="shared" si="0"/>
        <v>3164.4159999999997</v>
      </c>
      <c r="V38" s="14"/>
      <c r="W38" s="14"/>
    </row>
    <row r="39" spans="1:23" ht="11.25" customHeight="1" x14ac:dyDescent="0.3">
      <c r="A39" s="106"/>
      <c r="B39" s="106"/>
      <c r="C39" s="106"/>
      <c r="D39" s="14" t="s">
        <v>90</v>
      </c>
      <c r="E39" s="14" t="s">
        <v>25</v>
      </c>
      <c r="F39" s="14" t="s">
        <v>25</v>
      </c>
      <c r="G39" s="14" t="s">
        <v>76</v>
      </c>
      <c r="H39" s="14" t="s">
        <v>72</v>
      </c>
      <c r="I39" s="14">
        <f>SUMIF(Mercado_Receita!$T$2:$T$475,"44287B4Energia convencionalIluminação públicaIluminação pública – B4bNão se aplicaNão se aplicaNão se aplica",Mercado_Receita!$N$2:$N$475)</f>
        <v>0</v>
      </c>
      <c r="J39" s="14">
        <f>SUMIF(Mercado_Receita!$T$2:$T$475,"44317B4Energia convencionalIluminação públicaIluminação pública – B4bNão se aplicaNão se aplicaNão se aplica",Mercado_Receita!$N$2:$N$475)</f>
        <v>0</v>
      </c>
      <c r="K39" s="14">
        <f>SUMIF(Mercado_Receita!$T$2:$T$475,"44348B4Energia convencionalIluminação públicaIluminação pública – B4bNão se aplicaNão se aplicaNão se aplica",Mercado_Receita!$N$2:$N$475)</f>
        <v>0</v>
      </c>
      <c r="L39" s="14">
        <f>SUMIF(Mercado_Receita!$T$2:$T$475,"44378B4Energia convencionalIluminação públicaIluminação pública – B4bNão se aplicaNão se aplicaNão se aplica",Mercado_Receita!$N$2:$N$475)</f>
        <v>0</v>
      </c>
      <c r="M39" s="14">
        <f>SUMIF(Mercado_Receita!$T$2:$T$475,"44409B4Energia convencionalIluminação públicaIluminação pública – B4bNão se aplicaNão se aplicaNão se aplica",Mercado_Receita!$N$2:$N$475)</f>
        <v>0</v>
      </c>
      <c r="N39" s="14">
        <f>SUMIF(Mercado_Receita!$T$2:$T$475,"44440B4Energia convencionalIluminação públicaIluminação pública – B4bNão se aplicaNão se aplicaNão se aplica",Mercado_Receita!$N$2:$N$475)</f>
        <v>0</v>
      </c>
      <c r="O39" s="14">
        <f>SUMIF(Mercado_Receita!$T$2:$T$475,"44470B4Energia convencionalIluminação públicaIluminação pública – B4bNão se aplicaNão se aplicaNão se aplica",Mercado_Receita!$N$2:$N$475)</f>
        <v>0</v>
      </c>
      <c r="P39" s="14">
        <f>SUMIF(Mercado_Receita!$T$2:$T$475,"44501B4Energia convencionalIluminação públicaIluminação pública – B4bNão se aplicaNão se aplicaNão se aplica",Mercado_Receita!$N$2:$N$475)</f>
        <v>0</v>
      </c>
      <c r="Q39" s="14">
        <f>SUMIF(Mercado_Receita!$T$2:$T$475,"44531B4Energia convencionalIluminação públicaIluminação pública – B4bNão se aplicaNão se aplicaNão se aplica",Mercado_Receita!$N$2:$N$475)</f>
        <v>0</v>
      </c>
      <c r="R39" s="14">
        <f>SUMIF(Mercado_Receita!$T$2:$T$475,"44562B4Energia convencionalIluminação públicaIluminação pública – B4bNão se aplicaNão se aplicaNão se aplica",Mercado_Receita!$N$2:$N$475)</f>
        <v>0</v>
      </c>
      <c r="S39" s="14">
        <f>SUMIF(Mercado_Receita!$T$2:$T$475,"44593B4Energia convencionalIluminação públicaIluminação pública – B4bNão se aplicaNão se aplicaNão se aplica",Mercado_Receita!$N$2:$N$475)</f>
        <v>0</v>
      </c>
      <c r="T39" s="14">
        <f>SUMIF(Mercado_Receita!$T$2:$T$475,"44621B4Energia convencionalIluminação públicaIluminação pública – B4bNão se aplicaNão se aplicaNão se aplica",Mercado_Receita!$N$2:$N$475)</f>
        <v>0</v>
      </c>
      <c r="U39" s="14">
        <f t="shared" si="0"/>
        <v>0</v>
      </c>
      <c r="V39" s="14"/>
      <c r="W39" s="14"/>
    </row>
    <row r="40" spans="1:23" ht="11.25" customHeight="1" x14ac:dyDescent="0.3">
      <c r="A40" s="107" t="s">
        <v>469</v>
      </c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4"/>
      <c r="W40" s="14"/>
    </row>
  </sheetData>
  <mergeCells count="44">
    <mergeCell ref="A2:A4"/>
    <mergeCell ref="F2:F3"/>
    <mergeCell ref="E2:E3"/>
    <mergeCell ref="D2:D3"/>
    <mergeCell ref="C2:C3"/>
    <mergeCell ref="B2:B3"/>
    <mergeCell ref="C13:C17"/>
    <mergeCell ref="B13:B17"/>
    <mergeCell ref="A5:A17"/>
    <mergeCell ref="F18:F20"/>
    <mergeCell ref="E18:E20"/>
    <mergeCell ref="D18:D20"/>
    <mergeCell ref="C18:C20"/>
    <mergeCell ref="B18:B20"/>
    <mergeCell ref="F5:F7"/>
    <mergeCell ref="E5:E7"/>
    <mergeCell ref="D5:D7"/>
    <mergeCell ref="C5:C7"/>
    <mergeCell ref="B5:B7"/>
    <mergeCell ref="C8:C12"/>
    <mergeCell ref="B8:B12"/>
    <mergeCell ref="C22:C24"/>
    <mergeCell ref="B22:B24"/>
    <mergeCell ref="F26:F28"/>
    <mergeCell ref="E26:E28"/>
    <mergeCell ref="D26:D28"/>
    <mergeCell ref="C26:C28"/>
    <mergeCell ref="B26:B28"/>
    <mergeCell ref="A38:A39"/>
    <mergeCell ref="B38:B39"/>
    <mergeCell ref="C38:C39"/>
    <mergeCell ref="A40:U40"/>
    <mergeCell ref="C30:C32"/>
    <mergeCell ref="B30:B32"/>
    <mergeCell ref="A18:A32"/>
    <mergeCell ref="F33:F35"/>
    <mergeCell ref="E33:E35"/>
    <mergeCell ref="D33:D35"/>
    <mergeCell ref="C33:C35"/>
    <mergeCell ref="B33:B35"/>
    <mergeCell ref="A33:A37"/>
    <mergeCell ref="F22:F24"/>
    <mergeCell ref="E22:E24"/>
    <mergeCell ref="D22:D2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C5BA-8AFD-466F-828F-257E7B82987E}">
  <dimension ref="A1:AD200"/>
  <sheetViews>
    <sheetView showGridLines="0" topLeftCell="A36" workbookViewId="0">
      <selection activeCell="L48" sqref="L48:M51"/>
    </sheetView>
  </sheetViews>
  <sheetFormatPr defaultColWidth="9.109375" defaultRowHeight="12" customHeight="1" x14ac:dyDescent="0.2"/>
  <cols>
    <col min="1" max="1" width="10.5546875" style="16" bestFit="1" customWidth="1"/>
    <col min="2" max="2" width="14.44140625" style="16" bestFit="1" customWidth="1"/>
    <col min="3" max="3" width="18.44140625" style="16" bestFit="1" customWidth="1"/>
    <col min="4" max="4" width="15" style="16" bestFit="1" customWidth="1"/>
    <col min="5" max="5" width="14.5546875" style="16" bestFit="1" customWidth="1"/>
    <col min="6" max="6" width="4.44140625" style="16" bestFit="1" customWidth="1"/>
    <col min="7" max="11" width="9.109375" style="16"/>
    <col min="12" max="12" width="34.109375" style="16" bestFit="1" customWidth="1"/>
    <col min="13" max="13" width="10" style="16" bestFit="1" customWidth="1"/>
    <col min="14" max="14" width="36.109375" style="16" bestFit="1" customWidth="1"/>
    <col min="15" max="15" width="30.6640625" style="16" customWidth="1"/>
    <col min="16" max="16" width="13.109375" style="16" bestFit="1" customWidth="1"/>
    <col min="17" max="17" width="9.33203125" style="16" bestFit="1" customWidth="1"/>
    <col min="18" max="18" width="9.44140625" style="16" bestFit="1" customWidth="1"/>
    <col min="19" max="19" width="12.5546875" style="16" bestFit="1" customWidth="1"/>
    <col min="20" max="20" width="15.44140625" style="16" bestFit="1" customWidth="1"/>
    <col min="21" max="21" width="10.88671875" style="16" bestFit="1" customWidth="1"/>
    <col min="22" max="22" width="13.33203125" style="16" bestFit="1" customWidth="1"/>
    <col min="23" max="23" width="5" style="16" bestFit="1" customWidth="1"/>
    <col min="24" max="24" width="49.44140625" style="16" bestFit="1" customWidth="1"/>
    <col min="25" max="26" width="5" style="16" bestFit="1" customWidth="1"/>
    <col min="27" max="27" width="2" style="16" bestFit="1" customWidth="1"/>
    <col min="28" max="16384" width="9.109375" style="16"/>
  </cols>
  <sheetData>
    <row r="1" spans="1:30" ht="12" customHeight="1" x14ac:dyDescent="0.2">
      <c r="A1" s="10" t="s">
        <v>508</v>
      </c>
      <c r="B1" s="10" t="s">
        <v>509</v>
      </c>
      <c r="C1" s="10" t="s">
        <v>510</v>
      </c>
      <c r="D1" s="10" t="s">
        <v>511</v>
      </c>
      <c r="E1" s="10" t="s">
        <v>512</v>
      </c>
      <c r="F1" s="10" t="s">
        <v>513</v>
      </c>
      <c r="G1" s="7"/>
      <c r="H1" s="7"/>
      <c r="I1" s="7"/>
      <c r="J1" s="7"/>
      <c r="K1" s="7"/>
      <c r="L1" s="114" t="s">
        <v>514</v>
      </c>
      <c r="M1" s="114"/>
      <c r="N1" s="7"/>
      <c r="O1" s="118" t="s">
        <v>601</v>
      </c>
      <c r="P1" s="119"/>
      <c r="Q1" s="119"/>
      <c r="R1" s="119"/>
      <c r="S1" s="119"/>
      <c r="T1" s="119"/>
      <c r="U1" s="119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115" t="s">
        <v>470</v>
      </c>
      <c r="B2" s="115" t="s">
        <v>471</v>
      </c>
      <c r="C2" s="18" t="s">
        <v>555</v>
      </c>
      <c r="D2" s="15">
        <v>234949.90172849185</v>
      </c>
      <c r="E2" s="15"/>
      <c r="F2" s="15"/>
      <c r="G2" s="17"/>
      <c r="H2" s="17"/>
      <c r="I2" s="17"/>
      <c r="J2" s="17"/>
      <c r="K2" s="17"/>
      <c r="L2" s="32" t="s">
        <v>515</v>
      </c>
      <c r="M2" s="80">
        <v>0.17810000000000001</v>
      </c>
      <c r="N2" s="17"/>
      <c r="O2" s="44" t="s">
        <v>602</v>
      </c>
      <c r="P2" s="44" t="s">
        <v>603</v>
      </c>
      <c r="Q2" s="44" t="s">
        <v>604</v>
      </c>
      <c r="R2" s="44" t="s">
        <v>37</v>
      </c>
      <c r="S2" s="44" t="s">
        <v>605</v>
      </c>
      <c r="T2" s="44" t="s">
        <v>82</v>
      </c>
      <c r="U2" s="44"/>
      <c r="V2" s="17"/>
      <c r="W2" s="17"/>
      <c r="X2" s="32" t="s">
        <v>568</v>
      </c>
      <c r="Y2" s="17"/>
      <c r="Z2" s="17"/>
      <c r="AA2" s="17" t="s">
        <v>613</v>
      </c>
      <c r="AB2" s="17"/>
      <c r="AC2" s="17"/>
      <c r="AD2" s="17"/>
    </row>
    <row r="3" spans="1:30" ht="12" customHeight="1" x14ac:dyDescent="0.2">
      <c r="A3" s="116"/>
      <c r="B3" s="116"/>
      <c r="C3" s="18" t="s">
        <v>472</v>
      </c>
      <c r="D3" s="15">
        <v>54052.861712467515</v>
      </c>
      <c r="E3" s="15">
        <v>-431.13707121974284</v>
      </c>
      <c r="F3" s="15">
        <v>0</v>
      </c>
      <c r="G3" s="17"/>
      <c r="H3" s="17"/>
      <c r="I3" s="17"/>
      <c r="J3" s="17"/>
      <c r="K3" s="17"/>
      <c r="L3" s="32" t="s">
        <v>516</v>
      </c>
      <c r="M3" s="80"/>
      <c r="N3" s="17"/>
      <c r="O3" s="45">
        <v>1</v>
      </c>
      <c r="P3" s="78">
        <v>1</v>
      </c>
      <c r="Q3" s="78">
        <v>1</v>
      </c>
      <c r="R3" s="78">
        <v>1</v>
      </c>
      <c r="S3" s="78">
        <v>1</v>
      </c>
      <c r="T3" s="78">
        <v>1</v>
      </c>
      <c r="U3" s="45" t="s">
        <v>606</v>
      </c>
      <c r="V3" s="17"/>
      <c r="W3" s="17"/>
      <c r="X3" s="32" t="s">
        <v>569</v>
      </c>
      <c r="Y3" s="17"/>
      <c r="Z3" s="17"/>
      <c r="AA3" s="17">
        <v>0</v>
      </c>
      <c r="AB3" s="17"/>
      <c r="AC3" s="17"/>
      <c r="AD3" s="17"/>
    </row>
    <row r="4" spans="1:30" ht="12" customHeight="1" x14ac:dyDescent="0.2">
      <c r="A4" s="116"/>
      <c r="B4" s="116"/>
      <c r="C4" s="18" t="s">
        <v>473</v>
      </c>
      <c r="D4" s="15">
        <f>$M$22-D$30</f>
        <v>0</v>
      </c>
      <c r="E4" s="15">
        <f>IF((D4+D$30)&lt;&gt;0,$M$20*D4/(D4+D$30),0)</f>
        <v>0</v>
      </c>
      <c r="F4" s="15">
        <f>IF((D4+D$30)&lt;&gt;0,$M$21*D4/(D4+D$30),0)</f>
        <v>0</v>
      </c>
      <c r="G4" s="17"/>
      <c r="H4" s="17"/>
      <c r="I4" s="17"/>
      <c r="J4" s="17"/>
      <c r="K4" s="17"/>
      <c r="L4" s="32" t="s">
        <v>517</v>
      </c>
      <c r="M4" s="80">
        <v>0.14770521805468251</v>
      </c>
      <c r="N4" s="17"/>
      <c r="O4" s="45">
        <v>1</v>
      </c>
      <c r="P4" s="78">
        <v>1</v>
      </c>
      <c r="Q4" s="78">
        <v>1</v>
      </c>
      <c r="R4" s="78">
        <v>1</v>
      </c>
      <c r="S4" s="78">
        <v>1</v>
      </c>
      <c r="T4" s="78">
        <v>1</v>
      </c>
      <c r="U4" s="45" t="s">
        <v>81</v>
      </c>
      <c r="V4" s="17"/>
      <c r="W4" s="17"/>
      <c r="X4" s="17"/>
      <c r="Y4" s="17"/>
      <c r="Z4" s="17"/>
      <c r="AA4" s="17"/>
      <c r="AB4" s="17"/>
      <c r="AC4" s="17"/>
      <c r="AD4" s="17"/>
    </row>
    <row r="5" spans="1:30" ht="12" customHeight="1" x14ac:dyDescent="0.2">
      <c r="A5" s="116"/>
      <c r="B5" s="116"/>
      <c r="C5" s="18" t="s">
        <v>474</v>
      </c>
      <c r="D5" s="15">
        <v>0</v>
      </c>
      <c r="E5" s="15"/>
      <c r="F5" s="15"/>
      <c r="G5" s="17"/>
      <c r="H5" s="17"/>
      <c r="I5" s="17"/>
      <c r="J5" s="17"/>
      <c r="K5" s="17"/>
      <c r="L5" s="32" t="s">
        <v>518</v>
      </c>
      <c r="M5" s="80">
        <v>1E-14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ht="12" customHeight="1" x14ac:dyDescent="0.2">
      <c r="A6" s="116"/>
      <c r="B6" s="116"/>
      <c r="C6" s="18" t="s">
        <v>475</v>
      </c>
      <c r="D6" s="15">
        <v>0</v>
      </c>
      <c r="E6" s="15">
        <v>0</v>
      </c>
      <c r="F6" s="15">
        <v>0</v>
      </c>
      <c r="G6" s="17"/>
      <c r="H6" s="17"/>
      <c r="I6" s="17"/>
      <c r="J6" s="17"/>
      <c r="K6" s="17"/>
      <c r="L6" s="32" t="s">
        <v>519</v>
      </c>
      <c r="M6" s="80">
        <v>0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ht="12" customHeight="1" x14ac:dyDescent="0.2">
      <c r="A7" s="116"/>
      <c r="B7" s="116"/>
      <c r="C7" s="18" t="s">
        <v>476</v>
      </c>
      <c r="D7" s="15">
        <v>1554108.6682800003</v>
      </c>
      <c r="E7" s="15">
        <v>-2603.3615549570059</v>
      </c>
      <c r="F7" s="15">
        <v>0</v>
      </c>
      <c r="G7" s="17"/>
      <c r="H7" s="17"/>
      <c r="I7" s="17"/>
      <c r="J7" s="17"/>
      <c r="K7" s="17"/>
      <c r="L7" s="32" t="s">
        <v>520</v>
      </c>
      <c r="M7" s="32">
        <f>M8+M9+M10+M11</f>
        <v>2454.9696999999942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ht="12" customHeight="1" x14ac:dyDescent="0.2">
      <c r="A8" s="116"/>
      <c r="B8" s="116"/>
      <c r="C8" s="18" t="s">
        <v>477</v>
      </c>
      <c r="D8" s="15">
        <v>265519.51470000012</v>
      </c>
      <c r="E8" s="15">
        <v>-119.12081097291502</v>
      </c>
      <c r="F8" s="15">
        <v>0</v>
      </c>
      <c r="G8" s="17"/>
      <c r="H8" s="17"/>
      <c r="I8" s="17"/>
      <c r="J8" s="17"/>
      <c r="K8" s="17"/>
      <c r="L8" s="81" t="s">
        <v>521</v>
      </c>
      <c r="M8" s="32">
        <v>1540.7310070646727</v>
      </c>
      <c r="N8" s="17"/>
      <c r="O8" s="32" t="s">
        <v>554</v>
      </c>
      <c r="P8" s="45">
        <v>0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ht="12" customHeight="1" x14ac:dyDescent="0.2">
      <c r="A9" s="116"/>
      <c r="B9" s="116"/>
      <c r="C9" s="18" t="s">
        <v>478</v>
      </c>
      <c r="D9" s="15"/>
      <c r="E9" s="15"/>
      <c r="F9" s="15"/>
      <c r="G9" s="17"/>
      <c r="H9" s="17"/>
      <c r="I9" s="17"/>
      <c r="J9" s="17"/>
      <c r="K9" s="17"/>
      <c r="L9" s="82" t="s">
        <v>522</v>
      </c>
      <c r="M9" s="32">
        <v>914.23869293532152</v>
      </c>
      <c r="N9" s="17"/>
      <c r="O9" s="32" t="s">
        <v>559</v>
      </c>
      <c r="P9" s="45">
        <f>SUM(Mercado_Receita!$J$2:$J$475)</f>
        <v>21801</v>
      </c>
      <c r="Q9" s="45">
        <v>21801</v>
      </c>
      <c r="R9" s="45" t="str">
        <f>IF(ABS(P9-Q9)&gt;1,"ERRO BADNET","OK BADNET")</f>
        <v>OK BADNET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ht="12" customHeight="1" x14ac:dyDescent="0.2">
      <c r="A10" s="116"/>
      <c r="B10" s="117"/>
      <c r="C10" s="18" t="s">
        <v>479</v>
      </c>
      <c r="D10" s="15">
        <f>SUM(D$2:D9)</f>
        <v>2108630.9464209597</v>
      </c>
      <c r="E10" s="15">
        <f>SUM(E$2:E9)</f>
        <v>-3153.6194371496636</v>
      </c>
      <c r="F10" s="15">
        <f>SUM(F$2:F9)</f>
        <v>0</v>
      </c>
      <c r="G10" s="17"/>
      <c r="H10" s="17"/>
      <c r="I10" s="17"/>
      <c r="J10" s="17"/>
      <c r="K10" s="17"/>
      <c r="L10" s="81" t="s">
        <v>523</v>
      </c>
      <c r="M10" s="32">
        <v>0</v>
      </c>
      <c r="N10" s="17"/>
      <c r="O10" s="32" t="s">
        <v>560</v>
      </c>
      <c r="P10" s="45">
        <f>SUM(Mercado_Receita!$L$2:$L$475)</f>
        <v>18970.478000000014</v>
      </c>
      <c r="Q10" s="45">
        <v>18970.477999999999</v>
      </c>
      <c r="R10" s="45" t="str">
        <f>IF(ABS(P10-Q10)&gt;1,"ERRO BADNET","OK BADNET")</f>
        <v>OK BADNET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ht="12" customHeight="1" x14ac:dyDescent="0.2">
      <c r="A11" s="116"/>
      <c r="B11" s="115" t="s">
        <v>480</v>
      </c>
      <c r="C11" s="18" t="s">
        <v>481</v>
      </c>
      <c r="D11" s="15">
        <v>0</v>
      </c>
      <c r="E11" s="15">
        <v>0</v>
      </c>
      <c r="F11" s="15">
        <f>IF((+$D$11+$D$12+$D$16+$D$17+$D$38)&lt;&gt;0,$M$19*$D$11/(+$D$11+$D$12+$D$16+$D$17+$D$38),0)</f>
        <v>0</v>
      </c>
      <c r="G11" s="17"/>
      <c r="H11" s="17"/>
      <c r="I11" s="17"/>
      <c r="J11" s="17"/>
      <c r="K11" s="17"/>
      <c r="L11" s="81" t="s">
        <v>524</v>
      </c>
      <c r="M11" s="32">
        <v>0</v>
      </c>
      <c r="N11" s="17"/>
      <c r="O11" s="32" t="s">
        <v>561</v>
      </c>
      <c r="P11" s="45">
        <f>SUM(Mercado_Receita!$N$2:$N$475)</f>
        <v>18970.478000000014</v>
      </c>
      <c r="Q11" s="45">
        <v>18970.477999999999</v>
      </c>
      <c r="R11" s="45" t="str">
        <f>IF(ABS(P11-Q11)&gt;1,"ERRO BADNET","OK BADNET")</f>
        <v>OK BADNET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ht="12" customHeight="1" x14ac:dyDescent="0.2">
      <c r="A12" s="116"/>
      <c r="B12" s="116"/>
      <c r="C12" s="18" t="s">
        <v>482</v>
      </c>
      <c r="D12" s="15">
        <v>0</v>
      </c>
      <c r="E12" s="15">
        <v>0</v>
      </c>
      <c r="F12" s="15">
        <f>IF((+$D$11+$D$12+$D$16+$D$17+$D$38)&lt;&gt;0,$M$19*$D$12/(+$D$11+$D$12+$D$16+$D$17+$D$38),0)</f>
        <v>0</v>
      </c>
      <c r="G12" s="17"/>
      <c r="H12" s="17"/>
      <c r="I12" s="17"/>
      <c r="J12" s="17"/>
      <c r="K12" s="17"/>
      <c r="L12" s="32" t="s">
        <v>525</v>
      </c>
      <c r="M12" s="32">
        <v>21425.447700000001</v>
      </c>
      <c r="N12" s="17"/>
      <c r="O12" s="32" t="s">
        <v>562</v>
      </c>
      <c r="P12" s="45">
        <f>SUMIF('MERCADO TUSD'!$H$2:$H$48,"kW",'MERCADO TUSD'!$U$2:$U$48)</f>
        <v>21801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ht="12" customHeight="1" x14ac:dyDescent="0.2">
      <c r="A13" s="116"/>
      <c r="B13" s="116"/>
      <c r="C13" s="18" t="s">
        <v>483</v>
      </c>
      <c r="D13" s="15">
        <f>-$M$51+0</f>
        <v>0</v>
      </c>
      <c r="E13" s="15"/>
      <c r="F13" s="15"/>
      <c r="G13" s="17"/>
      <c r="H13" s="17"/>
      <c r="I13" s="17"/>
      <c r="J13" s="17"/>
      <c r="K13" s="17"/>
      <c r="L13" s="32" t="s">
        <v>526</v>
      </c>
      <c r="M13" s="32">
        <v>368.30368233602411</v>
      </c>
      <c r="N13" s="17"/>
      <c r="O13" s="32" t="s">
        <v>563</v>
      </c>
      <c r="P13" s="45">
        <f>SUMIF('MERCADO TUSD'!$H$2:$H$48,"MWh",'MERCADO TUSD'!$U$2:$U$48)</f>
        <v>18970.477999999996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ht="12" customHeight="1" x14ac:dyDescent="0.2">
      <c r="A14" s="116"/>
      <c r="B14" s="116"/>
      <c r="C14" s="18" t="s">
        <v>484</v>
      </c>
      <c r="D14" s="15"/>
      <c r="E14" s="15"/>
      <c r="F14" s="15"/>
      <c r="G14" s="17"/>
      <c r="H14" s="17"/>
      <c r="I14" s="17"/>
      <c r="J14" s="17"/>
      <c r="K14" s="17"/>
      <c r="L14" s="32" t="s">
        <v>527</v>
      </c>
      <c r="M14" s="32">
        <v>234.54807473139553</v>
      </c>
      <c r="N14" s="17"/>
      <c r="O14" s="32" t="s">
        <v>564</v>
      </c>
      <c r="P14" s="45">
        <f>SUMIF('MERCADO TE'!$H$2:$H$39,"MWh",'MERCADO TE'!$U$2:$U$39)</f>
        <v>18970.477999999999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ht="12" customHeight="1" x14ac:dyDescent="0.2">
      <c r="A15" s="116"/>
      <c r="B15" s="116"/>
      <c r="C15" s="18" t="s">
        <v>485</v>
      </c>
      <c r="D15" s="15">
        <v>3775885.0549178002</v>
      </c>
      <c r="E15" s="15">
        <v>931940.46910175029</v>
      </c>
      <c r="F15" s="15">
        <v>0</v>
      </c>
      <c r="G15" s="17"/>
      <c r="H15" s="17"/>
      <c r="I15" s="17"/>
      <c r="J15" s="17"/>
      <c r="K15" s="17"/>
      <c r="L15" s="32" t="s">
        <v>528</v>
      </c>
      <c r="M15" s="32">
        <f>M14*M12</f>
        <v>5025297.5082932068</v>
      </c>
      <c r="N15" s="17"/>
      <c r="O15" s="32" t="s">
        <v>565</v>
      </c>
      <c r="P15" s="78" t="str">
        <f>IF(ABS(P9-P12)&gt;1,"ERRO","OK")</f>
        <v>OK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12" customHeight="1" x14ac:dyDescent="0.2">
      <c r="A16" s="116"/>
      <c r="B16" s="116"/>
      <c r="C16" s="18" t="s">
        <v>486</v>
      </c>
      <c r="D16" s="15">
        <v>0</v>
      </c>
      <c r="E16" s="15"/>
      <c r="F16" s="15">
        <f>IF((+$D$11+$D$12+$D$16+$D$17+$D$38)&lt;&gt;0,$M$19*$D$16/(+$D$11+$D$12+$D$16+$D$17+$D$38),0)</f>
        <v>0</v>
      </c>
      <c r="G16" s="17"/>
      <c r="H16" s="17"/>
      <c r="I16" s="17"/>
      <c r="J16" s="17"/>
      <c r="K16" s="17"/>
      <c r="L16" s="32" t="s">
        <v>529</v>
      </c>
      <c r="M16" s="32">
        <v>1528856.3010233606</v>
      </c>
      <c r="N16" s="17"/>
      <c r="O16" s="32" t="s">
        <v>566</v>
      </c>
      <c r="P16" s="78" t="str">
        <f>IF(ABS(P10-P13)&gt;1,"ERRO","OK")</f>
        <v>OK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ht="12" customHeight="1" x14ac:dyDescent="0.2">
      <c r="A17" s="116"/>
      <c r="B17" s="116"/>
      <c r="C17" s="18" t="s">
        <v>487</v>
      </c>
      <c r="D17" s="15">
        <v>0</v>
      </c>
      <c r="E17" s="15"/>
      <c r="F17" s="15">
        <f>IF((+$D$11+$D$12+$D$16+$D$17+$D$38)&lt;&gt;0,$M$19*$D$17/(+$D$11+$D$12+$D$16+$D$17+$D$38),0)</f>
        <v>0</v>
      </c>
      <c r="G17" s="17"/>
      <c r="H17" s="17"/>
      <c r="I17" s="17"/>
      <c r="J17" s="17"/>
      <c r="K17" s="17"/>
      <c r="L17" s="32" t="s">
        <v>530</v>
      </c>
      <c r="M17" s="32">
        <v>0</v>
      </c>
      <c r="N17" s="17"/>
      <c r="O17" s="32" t="s">
        <v>567</v>
      </c>
      <c r="P17" s="78" t="str">
        <f>IF(ABS(P11-P14)&gt;1,"ERRO","OK")</f>
        <v>OK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ht="12" customHeight="1" x14ac:dyDescent="0.2">
      <c r="A18" s="116"/>
      <c r="B18" s="117"/>
      <c r="C18" s="18" t="s">
        <v>479</v>
      </c>
      <c r="D18" s="15">
        <f>SUM(D$11:D17)</f>
        <v>3775885.0549178002</v>
      </c>
      <c r="E18" s="15">
        <f>SUM(E$11:E17)</f>
        <v>931940.46910175029</v>
      </c>
      <c r="F18" s="15">
        <f>SUM(F$11:F17)</f>
        <v>0</v>
      </c>
      <c r="G18" s="17"/>
      <c r="H18" s="17"/>
      <c r="I18" s="17"/>
      <c r="J18" s="17"/>
      <c r="K18" s="17"/>
      <c r="L18" s="32" t="s">
        <v>531</v>
      </c>
      <c r="M18" s="32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 ht="12" customHeight="1" x14ac:dyDescent="0.2">
      <c r="A19" s="116"/>
      <c r="B19" s="115" t="s">
        <v>488</v>
      </c>
      <c r="C19" s="18" t="s">
        <v>489</v>
      </c>
      <c r="D19" s="15">
        <v>11057461.609999999</v>
      </c>
      <c r="E19" s="15">
        <v>-2105190.4988346547</v>
      </c>
      <c r="F19" s="15">
        <v>0</v>
      </c>
      <c r="G19" s="17"/>
      <c r="H19" s="17"/>
      <c r="I19" s="17"/>
      <c r="J19" s="17"/>
      <c r="K19" s="17"/>
      <c r="L19" s="32" t="s">
        <v>532</v>
      </c>
      <c r="M19" s="32">
        <v>0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ht="12" customHeight="1" x14ac:dyDescent="0.2">
      <c r="A20" s="116"/>
      <c r="B20" s="117"/>
      <c r="C20" s="18" t="s">
        <v>479</v>
      </c>
      <c r="D20" s="15">
        <f>SUM(D$19:D19)</f>
        <v>11057461.609999999</v>
      </c>
      <c r="E20" s="15">
        <f>SUM(E$19:E19)</f>
        <v>-2105190.4988346547</v>
      </c>
      <c r="F20" s="15">
        <f>SUM(F$19:F19)</f>
        <v>0</v>
      </c>
      <c r="G20" s="17"/>
      <c r="H20" s="17"/>
      <c r="I20" s="17"/>
      <c r="J20" s="17"/>
      <c r="K20" s="17"/>
      <c r="L20" s="32" t="s">
        <v>533</v>
      </c>
      <c r="M20" s="32">
        <v>0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ht="12" customHeight="1" x14ac:dyDescent="0.2">
      <c r="A21" s="116"/>
      <c r="B21" s="115" t="s">
        <v>490</v>
      </c>
      <c r="C21" s="18" t="s">
        <v>491</v>
      </c>
      <c r="D21" s="15"/>
      <c r="E21" s="15">
        <f>IF($D$46&lt;&gt;0,(1-$D$45/$D$46)*0,0)+0</f>
        <v>0</v>
      </c>
      <c r="F21" s="15"/>
      <c r="G21" s="17"/>
      <c r="H21" s="17"/>
      <c r="I21" s="17"/>
      <c r="J21" s="17"/>
      <c r="K21" s="17"/>
      <c r="L21" s="32" t="s">
        <v>534</v>
      </c>
      <c r="M21" s="32">
        <v>0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spans="1:30" ht="12" customHeight="1" x14ac:dyDescent="0.2">
      <c r="A22" s="116"/>
      <c r="B22" s="116"/>
      <c r="C22" s="18" t="s">
        <v>492</v>
      </c>
      <c r="D22" s="15"/>
      <c r="E22" s="15"/>
      <c r="F22" s="15"/>
      <c r="G22" s="17"/>
      <c r="H22" s="17"/>
      <c r="I22" s="17"/>
      <c r="J22" s="17"/>
      <c r="K22" s="17"/>
      <c r="L22" s="32" t="s">
        <v>556</v>
      </c>
      <c r="M22" s="32">
        <v>0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ht="12" customHeight="1" x14ac:dyDescent="0.2">
      <c r="A23" s="116"/>
      <c r="B23" s="117"/>
      <c r="C23" s="18" t="s">
        <v>479</v>
      </c>
      <c r="D23" s="15">
        <f>SUM(D$21:D22)</f>
        <v>0</v>
      </c>
      <c r="E23" s="15">
        <f>SUM(E$21:E22)</f>
        <v>0</v>
      </c>
      <c r="F23" s="15">
        <f>SUM(F$21:F22)</f>
        <v>0</v>
      </c>
      <c r="G23" s="17"/>
      <c r="H23" s="17"/>
      <c r="I23" s="17"/>
      <c r="J23" s="17"/>
      <c r="K23" s="17"/>
      <c r="L23" s="32" t="s">
        <v>535</v>
      </c>
      <c r="M23" s="32">
        <v>15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 ht="12" customHeight="1" x14ac:dyDescent="0.2">
      <c r="A24" s="116"/>
      <c r="B24" s="115" t="s">
        <v>493</v>
      </c>
      <c r="C24" s="18" t="s">
        <v>494</v>
      </c>
      <c r="D24" s="15">
        <f>$M$14*$M$8</f>
        <v>361375.49138598313</v>
      </c>
      <c r="E24" s="15">
        <f>$M$16*$M$8/$M$12</f>
        <v>109941.98773885565</v>
      </c>
      <c r="F24" s="15">
        <f>$M$17*$M$8/$M$12</f>
        <v>0</v>
      </c>
      <c r="G24" s="17"/>
      <c r="H24" s="17"/>
      <c r="I24" s="17"/>
      <c r="J24" s="17"/>
      <c r="K24" s="17"/>
      <c r="L24" s="32" t="s">
        <v>536</v>
      </c>
      <c r="M24" s="32">
        <v>0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1:30" ht="12" customHeight="1" x14ac:dyDescent="0.2">
      <c r="A25" s="116"/>
      <c r="B25" s="116"/>
      <c r="C25" s="18" t="s">
        <v>495</v>
      </c>
      <c r="D25" s="15">
        <f>$M$14*$M$10</f>
        <v>0</v>
      </c>
      <c r="E25" s="15">
        <f>$M$16*$M$10/$M$12</f>
        <v>0</v>
      </c>
      <c r="F25" s="15">
        <f>$M$17*$M$10/$M$12</f>
        <v>0</v>
      </c>
      <c r="G25" s="17"/>
      <c r="H25" s="17"/>
      <c r="I25" s="17"/>
      <c r="J25" s="17"/>
      <c r="K25" s="17"/>
      <c r="L25" s="32" t="s">
        <v>537</v>
      </c>
      <c r="M25" s="32">
        <v>0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1:30" ht="12" customHeight="1" x14ac:dyDescent="0.2">
      <c r="A26" s="116"/>
      <c r="B26" s="116"/>
      <c r="C26" s="18" t="s">
        <v>496</v>
      </c>
      <c r="D26" s="15">
        <f>$M$14*$M$9</f>
        <v>214432.92527292715</v>
      </c>
      <c r="E26" s="15">
        <f>$M$16*$M$9/$M$12</f>
        <v>65237.357272750363</v>
      </c>
      <c r="F26" s="15">
        <f>$M$17*$M$9/$M$12</f>
        <v>0</v>
      </c>
      <c r="G26" s="17"/>
      <c r="H26" s="17"/>
      <c r="I26" s="17"/>
      <c r="J26" s="17"/>
      <c r="K26" s="17"/>
      <c r="L26" s="32" t="s">
        <v>538</v>
      </c>
      <c r="M26" s="32">
        <v>0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 ht="12" customHeight="1" x14ac:dyDescent="0.2">
      <c r="A27" s="116"/>
      <c r="B27" s="116"/>
      <c r="C27" s="18" t="s">
        <v>497</v>
      </c>
      <c r="D27" s="15"/>
      <c r="E27" s="15"/>
      <c r="F27" s="15"/>
      <c r="G27" s="17"/>
      <c r="H27" s="17"/>
      <c r="I27" s="17"/>
      <c r="J27" s="17"/>
      <c r="K27" s="17"/>
      <c r="L27" s="32" t="s">
        <v>539</v>
      </c>
      <c r="M27" s="32">
        <v>0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ht="12" customHeight="1" x14ac:dyDescent="0.2">
      <c r="A28" s="116"/>
      <c r="B28" s="117"/>
      <c r="C28" s="18" t="s">
        <v>479</v>
      </c>
      <c r="D28" s="15">
        <f>SUM(D$24:D27)</f>
        <v>575808.41665891022</v>
      </c>
      <c r="E28" s="15">
        <f>SUM(E$24:E27)</f>
        <v>175179.345011606</v>
      </c>
      <c r="F28" s="15">
        <f>SUM(F$24:F27)</f>
        <v>0</v>
      </c>
      <c r="G28" s="17"/>
      <c r="H28" s="17"/>
      <c r="I28" s="17"/>
      <c r="J28" s="17"/>
      <c r="K28" s="17"/>
      <c r="L28" s="32" t="s">
        <v>540</v>
      </c>
      <c r="M28" s="32">
        <v>0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ht="12" customHeight="1" x14ac:dyDescent="0.2">
      <c r="A29" s="117"/>
      <c r="B29" s="111" t="s">
        <v>479</v>
      </c>
      <c r="C29" s="113"/>
      <c r="D29" s="15">
        <f>SUMIF(C$2:C28,"SUBTOTAL",D$2:D28)</f>
        <v>17517786.027997669</v>
      </c>
      <c r="E29" s="15">
        <f>SUMIF(C$2:C28,"SUBTOTAL",E$2:E28)</f>
        <v>-1001224.3041584481</v>
      </c>
      <c r="F29" s="15">
        <f>SUMIF(C$2:C28,"SUBTOTAL",F$2:F28)</f>
        <v>0</v>
      </c>
      <c r="G29" s="17"/>
      <c r="H29" s="17"/>
      <c r="I29" s="17"/>
      <c r="J29" s="17"/>
      <c r="K29" s="17"/>
      <c r="L29" s="32" t="s">
        <v>541</v>
      </c>
      <c r="M29" s="32">
        <v>0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spans="1:30" ht="12" customHeight="1" x14ac:dyDescent="0.2">
      <c r="A30" s="115" t="s">
        <v>498</v>
      </c>
      <c r="B30" s="115" t="s">
        <v>471</v>
      </c>
      <c r="C30" s="18" t="s">
        <v>473</v>
      </c>
      <c r="D30" s="15">
        <f>IFERROR($M$5*(+D$31+D$32+D$33+D$35+D$37+D$38+D$39+D$43)+($M$5^2)*(+D$31+D$32+D$33+D$35+D$37+D$38+D$39+D$43)/$M$22*(+$E$2+$F$2+$E$3+$F$3+$E$8+$F$8+$E$9+$F$9+$E$11+$F$11+$E$12+$F$12+$E$13+$F$13+$E$14+$F$14+$E$15+$F$15+$E$16+$F$16+$E$17+$F$17+$E$19+$F$19+$E$22+$F$22+$E$24+$F$24+$E$25+$F$25+$E$26+$F$26+$E$27+$F$27+$E$31+$F$31+$E$32+$F$32+$E$33+$F$33+$E$35+$F$35+$E$37+$F$37+$E$38+$F$38+$E$39+$F$39+$E$43+$F$43),0)</f>
        <v>0</v>
      </c>
      <c r="E30" s="15">
        <f>IF((D30+D$4)&lt;&gt;0,$M$20*D30/(D30+D$4),0)</f>
        <v>0</v>
      </c>
      <c r="F30" s="15">
        <f>IF((D30+D$4)&lt;&gt;0,$M$21*D30/(D30+D$4),0)</f>
        <v>0</v>
      </c>
      <c r="G30" s="17"/>
      <c r="H30" s="17"/>
      <c r="I30" s="17"/>
      <c r="J30" s="17"/>
      <c r="K30" s="17"/>
      <c r="L30" s="32" t="s">
        <v>542</v>
      </c>
      <c r="M30" s="32">
        <v>0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spans="1:30" ht="12" customHeight="1" x14ac:dyDescent="0.2">
      <c r="A31" s="116"/>
      <c r="B31" s="116"/>
      <c r="C31" s="18" t="s">
        <v>499</v>
      </c>
      <c r="D31" s="15">
        <v>0</v>
      </c>
      <c r="E31" s="15">
        <v>0</v>
      </c>
      <c r="F31" s="15">
        <v>0</v>
      </c>
      <c r="G31" s="17"/>
      <c r="H31" s="17"/>
      <c r="I31" s="17"/>
      <c r="J31" s="17"/>
      <c r="K31" s="17"/>
      <c r="L31" s="32" t="s">
        <v>543</v>
      </c>
      <c r="M31" s="32">
        <v>0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spans="1:30" ht="12" customHeight="1" x14ac:dyDescent="0.2">
      <c r="A32" s="116"/>
      <c r="B32" s="116"/>
      <c r="C32" s="18" t="s">
        <v>500</v>
      </c>
      <c r="D32" s="15">
        <v>0</v>
      </c>
      <c r="E32" s="15">
        <v>0</v>
      </c>
      <c r="F32" s="15">
        <v>0</v>
      </c>
      <c r="G32" s="17"/>
      <c r="H32" s="17"/>
      <c r="I32" s="17"/>
      <c r="J32" s="17"/>
      <c r="K32" s="17"/>
      <c r="L32" s="32" t="s">
        <v>544</v>
      </c>
      <c r="M32" s="83">
        <v>0.45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ht="12" customHeight="1" x14ac:dyDescent="0.2">
      <c r="A33" s="116"/>
      <c r="B33" s="116"/>
      <c r="C33" s="18" t="s">
        <v>558</v>
      </c>
      <c r="D33" s="15"/>
      <c r="E33" s="15">
        <v>0</v>
      </c>
      <c r="F33" s="15">
        <v>0</v>
      </c>
      <c r="G33" s="17"/>
      <c r="H33" s="17"/>
      <c r="I33" s="17"/>
      <c r="J33" s="17"/>
      <c r="K33" s="17"/>
      <c r="L33" s="32" t="s">
        <v>545</v>
      </c>
      <c r="M33" s="83">
        <v>0.4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spans="1:30" ht="12" customHeight="1" x14ac:dyDescent="0.2">
      <c r="A34" s="116"/>
      <c r="B34" s="117"/>
      <c r="C34" s="18" t="s">
        <v>479</v>
      </c>
      <c r="D34" s="15">
        <f>SUM(D$30:D33)</f>
        <v>0</v>
      </c>
      <c r="E34" s="15">
        <f>SUM(E$30:E33)</f>
        <v>0</v>
      </c>
      <c r="F34" s="15">
        <f>SUM(F$30:F33)</f>
        <v>0</v>
      </c>
      <c r="G34" s="17"/>
      <c r="H34" s="17"/>
      <c r="I34" s="17"/>
      <c r="J34" s="17"/>
      <c r="K34" s="17"/>
      <c r="L34" s="32" t="s">
        <v>546</v>
      </c>
      <c r="M34" s="32">
        <v>0.65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spans="1:30" ht="12" customHeight="1" x14ac:dyDescent="0.2">
      <c r="A35" s="116"/>
      <c r="B35" s="115" t="s">
        <v>501</v>
      </c>
      <c r="C35" s="18" t="s">
        <v>502</v>
      </c>
      <c r="D35" s="15">
        <f>$M$14*($M$12-$M$7)</f>
        <v>4449489.0916342959</v>
      </c>
      <c r="E35" s="15">
        <f>$M$16*($M$12-$M$7)/$M$12</f>
        <v>1353676.9560117545</v>
      </c>
      <c r="F35" s="15">
        <f>$M$17*($M$12-$M$7)/$M$12</f>
        <v>0</v>
      </c>
      <c r="G35" s="17"/>
      <c r="H35" s="17"/>
      <c r="I35" s="17"/>
      <c r="J35" s="17"/>
      <c r="K35" s="17"/>
      <c r="L35" s="32" t="s">
        <v>547</v>
      </c>
      <c r="M35" s="32">
        <v>0.4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ht="12" customHeight="1" x14ac:dyDescent="0.2">
      <c r="A36" s="116"/>
      <c r="B36" s="117"/>
      <c r="C36" s="18" t="s">
        <v>479</v>
      </c>
      <c r="D36" s="15">
        <f>SUM(D$35:D35)</f>
        <v>4449489.0916342959</v>
      </c>
      <c r="E36" s="15">
        <f>SUM(E$35:E35)</f>
        <v>1353676.9560117545</v>
      </c>
      <c r="F36" s="15">
        <f>SUM(F$35:F35)</f>
        <v>0</v>
      </c>
      <c r="G36" s="17"/>
      <c r="H36" s="17"/>
      <c r="I36" s="17"/>
      <c r="J36" s="17"/>
      <c r="K36" s="17"/>
      <c r="L36" s="32" t="s">
        <v>548</v>
      </c>
      <c r="M36" s="32">
        <v>0.1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ht="12" customHeight="1" x14ac:dyDescent="0.2">
      <c r="A37" s="116"/>
      <c r="B37" s="115" t="s">
        <v>480</v>
      </c>
      <c r="C37" s="18" t="s">
        <v>503</v>
      </c>
      <c r="D37" s="15">
        <v>0</v>
      </c>
      <c r="E37" s="15">
        <v>0</v>
      </c>
      <c r="F37" s="15">
        <v>0</v>
      </c>
      <c r="G37" s="17"/>
      <c r="H37" s="17"/>
      <c r="I37" s="17"/>
      <c r="J37" s="17"/>
      <c r="K37" s="17"/>
      <c r="L37" s="32" t="s">
        <v>549</v>
      </c>
      <c r="M37" s="32">
        <v>0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ht="12" customHeight="1" x14ac:dyDescent="0.2">
      <c r="A38" s="116"/>
      <c r="B38" s="116"/>
      <c r="C38" s="18" t="s">
        <v>504</v>
      </c>
      <c r="D38" s="15">
        <v>0</v>
      </c>
      <c r="E38" s="15">
        <v>0</v>
      </c>
      <c r="F38" s="15">
        <f>IF((+$D$11+$D$12+$D$16+$D$17+$D$38)&lt;&gt;0,$M$19*$D$38/(+$D$11+$D$12+$D$16+$D$17+$D$38),0)</f>
        <v>0</v>
      </c>
      <c r="G38" s="17"/>
      <c r="H38" s="17"/>
      <c r="I38" s="17"/>
      <c r="J38" s="17"/>
      <c r="K38" s="17"/>
      <c r="L38" s="32" t="s">
        <v>550</v>
      </c>
      <c r="M38" s="32">
        <f>IFERROR(VLOOKUP("Convencional1RuralNão se aplicaRURALB2",Descontos!B1:U88,VLOOKUP("Convencional1RuralNão se aplicaRURALB2",Descontos!B1:U88,20,FALSE)+12,FALSE),100)</f>
        <v>0.06</v>
      </c>
      <c r="N38" s="17" t="s">
        <v>607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ht="12" customHeight="1" x14ac:dyDescent="0.2">
      <c r="A39" s="116"/>
      <c r="B39" s="116"/>
      <c r="C39" s="18" t="s">
        <v>505</v>
      </c>
      <c r="D39" s="15"/>
      <c r="E39" s="15"/>
      <c r="F39" s="15"/>
      <c r="G39" s="17"/>
      <c r="H39" s="17"/>
      <c r="I39" s="17"/>
      <c r="J39" s="17"/>
      <c r="K39" s="17"/>
      <c r="L39" s="32" t="s">
        <v>551</v>
      </c>
      <c r="M39" s="32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7">
        <v>0.3</v>
      </c>
      <c r="O39" s="17" t="s">
        <v>624</v>
      </c>
      <c r="P39" s="17" t="s">
        <v>625</v>
      </c>
      <c r="Q39" s="17" t="s">
        <v>626</v>
      </c>
      <c r="R39" s="17" t="s">
        <v>627</v>
      </c>
      <c r="S39" s="17" t="s">
        <v>1</v>
      </c>
      <c r="T39" s="17" t="s">
        <v>628</v>
      </c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ht="12" customHeight="1" x14ac:dyDescent="0.3">
      <c r="A40" s="116"/>
      <c r="B40" s="117"/>
      <c r="C40" s="18" t="s">
        <v>479</v>
      </c>
      <c r="D40" s="15">
        <f>SUM(D$37:D39)</f>
        <v>0</v>
      </c>
      <c r="E40" s="15">
        <f>SUM(E$37:E39)</f>
        <v>0</v>
      </c>
      <c r="F40" s="15">
        <f>SUM(F$37:F39)</f>
        <v>0</v>
      </c>
      <c r="G40" s="17"/>
      <c r="H40" s="17"/>
      <c r="I40" s="17"/>
      <c r="J40" s="17"/>
      <c r="K40" s="17"/>
      <c r="L40" s="32" t="s">
        <v>552</v>
      </c>
      <c r="M40" s="32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7">
        <v>0.4</v>
      </c>
      <c r="O40" s="51"/>
      <c r="P40" s="51"/>
      <c r="Q40" s="51"/>
      <c r="R40" s="51"/>
      <c r="S40" s="51"/>
      <c r="T40" s="51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ht="12" customHeight="1" x14ac:dyDescent="0.3">
      <c r="A41" s="116"/>
      <c r="B41" s="115" t="s">
        <v>490</v>
      </c>
      <c r="C41" s="18" t="s">
        <v>491</v>
      </c>
      <c r="D41" s="15"/>
      <c r="E41" s="15">
        <f>IF($D$46&lt;&gt;0,($D$45/$D$46)* 0,0)+0</f>
        <v>0</v>
      </c>
      <c r="F41" s="15"/>
      <c r="G41" s="17"/>
      <c r="H41" s="17"/>
      <c r="I41" s="17"/>
      <c r="J41" s="17"/>
      <c r="K41" s="17"/>
      <c r="L41" s="17"/>
      <c r="M41" s="17"/>
      <c r="N41" s="17"/>
      <c r="O41" s="51"/>
      <c r="P41" s="51"/>
      <c r="Q41" s="51"/>
      <c r="R41" s="51"/>
      <c r="S41" s="51"/>
      <c r="T41" s="51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ht="12" customHeight="1" x14ac:dyDescent="0.3">
      <c r="A42" s="116"/>
      <c r="B42" s="117"/>
      <c r="C42" s="18" t="s">
        <v>479</v>
      </c>
      <c r="D42" s="15">
        <f>SUM(D$41:D41)</f>
        <v>0</v>
      </c>
      <c r="E42" s="15">
        <f>SUM(E$41:E41)</f>
        <v>0</v>
      </c>
      <c r="F42" s="15">
        <f>SUM(F$41:F41)</f>
        <v>0</v>
      </c>
      <c r="G42" s="17"/>
      <c r="H42" s="17"/>
      <c r="I42" s="17"/>
      <c r="J42" s="17"/>
      <c r="K42" s="17"/>
      <c r="L42" s="17"/>
      <c r="M42" s="17"/>
      <c r="N42" s="17"/>
      <c r="O42" s="51"/>
      <c r="P42" s="51"/>
      <c r="Q42" s="51"/>
      <c r="R42" s="51"/>
      <c r="S42" s="51"/>
      <c r="T42" s="51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ht="12" customHeight="1" x14ac:dyDescent="0.3">
      <c r="A43" s="116"/>
      <c r="B43" s="115" t="s">
        <v>493</v>
      </c>
      <c r="C43" s="18" t="s">
        <v>506</v>
      </c>
      <c r="D43" s="15">
        <f>$M$14*$M$11</f>
        <v>0</v>
      </c>
      <c r="E43" s="15">
        <f>$M$16*$M$11/$M$12</f>
        <v>0</v>
      </c>
      <c r="F43" s="15">
        <f>$M$17*$M$11/$M$12</f>
        <v>0</v>
      </c>
      <c r="G43" s="17"/>
      <c r="H43" s="17"/>
      <c r="I43" s="17"/>
      <c r="J43" s="17"/>
      <c r="K43" s="17"/>
      <c r="L43" s="17"/>
      <c r="M43" s="17"/>
      <c r="N43" s="17"/>
      <c r="O43" s="51"/>
      <c r="P43" s="51"/>
      <c r="Q43" s="51"/>
      <c r="R43" s="51"/>
      <c r="S43" s="51"/>
      <c r="T43" s="51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ht="12" customHeight="1" x14ac:dyDescent="0.3">
      <c r="A44" s="116"/>
      <c r="B44" s="117"/>
      <c r="C44" s="18" t="s">
        <v>479</v>
      </c>
      <c r="D44" s="15">
        <f>SUM(D$43:D43)</f>
        <v>0</v>
      </c>
      <c r="E44" s="15">
        <f>SUM(E$43:E43)</f>
        <v>0</v>
      </c>
      <c r="F44" s="15">
        <f>SUM(F$43:F43)</f>
        <v>0</v>
      </c>
      <c r="G44" s="17"/>
      <c r="H44" s="17"/>
      <c r="I44" s="17"/>
      <c r="J44" s="17"/>
      <c r="K44" s="17"/>
      <c r="L44" s="17"/>
      <c r="M44" s="17"/>
      <c r="N44" s="17"/>
      <c r="O44" s="51"/>
      <c r="P44" s="51"/>
      <c r="Q44" s="51"/>
      <c r="R44" s="51"/>
      <c r="S44" s="51"/>
      <c r="T44" s="51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1:30" ht="12" customHeight="1" x14ac:dyDescent="0.3">
      <c r="A45" s="117"/>
      <c r="B45" s="111" t="s">
        <v>479</v>
      </c>
      <c r="C45" s="113"/>
      <c r="D45" s="15">
        <f>SUMIF(C$30:C44,"SUBTOTAL",D$30:D44)</f>
        <v>4449489.0916342959</v>
      </c>
      <c r="E45" s="15">
        <f>SUMIF(C$30:C44,"SUBTOTAL",E$30:E44)</f>
        <v>1353676.9560117545</v>
      </c>
      <c r="F45" s="15">
        <f>SUMIF(C$30:C44,"SUBTOTAL",F$30:F44)</f>
        <v>0</v>
      </c>
      <c r="G45" s="17"/>
      <c r="H45" s="17"/>
      <c r="I45" s="17"/>
      <c r="J45" s="17"/>
      <c r="K45" s="17"/>
      <c r="L45" s="17"/>
      <c r="M45" s="17"/>
      <c r="N45" s="17"/>
      <c r="O45" s="51"/>
      <c r="P45" s="51"/>
      <c r="Q45" s="51"/>
      <c r="R45" s="51"/>
      <c r="S45" s="51"/>
      <c r="T45" s="51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1:30" ht="12" customHeight="1" x14ac:dyDescent="0.3">
      <c r="A46" s="111" t="s">
        <v>507</v>
      </c>
      <c r="B46" s="112"/>
      <c r="C46" s="113"/>
      <c r="D46" s="15">
        <f>SUMIF(C$2:C45,"SUBTOTAL",D$2:D45)</f>
        <v>21967275.119631965</v>
      </c>
      <c r="E46" s="15">
        <f>SUMIF(C$2:C45,"SUBTOTAL",E$2:E45)</f>
        <v>352452.65185330634</v>
      </c>
      <c r="F46" s="15">
        <f>SUMIF(C$2:C45,"SUBTOTAL",F$2:F45)</f>
        <v>0</v>
      </c>
      <c r="G46" s="17"/>
      <c r="H46" s="17"/>
      <c r="I46" s="17"/>
      <c r="J46" s="17"/>
      <c r="K46" s="17"/>
      <c r="L46" s="17"/>
      <c r="M46" s="17"/>
      <c r="N46" s="17"/>
      <c r="O46" s="51"/>
      <c r="P46" s="51"/>
      <c r="Q46" s="51"/>
      <c r="R46" s="51"/>
      <c r="S46" s="51"/>
      <c r="T46" s="51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1:30" ht="12" customHeight="1" x14ac:dyDescent="0.3">
      <c r="A47" s="109" t="s">
        <v>599</v>
      </c>
      <c r="B47" s="110"/>
      <c r="C47" s="110"/>
      <c r="D47" s="42">
        <f ca="1">'TUSD BE'!$AM$53+'TUSD BE'!$AM$57+'TE BE'!$AA$44</f>
        <v>21967275.119631965</v>
      </c>
      <c r="E47" s="42">
        <f ca="1">'TUSD BF'!$AM$53+'TE BF'!$AA$44</f>
        <v>352452.65185330645</v>
      </c>
      <c r="F47" s="42">
        <f ca="1">'TUSD CVA'!$AM$53+'TE CVA'!$AA$44</f>
        <v>0</v>
      </c>
      <c r="L47" s="9"/>
      <c r="M47" s="17"/>
      <c r="O47" s="51"/>
      <c r="P47" s="51"/>
      <c r="Q47" s="51"/>
      <c r="R47" s="51"/>
      <c r="S47" s="51"/>
      <c r="T47" s="51"/>
    </row>
    <row r="48" spans="1:30" ht="12" customHeight="1" x14ac:dyDescent="0.3">
      <c r="A48" s="109" t="s">
        <v>600</v>
      </c>
      <c r="B48" s="110"/>
      <c r="C48" s="110"/>
      <c r="D48" s="43" t="str">
        <f ca="1">IF(ABS(D47-D46)&gt;1,"ERRO","OK")</f>
        <v>OK</v>
      </c>
      <c r="E48" s="43" t="str">
        <f ca="1">IF(ABS(E47-E46)&gt;1,"ERRO","OK")</f>
        <v>OK</v>
      </c>
      <c r="F48" s="43" t="str">
        <f ca="1">IF(ABS(F47-F46)&gt;1,"ERRO","OK")</f>
        <v>OK</v>
      </c>
      <c r="L48" s="84"/>
      <c r="M48" s="32"/>
      <c r="O48" s="51"/>
      <c r="P48" s="51"/>
      <c r="Q48" s="51"/>
      <c r="R48" s="51"/>
      <c r="S48" s="51"/>
      <c r="T48" s="51"/>
    </row>
    <row r="49" spans="4:20" ht="12" customHeight="1" x14ac:dyDescent="0.3">
      <c r="L49" s="84"/>
      <c r="M49" s="32"/>
      <c r="O49" s="51"/>
      <c r="P49" s="51"/>
      <c r="Q49" s="51"/>
      <c r="R49" s="51"/>
      <c r="S49" s="51"/>
      <c r="T49" s="51"/>
    </row>
    <row r="50" spans="4:20" ht="12" customHeight="1" x14ac:dyDescent="0.3">
      <c r="D50" s="57">
        <f ca="1">SUM(D47:E47)</f>
        <v>22319727.771485273</v>
      </c>
      <c r="E50" s="57">
        <f ca="1">E47</f>
        <v>352452.65185330645</v>
      </c>
      <c r="L50" s="84"/>
      <c r="M50" s="32"/>
      <c r="O50" s="51"/>
      <c r="P50" s="51"/>
      <c r="Q50" s="51"/>
      <c r="R50" s="51"/>
      <c r="S50" s="51"/>
      <c r="T50" s="51"/>
    </row>
    <row r="51" spans="4:20" ht="12" customHeight="1" x14ac:dyDescent="0.3">
      <c r="D51" s="57">
        <v>22319727.771485277</v>
      </c>
      <c r="E51" s="57">
        <v>352452.65185330657</v>
      </c>
      <c r="L51" s="68" t="s">
        <v>553</v>
      </c>
      <c r="M51" s="74">
        <v>0</v>
      </c>
      <c r="O51" s="51"/>
      <c r="P51" s="51"/>
      <c r="Q51" s="51"/>
      <c r="R51" s="51"/>
      <c r="S51" s="51"/>
      <c r="T51" s="51"/>
    </row>
    <row r="52" spans="4:20" ht="12" customHeight="1" x14ac:dyDescent="0.3">
      <c r="D52" s="79">
        <f ca="1">D50-D51</f>
        <v>0</v>
      </c>
      <c r="E52" s="79">
        <f ca="1">E50-E51</f>
        <v>0</v>
      </c>
      <c r="O52" s="51"/>
      <c r="P52" s="51"/>
      <c r="Q52" s="51"/>
      <c r="R52" s="51"/>
      <c r="S52" s="51"/>
      <c r="T52" s="51"/>
    </row>
    <row r="53" spans="4:20" ht="12" customHeight="1" x14ac:dyDescent="0.3">
      <c r="D53" s="79">
        <f ca="1">EFEITO!AU9+SUM(SUBSIDIO!AJ2:AJ9)</f>
        <v>22319727.771484975</v>
      </c>
      <c r="O53" s="51"/>
      <c r="P53" s="51"/>
      <c r="Q53" s="51"/>
      <c r="R53" s="51"/>
      <c r="S53" s="51"/>
      <c r="T53" s="51"/>
    </row>
    <row r="54" spans="4:20" ht="12" customHeight="1" x14ac:dyDescent="0.3">
      <c r="O54" s="51"/>
      <c r="P54" s="51"/>
      <c r="Q54" s="51"/>
      <c r="R54" s="51"/>
      <c r="S54" s="51"/>
      <c r="T54" s="51"/>
    </row>
    <row r="55" spans="4:20" ht="12" customHeight="1" x14ac:dyDescent="0.3">
      <c r="O55" s="51"/>
      <c r="P55" s="51"/>
      <c r="Q55" s="51"/>
      <c r="R55" s="51"/>
      <c r="S55" s="51"/>
      <c r="T55" s="51"/>
    </row>
    <row r="56" spans="4:20" ht="12" customHeight="1" x14ac:dyDescent="0.3">
      <c r="O56" s="51"/>
      <c r="P56" s="51"/>
      <c r="Q56" s="51"/>
      <c r="R56" s="51"/>
      <c r="S56" s="51"/>
      <c r="T56" s="51"/>
    </row>
    <row r="57" spans="4:20" ht="12" customHeight="1" x14ac:dyDescent="0.3">
      <c r="O57" s="51"/>
      <c r="P57" s="51"/>
      <c r="Q57" s="51"/>
      <c r="R57" s="51"/>
      <c r="S57" s="51"/>
      <c r="T57" s="51"/>
    </row>
    <row r="58" spans="4:20" ht="12" customHeight="1" x14ac:dyDescent="0.3">
      <c r="O58" s="51"/>
      <c r="P58" s="51"/>
      <c r="Q58" s="51"/>
      <c r="R58" s="51"/>
      <c r="S58" s="51"/>
      <c r="T58" s="51"/>
    </row>
    <row r="59" spans="4:20" ht="12" customHeight="1" x14ac:dyDescent="0.3">
      <c r="O59" s="51"/>
      <c r="P59" s="51"/>
      <c r="Q59" s="51"/>
      <c r="R59" s="51"/>
      <c r="S59" s="51"/>
      <c r="T59" s="51"/>
    </row>
    <row r="60" spans="4:20" ht="12" customHeight="1" x14ac:dyDescent="0.3">
      <c r="O60" s="51"/>
      <c r="P60" s="51"/>
      <c r="Q60" s="51"/>
      <c r="R60" s="51"/>
      <c r="S60" s="51"/>
      <c r="T60" s="51"/>
    </row>
    <row r="61" spans="4:20" ht="12" customHeight="1" x14ac:dyDescent="0.3">
      <c r="O61" s="51"/>
      <c r="P61" s="51"/>
      <c r="Q61" s="51"/>
      <c r="R61" s="51"/>
      <c r="S61" s="51"/>
      <c r="T61" s="51"/>
    </row>
    <row r="62" spans="4:20" ht="12" customHeight="1" x14ac:dyDescent="0.3">
      <c r="O62" s="51"/>
      <c r="P62" s="51"/>
      <c r="Q62" s="51"/>
      <c r="R62" s="51"/>
      <c r="S62" s="51"/>
      <c r="T62" s="51"/>
    </row>
    <row r="63" spans="4:20" ht="12" customHeight="1" x14ac:dyDescent="0.3">
      <c r="O63" s="51"/>
      <c r="P63" s="51"/>
      <c r="Q63" s="51"/>
      <c r="R63" s="51"/>
      <c r="S63" s="51"/>
      <c r="T63" s="51"/>
    </row>
    <row r="64" spans="4:20" ht="12" customHeight="1" x14ac:dyDescent="0.3">
      <c r="O64" s="51"/>
      <c r="P64" s="51"/>
      <c r="Q64" s="51"/>
      <c r="R64" s="51"/>
      <c r="S64" s="51"/>
      <c r="T64" s="51"/>
    </row>
    <row r="65" spans="15:20" ht="12" customHeight="1" x14ac:dyDescent="0.3">
      <c r="O65" s="51"/>
      <c r="P65" s="51"/>
      <c r="Q65" s="51"/>
      <c r="R65" s="51"/>
      <c r="S65" s="51"/>
      <c r="T65" s="51"/>
    </row>
    <row r="66" spans="15:20" ht="12" customHeight="1" x14ac:dyDescent="0.3">
      <c r="O66" s="51"/>
      <c r="P66" s="51"/>
      <c r="Q66" s="51"/>
      <c r="R66" s="51"/>
      <c r="S66" s="51"/>
      <c r="T66" s="51"/>
    </row>
    <row r="67" spans="15:20" ht="12" customHeight="1" x14ac:dyDescent="0.3">
      <c r="O67" s="51"/>
      <c r="P67" s="51"/>
      <c r="Q67" s="51"/>
      <c r="R67" s="51"/>
      <c r="S67" s="51"/>
      <c r="T67" s="51"/>
    </row>
    <row r="68" spans="15:20" ht="12" customHeight="1" x14ac:dyDescent="0.3">
      <c r="O68" s="51"/>
      <c r="P68" s="51"/>
      <c r="Q68" s="51"/>
      <c r="R68" s="51"/>
      <c r="S68" s="51"/>
      <c r="T68" s="51"/>
    </row>
    <row r="69" spans="15:20" ht="12" customHeight="1" x14ac:dyDescent="0.3">
      <c r="O69" s="51"/>
      <c r="P69" s="51"/>
      <c r="Q69" s="51"/>
      <c r="R69" s="51"/>
      <c r="S69" s="51"/>
      <c r="T69" s="51"/>
    </row>
    <row r="70" spans="15:20" ht="12" customHeight="1" x14ac:dyDescent="0.3">
      <c r="O70" s="51"/>
      <c r="P70" s="51"/>
      <c r="Q70" s="51"/>
      <c r="R70" s="51"/>
      <c r="S70" s="51"/>
      <c r="T70" s="51"/>
    </row>
    <row r="71" spans="15:20" ht="12" customHeight="1" x14ac:dyDescent="0.3">
      <c r="O71" s="51"/>
      <c r="P71" s="51"/>
      <c r="Q71" s="51"/>
      <c r="R71" s="51"/>
      <c r="S71" s="51"/>
      <c r="T71" s="51"/>
    </row>
    <row r="72" spans="15:20" ht="12" customHeight="1" x14ac:dyDescent="0.3">
      <c r="O72" s="51"/>
      <c r="P72" s="51"/>
      <c r="Q72" s="51"/>
      <c r="R72" s="51"/>
      <c r="S72" s="51"/>
      <c r="T72" s="51"/>
    </row>
    <row r="73" spans="15:20" ht="12" customHeight="1" x14ac:dyDescent="0.3">
      <c r="O73" s="51"/>
      <c r="P73" s="51"/>
      <c r="Q73" s="51"/>
      <c r="R73" s="51"/>
      <c r="S73" s="51"/>
      <c r="T73" s="51"/>
    </row>
    <row r="74" spans="15:20" ht="12" customHeight="1" x14ac:dyDescent="0.3">
      <c r="O74" s="51"/>
      <c r="P74" s="51"/>
      <c r="Q74" s="51"/>
      <c r="R74" s="51"/>
      <c r="S74" s="51"/>
      <c r="T74" s="51"/>
    </row>
    <row r="75" spans="15:20" ht="12" customHeight="1" x14ac:dyDescent="0.3">
      <c r="O75" s="51"/>
      <c r="P75" s="51"/>
      <c r="Q75" s="51"/>
      <c r="R75" s="51"/>
      <c r="S75" s="51"/>
      <c r="T75" s="51"/>
    </row>
    <row r="76" spans="15:20" ht="12" customHeight="1" x14ac:dyDescent="0.3">
      <c r="O76" s="51"/>
      <c r="P76" s="51"/>
      <c r="Q76" s="51"/>
      <c r="R76" s="51"/>
      <c r="S76" s="51"/>
      <c r="T76" s="51"/>
    </row>
    <row r="77" spans="15:20" ht="12" customHeight="1" x14ac:dyDescent="0.3">
      <c r="O77" s="51"/>
      <c r="P77" s="51"/>
      <c r="Q77" s="51"/>
      <c r="R77" s="51"/>
      <c r="S77" s="51"/>
      <c r="T77" s="51"/>
    </row>
    <row r="78" spans="15:20" ht="12" customHeight="1" x14ac:dyDescent="0.3">
      <c r="O78" s="51"/>
      <c r="P78" s="51"/>
      <c r="Q78" s="51"/>
      <c r="R78" s="51"/>
      <c r="S78" s="51"/>
      <c r="T78" s="51"/>
    </row>
    <row r="79" spans="15:20" ht="12" customHeight="1" x14ac:dyDescent="0.3">
      <c r="O79" s="51"/>
      <c r="P79" s="51"/>
      <c r="Q79" s="51"/>
      <c r="R79" s="51"/>
      <c r="S79" s="51"/>
      <c r="T79" s="51"/>
    </row>
    <row r="80" spans="15:20" ht="12" customHeight="1" x14ac:dyDescent="0.3">
      <c r="O80" s="51"/>
      <c r="P80" s="51"/>
      <c r="Q80" s="51"/>
      <c r="R80" s="51"/>
      <c r="S80" s="51"/>
      <c r="T80" s="51"/>
    </row>
    <row r="81" spans="15:20" ht="12" customHeight="1" x14ac:dyDescent="0.3">
      <c r="O81" s="51"/>
      <c r="P81" s="51"/>
      <c r="Q81" s="51"/>
      <c r="R81" s="51"/>
      <c r="S81" s="51"/>
      <c r="T81" s="51"/>
    </row>
    <row r="82" spans="15:20" ht="12" customHeight="1" x14ac:dyDescent="0.3">
      <c r="O82" s="51"/>
      <c r="P82" s="51"/>
      <c r="Q82" s="51"/>
      <c r="R82" s="51"/>
      <c r="S82" s="51"/>
      <c r="T82" s="51"/>
    </row>
    <row r="83" spans="15:20" ht="12" customHeight="1" x14ac:dyDescent="0.3">
      <c r="O83" s="51"/>
      <c r="P83" s="51"/>
      <c r="Q83" s="51"/>
      <c r="R83" s="51"/>
      <c r="S83" s="51"/>
      <c r="T83" s="51"/>
    </row>
    <row r="84" spans="15:20" ht="12" customHeight="1" x14ac:dyDescent="0.3">
      <c r="O84" s="51"/>
      <c r="P84" s="51"/>
      <c r="Q84" s="51"/>
      <c r="R84" s="51"/>
      <c r="S84" s="51"/>
      <c r="T84" s="51"/>
    </row>
    <row r="85" spans="15:20" ht="12" customHeight="1" x14ac:dyDescent="0.3">
      <c r="O85" s="51"/>
      <c r="P85" s="51"/>
      <c r="Q85" s="51"/>
      <c r="R85" s="51"/>
      <c r="S85" s="51"/>
      <c r="T85" s="51"/>
    </row>
    <row r="86" spans="15:20" ht="12" customHeight="1" x14ac:dyDescent="0.3">
      <c r="O86" s="51"/>
      <c r="P86" s="51"/>
      <c r="Q86" s="51"/>
      <c r="R86" s="51"/>
      <c r="S86" s="51"/>
      <c r="T86" s="51"/>
    </row>
    <row r="87" spans="15:20" ht="12" customHeight="1" x14ac:dyDescent="0.3">
      <c r="O87" s="51"/>
      <c r="P87" s="51"/>
      <c r="Q87" s="51"/>
      <c r="R87" s="51"/>
      <c r="S87" s="51"/>
      <c r="T87" s="51"/>
    </row>
    <row r="88" spans="15:20" ht="12" customHeight="1" x14ac:dyDescent="0.3">
      <c r="O88" s="51"/>
      <c r="P88" s="51"/>
      <c r="Q88" s="51"/>
      <c r="R88" s="51"/>
      <c r="S88" s="51"/>
      <c r="T88" s="51"/>
    </row>
    <row r="89" spans="15:20" ht="12" customHeight="1" x14ac:dyDescent="0.3">
      <c r="O89" s="51"/>
      <c r="P89" s="51"/>
      <c r="Q89" s="51"/>
      <c r="R89" s="51"/>
      <c r="S89" s="51"/>
      <c r="T89" s="51"/>
    </row>
    <row r="90" spans="15:20" ht="12" customHeight="1" x14ac:dyDescent="0.3">
      <c r="O90" s="51"/>
      <c r="P90" s="51"/>
      <c r="Q90" s="51"/>
      <c r="R90" s="51"/>
      <c r="S90" s="51"/>
      <c r="T90" s="51"/>
    </row>
    <row r="91" spans="15:20" ht="12" customHeight="1" x14ac:dyDescent="0.3">
      <c r="O91" s="51"/>
      <c r="P91" s="51"/>
      <c r="Q91" s="51"/>
      <c r="R91" s="51"/>
      <c r="S91" s="51"/>
      <c r="T91" s="51"/>
    </row>
    <row r="92" spans="15:20" ht="12" customHeight="1" x14ac:dyDescent="0.3">
      <c r="O92" s="51"/>
      <c r="P92" s="51"/>
      <c r="Q92" s="51"/>
      <c r="R92" s="51"/>
      <c r="S92" s="51"/>
      <c r="T92" s="51"/>
    </row>
    <row r="93" spans="15:20" ht="12" customHeight="1" x14ac:dyDescent="0.3">
      <c r="O93" s="51"/>
      <c r="P93" s="51"/>
      <c r="Q93" s="51"/>
      <c r="R93" s="51"/>
      <c r="S93" s="51"/>
      <c r="T93" s="51"/>
    </row>
    <row r="94" spans="15:20" ht="12" customHeight="1" x14ac:dyDescent="0.3">
      <c r="O94" s="51"/>
      <c r="P94" s="51"/>
      <c r="Q94" s="51"/>
      <c r="R94" s="51"/>
      <c r="S94" s="51"/>
      <c r="T94" s="51"/>
    </row>
    <row r="95" spans="15:20" ht="12" customHeight="1" x14ac:dyDescent="0.3">
      <c r="O95" s="51"/>
      <c r="P95" s="51"/>
      <c r="Q95" s="51"/>
      <c r="R95" s="51"/>
      <c r="S95" s="51"/>
      <c r="T95" s="51"/>
    </row>
    <row r="96" spans="15:20" ht="12" customHeight="1" x14ac:dyDescent="0.3">
      <c r="O96" s="51"/>
      <c r="P96" s="51"/>
      <c r="Q96" s="51"/>
      <c r="R96" s="51"/>
      <c r="S96" s="51"/>
      <c r="T96" s="51"/>
    </row>
    <row r="97" spans="15:30" ht="12" customHeight="1" x14ac:dyDescent="0.3">
      <c r="O97" s="51"/>
      <c r="P97" s="51"/>
      <c r="Q97" s="51"/>
      <c r="R97" s="51"/>
      <c r="S97" s="51"/>
      <c r="T97" s="51"/>
    </row>
    <row r="98" spans="15:30" ht="12" customHeight="1" x14ac:dyDescent="0.3">
      <c r="O98" s="51"/>
      <c r="P98" s="51"/>
      <c r="Q98" s="51"/>
      <c r="R98" s="51"/>
      <c r="S98" s="51"/>
      <c r="T98" s="51"/>
    </row>
    <row r="99" spans="15:30" ht="12" customHeight="1" x14ac:dyDescent="0.3">
      <c r="O99" s="50"/>
      <c r="P99" s="50"/>
      <c r="Q99" s="50"/>
      <c r="R99" s="50"/>
      <c r="S99" s="50"/>
      <c r="T99" s="50"/>
    </row>
    <row r="100" spans="15:30" ht="12" customHeight="1" x14ac:dyDescent="0.3"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</row>
    <row r="101" spans="15:30" ht="12" customHeight="1" x14ac:dyDescent="0.3">
      <c r="O101" s="51" t="s">
        <v>624</v>
      </c>
      <c r="P101" s="51" t="s">
        <v>629</v>
      </c>
      <c r="Q101" s="51" t="s">
        <v>630</v>
      </c>
      <c r="R101" s="51" t="s">
        <v>631</v>
      </c>
      <c r="S101" s="51" t="s">
        <v>632</v>
      </c>
      <c r="T101" s="51" t="s">
        <v>633</v>
      </c>
      <c r="U101" s="51" t="s">
        <v>634</v>
      </c>
      <c r="V101" s="51" t="s">
        <v>635</v>
      </c>
      <c r="W101" s="51"/>
      <c r="X101" s="51"/>
      <c r="Y101" s="51"/>
      <c r="Z101" s="51"/>
      <c r="AA101" s="51"/>
      <c r="AB101" s="51"/>
      <c r="AC101" s="51"/>
      <c r="AD101" s="51"/>
    </row>
    <row r="102" spans="15:30" ht="12" customHeight="1" x14ac:dyDescent="0.3">
      <c r="O102" s="51" t="s">
        <v>36</v>
      </c>
      <c r="P102" s="51" t="s">
        <v>23</v>
      </c>
      <c r="Q102" s="51" t="s">
        <v>43</v>
      </c>
      <c r="R102" s="51" t="s">
        <v>44</v>
      </c>
      <c r="S102" s="51" t="s">
        <v>25</v>
      </c>
      <c r="T102" s="51" t="s">
        <v>44</v>
      </c>
      <c r="U102" s="51">
        <v>4</v>
      </c>
      <c r="V102" s="51">
        <v>0.3</v>
      </c>
      <c r="W102" s="51">
        <v>0.24</v>
      </c>
      <c r="X102" s="51">
        <v>0.18</v>
      </c>
      <c r="Y102" s="51">
        <v>0.12</v>
      </c>
      <c r="Z102" s="51">
        <v>0.06</v>
      </c>
      <c r="AA102" s="51">
        <v>0</v>
      </c>
      <c r="AB102" s="51"/>
      <c r="AC102" s="51"/>
      <c r="AD102" s="51"/>
    </row>
    <row r="103" spans="15:30" ht="12" customHeight="1" x14ac:dyDescent="0.3"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</row>
    <row r="104" spans="15:30" ht="12" customHeight="1" x14ac:dyDescent="0.3"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</row>
    <row r="105" spans="15:30" ht="12" customHeight="1" x14ac:dyDescent="0.3"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</row>
    <row r="106" spans="15:30" ht="12" customHeight="1" x14ac:dyDescent="0.3"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</row>
    <row r="107" spans="15:30" ht="12" customHeight="1" x14ac:dyDescent="0.3"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</row>
    <row r="108" spans="15:30" ht="12" customHeight="1" x14ac:dyDescent="0.3"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</row>
    <row r="109" spans="15:30" ht="12" customHeight="1" x14ac:dyDescent="0.3"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</row>
    <row r="110" spans="15:30" ht="12" customHeight="1" x14ac:dyDescent="0.3"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</row>
    <row r="111" spans="15:30" ht="12" customHeight="1" x14ac:dyDescent="0.3"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</row>
    <row r="112" spans="15:30" ht="12" customHeight="1" x14ac:dyDescent="0.3"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</row>
    <row r="113" spans="15:30" ht="12" customHeight="1" x14ac:dyDescent="0.3"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</row>
    <row r="114" spans="15:30" ht="12" customHeight="1" x14ac:dyDescent="0.3"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</row>
    <row r="115" spans="15:30" ht="12" customHeight="1" x14ac:dyDescent="0.3"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</row>
    <row r="116" spans="15:30" ht="12" customHeight="1" x14ac:dyDescent="0.3"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</row>
    <row r="117" spans="15:30" ht="12" customHeight="1" x14ac:dyDescent="0.3"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</row>
    <row r="118" spans="15:30" ht="12" customHeight="1" x14ac:dyDescent="0.3"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</row>
    <row r="119" spans="15:30" ht="12" customHeight="1" x14ac:dyDescent="0.3"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</row>
    <row r="120" spans="15:30" ht="12" customHeight="1" x14ac:dyDescent="0.3"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</row>
    <row r="121" spans="15:30" ht="12" customHeight="1" x14ac:dyDescent="0.3"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</row>
    <row r="122" spans="15:30" ht="12" customHeight="1" x14ac:dyDescent="0.3"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</row>
    <row r="123" spans="15:30" ht="12" customHeight="1" x14ac:dyDescent="0.3"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</row>
    <row r="124" spans="15:30" ht="12" customHeight="1" x14ac:dyDescent="0.3"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</row>
    <row r="125" spans="15:30" ht="12" customHeight="1" x14ac:dyDescent="0.3"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</row>
    <row r="126" spans="15:30" ht="12" customHeight="1" x14ac:dyDescent="0.3"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</row>
    <row r="127" spans="15:30" ht="12" customHeight="1" x14ac:dyDescent="0.3"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</row>
    <row r="128" spans="15:30" ht="12" customHeight="1" x14ac:dyDescent="0.3"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</row>
    <row r="129" spans="15:30" ht="12" customHeight="1" x14ac:dyDescent="0.3"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</row>
    <row r="130" spans="15:30" ht="12" customHeight="1" x14ac:dyDescent="0.3"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</row>
    <row r="131" spans="15:30" ht="12" customHeight="1" x14ac:dyDescent="0.3"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</row>
    <row r="132" spans="15:30" ht="12" customHeight="1" x14ac:dyDescent="0.3"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</row>
    <row r="133" spans="15:30" ht="12" customHeight="1" x14ac:dyDescent="0.3"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</row>
    <row r="134" spans="15:30" ht="12" customHeight="1" x14ac:dyDescent="0.3"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</row>
    <row r="135" spans="15:30" ht="12" customHeight="1" x14ac:dyDescent="0.3"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</row>
    <row r="136" spans="15:30" ht="12" customHeight="1" x14ac:dyDescent="0.3"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</row>
    <row r="137" spans="15:30" ht="12" customHeight="1" x14ac:dyDescent="0.3"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</row>
    <row r="138" spans="15:30" ht="12" customHeight="1" x14ac:dyDescent="0.3"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</row>
    <row r="139" spans="15:30" ht="12" customHeight="1" x14ac:dyDescent="0.3"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</row>
    <row r="140" spans="15:30" ht="12" customHeight="1" x14ac:dyDescent="0.3"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</row>
    <row r="141" spans="15:30" ht="12" customHeight="1" x14ac:dyDescent="0.3"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</row>
    <row r="142" spans="15:30" ht="12" customHeight="1" x14ac:dyDescent="0.3"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</row>
    <row r="143" spans="15:30" ht="12" customHeight="1" x14ac:dyDescent="0.3"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</row>
    <row r="144" spans="15:30" ht="12" customHeight="1" x14ac:dyDescent="0.3"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</row>
    <row r="145" spans="15:30" ht="12" customHeight="1" x14ac:dyDescent="0.3"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</row>
    <row r="146" spans="15:30" ht="12" customHeight="1" x14ac:dyDescent="0.3"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</row>
    <row r="147" spans="15:30" ht="12" customHeight="1" x14ac:dyDescent="0.3"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</row>
    <row r="148" spans="15:30" ht="12" customHeight="1" x14ac:dyDescent="0.3"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</row>
    <row r="149" spans="15:30" ht="12" customHeight="1" x14ac:dyDescent="0.3"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</row>
    <row r="150" spans="15:30" ht="12" customHeight="1" x14ac:dyDescent="0.3"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</row>
    <row r="151" spans="15:30" ht="12" customHeight="1" x14ac:dyDescent="0.3"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</row>
    <row r="152" spans="15:30" ht="12" customHeight="1" x14ac:dyDescent="0.3"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</row>
    <row r="153" spans="15:30" ht="12" customHeight="1" x14ac:dyDescent="0.3"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</row>
    <row r="154" spans="15:30" ht="12" customHeight="1" x14ac:dyDescent="0.3"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</row>
    <row r="155" spans="15:30" ht="12" customHeight="1" x14ac:dyDescent="0.3"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</row>
    <row r="156" spans="15:30" ht="12" customHeight="1" x14ac:dyDescent="0.3"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</row>
    <row r="157" spans="15:30" ht="12" customHeight="1" x14ac:dyDescent="0.3"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</row>
    <row r="158" spans="15:30" ht="12" customHeight="1" x14ac:dyDescent="0.3"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</row>
    <row r="159" spans="15:30" ht="12" customHeight="1" x14ac:dyDescent="0.3"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</row>
    <row r="160" spans="15:30" ht="12" customHeight="1" x14ac:dyDescent="0.3"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</row>
    <row r="161" spans="15:30" ht="12" customHeight="1" x14ac:dyDescent="0.3"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</row>
    <row r="162" spans="15:30" ht="12" customHeight="1" x14ac:dyDescent="0.3"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</row>
    <row r="163" spans="15:30" ht="12" customHeight="1" x14ac:dyDescent="0.3"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</row>
    <row r="164" spans="15:30" ht="12" customHeight="1" x14ac:dyDescent="0.3"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</row>
    <row r="165" spans="15:30" ht="12" customHeight="1" x14ac:dyDescent="0.3"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</row>
    <row r="166" spans="15:30" ht="12" customHeight="1" x14ac:dyDescent="0.3"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</row>
    <row r="167" spans="15:30" ht="12" customHeight="1" x14ac:dyDescent="0.3"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</row>
    <row r="168" spans="15:30" ht="12" customHeight="1" x14ac:dyDescent="0.3"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</row>
    <row r="169" spans="15:30" ht="12" customHeight="1" x14ac:dyDescent="0.3"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</row>
    <row r="170" spans="15:30" ht="12" customHeight="1" x14ac:dyDescent="0.3"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</row>
    <row r="171" spans="15:30" ht="12" customHeight="1" x14ac:dyDescent="0.3"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</row>
    <row r="172" spans="15:30" ht="12" customHeight="1" x14ac:dyDescent="0.3"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</row>
    <row r="173" spans="15:30" ht="12" customHeight="1" x14ac:dyDescent="0.3"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</row>
    <row r="174" spans="15:30" ht="12" customHeight="1" x14ac:dyDescent="0.3"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</row>
    <row r="175" spans="15:30" ht="12" customHeight="1" x14ac:dyDescent="0.3"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</row>
    <row r="176" spans="15:30" ht="12" customHeight="1" x14ac:dyDescent="0.3"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</row>
    <row r="177" spans="15:30" ht="12" customHeight="1" x14ac:dyDescent="0.3"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</row>
    <row r="178" spans="15:30" ht="12" customHeight="1" x14ac:dyDescent="0.3"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</row>
    <row r="179" spans="15:30" ht="12" customHeight="1" x14ac:dyDescent="0.3"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</row>
    <row r="180" spans="15:30" ht="12" customHeight="1" x14ac:dyDescent="0.3"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</row>
    <row r="181" spans="15:30" ht="12" customHeight="1" x14ac:dyDescent="0.3"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</row>
    <row r="182" spans="15:30" ht="12" customHeight="1" x14ac:dyDescent="0.3"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</row>
    <row r="183" spans="15:30" ht="12" customHeight="1" x14ac:dyDescent="0.3"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</row>
    <row r="184" spans="15:30" ht="12" customHeight="1" x14ac:dyDescent="0.3"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</row>
    <row r="185" spans="15:30" ht="12" customHeight="1" x14ac:dyDescent="0.3"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</row>
    <row r="186" spans="15:30" ht="12" customHeight="1" x14ac:dyDescent="0.3"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</row>
    <row r="187" spans="15:30" ht="12" customHeight="1" x14ac:dyDescent="0.3"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</row>
    <row r="188" spans="15:30" ht="12" customHeight="1" x14ac:dyDescent="0.3"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</row>
    <row r="189" spans="15:30" ht="12" customHeight="1" x14ac:dyDescent="0.3"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</row>
    <row r="190" spans="15:30" ht="12" customHeight="1" x14ac:dyDescent="0.3"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</row>
    <row r="191" spans="15:30" ht="12" customHeight="1" x14ac:dyDescent="0.3"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</row>
    <row r="192" spans="15:30" ht="12" customHeight="1" x14ac:dyDescent="0.3"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</row>
    <row r="193" spans="15:30" ht="12" customHeight="1" x14ac:dyDescent="0.3"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</row>
    <row r="194" spans="15:30" ht="12" customHeight="1" x14ac:dyDescent="0.3"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</row>
    <row r="195" spans="15:30" ht="12" customHeight="1" x14ac:dyDescent="0.3"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</row>
    <row r="196" spans="15:30" ht="12" customHeight="1" x14ac:dyDescent="0.3"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</row>
    <row r="197" spans="15:30" ht="12" customHeight="1" x14ac:dyDescent="0.3"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</row>
    <row r="198" spans="15:30" ht="12" customHeight="1" x14ac:dyDescent="0.3"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</row>
    <row r="199" spans="15:30" ht="12" customHeight="1" x14ac:dyDescent="0.3"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</row>
    <row r="200" spans="15:30" ht="12" customHeight="1" x14ac:dyDescent="0.3"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</row>
  </sheetData>
  <mergeCells count="19">
    <mergeCell ref="B45:C45"/>
    <mergeCell ref="O1:U1"/>
    <mergeCell ref="A47:C47"/>
    <mergeCell ref="A48:C48"/>
    <mergeCell ref="A46:C46"/>
    <mergeCell ref="L1:M1"/>
    <mergeCell ref="A2:A29"/>
    <mergeCell ref="A30:A45"/>
    <mergeCell ref="B2:B10"/>
    <mergeCell ref="B11:B18"/>
    <mergeCell ref="B19:B20"/>
    <mergeCell ref="B21:B23"/>
    <mergeCell ref="B24:B28"/>
    <mergeCell ref="B29:C29"/>
    <mergeCell ref="B30:B34"/>
    <mergeCell ref="B35:B36"/>
    <mergeCell ref="B37:B40"/>
    <mergeCell ref="B41:B42"/>
    <mergeCell ref="B43:B4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BB40-9907-4C4E-9723-6181239E36E1}">
  <dimension ref="A1:AP51"/>
  <sheetViews>
    <sheetView showGridLines="0" topLeftCell="C35" workbookViewId="0">
      <selection activeCell="K62" sqref="K62:P62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10.44140625" style="9" bestFit="1" customWidth="1"/>
    <col min="14" max="14" width="11.6640625" style="9" bestFit="1" customWidth="1"/>
    <col min="15" max="16" width="9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.88671875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1" width="9.109375" style="9"/>
    <col min="42" max="42" width="7.88671875" style="9" bestFit="1" customWidth="1"/>
    <col min="43" max="16384" width="9.109375" style="9"/>
  </cols>
  <sheetData>
    <row r="1" spans="1:42" ht="11.25" customHeight="1" x14ac:dyDescent="0.3">
      <c r="A1" s="121" t="s">
        <v>62</v>
      </c>
      <c r="B1" s="121" t="s">
        <v>63</v>
      </c>
      <c r="C1" s="121" t="s">
        <v>64</v>
      </c>
      <c r="D1" s="121" t="s">
        <v>65</v>
      </c>
      <c r="E1" s="121" t="s">
        <v>66</v>
      </c>
      <c r="F1" s="121" t="s">
        <v>15</v>
      </c>
      <c r="G1" s="121" t="s">
        <v>68</v>
      </c>
      <c r="H1" s="121" t="s">
        <v>69</v>
      </c>
      <c r="I1" s="121" t="s">
        <v>570</v>
      </c>
      <c r="J1" s="118"/>
      <c r="L1" s="122" t="s">
        <v>571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P1" s="122" t="s">
        <v>572</v>
      </c>
    </row>
    <row r="2" spans="1:42" ht="11.25" customHeight="1" x14ac:dyDescent="0.3">
      <c r="A2" s="121"/>
      <c r="B2" s="121"/>
      <c r="C2" s="121"/>
      <c r="D2" s="121"/>
      <c r="E2" s="121"/>
      <c r="F2" s="121"/>
      <c r="G2" s="121"/>
      <c r="H2" s="121"/>
      <c r="I2" s="121"/>
      <c r="J2" s="118"/>
      <c r="L2" s="122" t="s">
        <v>470</v>
      </c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P2" s="123"/>
    </row>
    <row r="3" spans="1:42" ht="11.25" customHeight="1" x14ac:dyDescent="0.3">
      <c r="A3" s="121"/>
      <c r="B3" s="121"/>
      <c r="C3" s="121"/>
      <c r="D3" s="121"/>
      <c r="E3" s="121"/>
      <c r="F3" s="121"/>
      <c r="G3" s="121"/>
      <c r="H3" s="121"/>
      <c r="I3" s="121"/>
      <c r="J3" s="118"/>
      <c r="L3" s="122" t="s">
        <v>471</v>
      </c>
      <c r="M3" s="122"/>
      <c r="N3" s="122"/>
      <c r="O3" s="122"/>
      <c r="P3" s="122"/>
      <c r="Q3" s="122"/>
      <c r="R3" s="122"/>
      <c r="S3" s="122"/>
      <c r="T3" s="122"/>
      <c r="U3" s="122" t="s">
        <v>480</v>
      </c>
      <c r="V3" s="122"/>
      <c r="W3" s="122"/>
      <c r="X3" s="122"/>
      <c r="Y3" s="122"/>
      <c r="Z3" s="122"/>
      <c r="AA3" s="122"/>
      <c r="AB3" s="122"/>
      <c r="AC3" s="122" t="s">
        <v>488</v>
      </c>
      <c r="AD3" s="122"/>
      <c r="AE3" s="122" t="s">
        <v>490</v>
      </c>
      <c r="AF3" s="122"/>
      <c r="AG3" s="122"/>
      <c r="AH3" s="122" t="s">
        <v>493</v>
      </c>
      <c r="AI3" s="122"/>
      <c r="AJ3" s="122"/>
      <c r="AK3" s="122"/>
      <c r="AL3" s="122"/>
      <c r="AM3" s="122" t="s">
        <v>479</v>
      </c>
      <c r="AP3" s="123"/>
    </row>
    <row r="4" spans="1:42" ht="11.25" customHeight="1" x14ac:dyDescent="0.3">
      <c r="A4" s="121"/>
      <c r="B4" s="121"/>
      <c r="C4" s="121"/>
      <c r="D4" s="121"/>
      <c r="E4" s="121"/>
      <c r="F4" s="121"/>
      <c r="G4" s="121"/>
      <c r="H4" s="121"/>
      <c r="I4" s="121"/>
      <c r="J4" s="118"/>
      <c r="L4" s="41" t="s">
        <v>555</v>
      </c>
      <c r="M4" s="41" t="s">
        <v>472</v>
      </c>
      <c r="N4" s="41" t="s">
        <v>473</v>
      </c>
      <c r="O4" s="41" t="s">
        <v>474</v>
      </c>
      <c r="P4" s="41" t="s">
        <v>475</v>
      </c>
      <c r="Q4" s="41" t="s">
        <v>476</v>
      </c>
      <c r="R4" s="41" t="s">
        <v>477</v>
      </c>
      <c r="S4" s="41" t="s">
        <v>478</v>
      </c>
      <c r="T4" s="41" t="s">
        <v>479</v>
      </c>
      <c r="U4" s="41" t="s">
        <v>481</v>
      </c>
      <c r="V4" s="41" t="s">
        <v>482</v>
      </c>
      <c r="W4" s="41" t="s">
        <v>483</v>
      </c>
      <c r="X4" s="41" t="s">
        <v>484</v>
      </c>
      <c r="Y4" s="41" t="s">
        <v>485</v>
      </c>
      <c r="Z4" s="41" t="s">
        <v>486</v>
      </c>
      <c r="AA4" s="41" t="s">
        <v>487</v>
      </c>
      <c r="AB4" s="41" t="s">
        <v>479</v>
      </c>
      <c r="AC4" s="41" t="s">
        <v>489</v>
      </c>
      <c r="AD4" s="41" t="s">
        <v>479</v>
      </c>
      <c r="AE4" s="41" t="s">
        <v>491</v>
      </c>
      <c r="AF4" s="41" t="s">
        <v>492</v>
      </c>
      <c r="AG4" s="41" t="s">
        <v>479</v>
      </c>
      <c r="AH4" s="41" t="s">
        <v>494</v>
      </c>
      <c r="AI4" s="41" t="s">
        <v>495</v>
      </c>
      <c r="AJ4" s="41" t="s">
        <v>496</v>
      </c>
      <c r="AK4" s="41" t="s">
        <v>497</v>
      </c>
      <c r="AL4" s="41" t="s">
        <v>479</v>
      </c>
      <c r="AM4" s="124"/>
      <c r="AP4" s="123"/>
    </row>
    <row r="5" spans="1:42" ht="11.25" customHeight="1" x14ac:dyDescent="0.3">
      <c r="A5" s="120" t="s">
        <v>37</v>
      </c>
      <c r="B5" s="120" t="s">
        <v>41</v>
      </c>
      <c r="C5" s="120" t="s">
        <v>25</v>
      </c>
      <c r="D5" s="120" t="s">
        <v>25</v>
      </c>
      <c r="E5" s="120" t="s">
        <v>25</v>
      </c>
      <c r="F5" s="120" t="s">
        <v>25</v>
      </c>
      <c r="G5" s="21" t="s">
        <v>78</v>
      </c>
      <c r="H5" s="21" t="s">
        <v>77</v>
      </c>
      <c r="I5" s="21">
        <f>'MERCADO TUSD'!$U$2</f>
        <v>1200</v>
      </c>
      <c r="J5" s="17"/>
      <c r="L5" s="39"/>
      <c r="M5" s="39"/>
      <c r="N5" s="39"/>
      <c r="O5" s="39"/>
      <c r="P5" s="39"/>
      <c r="Q5" s="39"/>
      <c r="R5" s="39"/>
      <c r="S5" s="39"/>
      <c r="T5" s="39"/>
      <c r="U5" s="39">
        <v>0</v>
      </c>
      <c r="V5" s="39">
        <v>0</v>
      </c>
      <c r="W5" s="39">
        <v>0</v>
      </c>
      <c r="X5" s="39">
        <v>0</v>
      </c>
      <c r="Y5" s="39">
        <v>4.7234999999999996</v>
      </c>
      <c r="Z5" s="39">
        <v>0</v>
      </c>
      <c r="AA5" s="39">
        <v>0</v>
      </c>
      <c r="AB5" s="39"/>
      <c r="AC5" s="39">
        <v>60.879199999999997</v>
      </c>
      <c r="AD5" s="39"/>
      <c r="AE5" s="39"/>
      <c r="AF5" s="39"/>
      <c r="AG5" s="39"/>
      <c r="AH5" s="39"/>
      <c r="AI5" s="39"/>
      <c r="AJ5" s="39"/>
      <c r="AK5" s="39"/>
      <c r="AL5" s="39"/>
      <c r="AM5" s="39"/>
      <c r="AP5" s="39">
        <v>1</v>
      </c>
    </row>
    <row r="6" spans="1:42" ht="11.25" customHeight="1" x14ac:dyDescent="0.3">
      <c r="A6" s="120"/>
      <c r="B6" s="120"/>
      <c r="C6" s="120"/>
      <c r="D6" s="120"/>
      <c r="E6" s="120"/>
      <c r="F6" s="120"/>
      <c r="G6" s="21" t="s">
        <v>79</v>
      </c>
      <c r="H6" s="21" t="s">
        <v>77</v>
      </c>
      <c r="I6" s="21">
        <f>'MERCADO TUSD'!$U$3</f>
        <v>1209</v>
      </c>
      <c r="J6" s="17"/>
      <c r="L6" s="39"/>
      <c r="M6" s="39"/>
      <c r="N6" s="39"/>
      <c r="O6" s="39"/>
      <c r="P6" s="39"/>
      <c r="Q6" s="39"/>
      <c r="R6" s="39"/>
      <c r="S6" s="39"/>
      <c r="T6" s="39"/>
      <c r="U6" s="39">
        <v>0</v>
      </c>
      <c r="V6" s="39">
        <v>0</v>
      </c>
      <c r="W6" s="39">
        <v>0</v>
      </c>
      <c r="X6" s="39">
        <v>0</v>
      </c>
      <c r="Y6" s="39">
        <v>2.5642</v>
      </c>
      <c r="Z6" s="39">
        <v>0</v>
      </c>
      <c r="AA6" s="39">
        <v>0</v>
      </c>
      <c r="AB6" s="39"/>
      <c r="AC6" s="39">
        <v>19.4207</v>
      </c>
      <c r="AD6" s="39"/>
      <c r="AE6" s="39"/>
      <c r="AF6" s="39"/>
      <c r="AG6" s="39"/>
      <c r="AH6" s="39"/>
      <c r="AI6" s="39"/>
      <c r="AJ6" s="39"/>
      <c r="AK6" s="39"/>
      <c r="AL6" s="39"/>
      <c r="AM6" s="39"/>
      <c r="AP6" s="39">
        <v>1</v>
      </c>
    </row>
    <row r="7" spans="1:42" ht="11.25" customHeight="1" x14ac:dyDescent="0.3">
      <c r="A7" s="120"/>
      <c r="B7" s="120"/>
      <c r="C7" s="120"/>
      <c r="D7" s="120"/>
      <c r="E7" s="120"/>
      <c r="F7" s="120"/>
      <c r="G7" s="21" t="s">
        <v>76</v>
      </c>
      <c r="H7" s="21" t="s">
        <v>72</v>
      </c>
      <c r="I7" s="21">
        <f>'MERCADO TUSD'!$U$4</f>
        <v>431.03100000000001</v>
      </c>
      <c r="J7" s="17"/>
      <c r="L7" s="39"/>
      <c r="M7" s="39"/>
      <c r="N7" s="39"/>
      <c r="O7" s="39"/>
      <c r="P7" s="39"/>
      <c r="Q7" s="39"/>
      <c r="R7" s="39"/>
      <c r="S7" s="39"/>
      <c r="T7" s="39"/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/>
      <c r="AC7" s="39">
        <v>0</v>
      </c>
      <c r="AD7" s="39"/>
      <c r="AE7" s="39"/>
      <c r="AF7" s="39"/>
      <c r="AG7" s="39"/>
      <c r="AH7" s="39"/>
      <c r="AI7" s="39"/>
      <c r="AJ7" s="39"/>
      <c r="AK7" s="39"/>
      <c r="AL7" s="39"/>
      <c r="AM7" s="39"/>
      <c r="AP7" s="39">
        <v>1</v>
      </c>
    </row>
    <row r="8" spans="1:42" ht="11.25" customHeight="1" x14ac:dyDescent="0.3">
      <c r="A8" s="120"/>
      <c r="B8" s="120"/>
      <c r="C8" s="120"/>
      <c r="D8" s="120"/>
      <c r="E8" s="40" t="s">
        <v>80</v>
      </c>
      <c r="F8" s="40" t="s">
        <v>25</v>
      </c>
      <c r="G8" s="21" t="s">
        <v>76</v>
      </c>
      <c r="H8" s="21" t="s">
        <v>72</v>
      </c>
      <c r="I8" s="21">
        <f>'MERCADO TUSD'!$U$5</f>
        <v>0</v>
      </c>
      <c r="J8" s="17"/>
      <c r="L8" s="39"/>
      <c r="M8" s="39"/>
      <c r="N8" s="39"/>
      <c r="O8" s="39"/>
      <c r="P8" s="39"/>
      <c r="Q8" s="39"/>
      <c r="R8" s="39"/>
      <c r="S8" s="39"/>
      <c r="T8" s="39"/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0</v>
      </c>
      <c r="AA8" s="39">
        <v>0</v>
      </c>
      <c r="AB8" s="39"/>
      <c r="AC8" s="39">
        <v>0</v>
      </c>
      <c r="AD8" s="39"/>
      <c r="AE8" s="39"/>
      <c r="AF8" s="39"/>
      <c r="AG8" s="39"/>
      <c r="AH8" s="39"/>
      <c r="AI8" s="39"/>
      <c r="AJ8" s="39"/>
      <c r="AK8" s="39"/>
      <c r="AL8" s="39"/>
      <c r="AM8" s="39"/>
      <c r="AP8" s="39">
        <v>1</v>
      </c>
    </row>
    <row r="9" spans="1:42" ht="11.25" customHeight="1" x14ac:dyDescent="0.3">
      <c r="A9" s="120"/>
      <c r="B9" s="40" t="s">
        <v>81</v>
      </c>
      <c r="C9" s="40" t="s">
        <v>25</v>
      </c>
      <c r="D9" s="40" t="s">
        <v>25</v>
      </c>
      <c r="E9" s="40" t="s">
        <v>25</v>
      </c>
      <c r="F9" s="40" t="s">
        <v>25</v>
      </c>
      <c r="G9" s="21" t="s">
        <v>9</v>
      </c>
      <c r="H9" s="21" t="s">
        <v>77</v>
      </c>
      <c r="I9" s="21">
        <f>'MERCADO TUSD'!$U$6</f>
        <v>0</v>
      </c>
      <c r="J9" s="17"/>
      <c r="L9" s="39"/>
      <c r="M9" s="39"/>
      <c r="N9" s="39"/>
      <c r="O9" s="39"/>
      <c r="P9" s="39"/>
      <c r="Q9" s="39"/>
      <c r="R9" s="39"/>
      <c r="S9" s="39"/>
      <c r="T9" s="39"/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/>
      <c r="AC9" s="39">
        <v>8.4064999999999994</v>
      </c>
      <c r="AD9" s="39"/>
      <c r="AE9" s="39"/>
      <c r="AF9" s="39"/>
      <c r="AG9" s="39"/>
      <c r="AH9" s="39"/>
      <c r="AI9" s="39"/>
      <c r="AJ9" s="39"/>
      <c r="AK9" s="39"/>
      <c r="AL9" s="39"/>
      <c r="AM9" s="39"/>
      <c r="AP9" s="39"/>
    </row>
    <row r="10" spans="1:42" ht="11.25" customHeight="1" x14ac:dyDescent="0.3">
      <c r="A10" s="120"/>
      <c r="B10" s="120" t="s">
        <v>38</v>
      </c>
      <c r="C10" s="120" t="s">
        <v>25</v>
      </c>
      <c r="D10" s="120" t="s">
        <v>25</v>
      </c>
      <c r="E10" s="120" t="s">
        <v>25</v>
      </c>
      <c r="F10" s="120" t="s">
        <v>25</v>
      </c>
      <c r="G10" s="21" t="s">
        <v>9</v>
      </c>
      <c r="H10" s="21" t="s">
        <v>77</v>
      </c>
      <c r="I10" s="21">
        <f>'MERCADO TUSD'!$U$7</f>
        <v>19392</v>
      </c>
      <c r="J10" s="17"/>
      <c r="L10" s="39"/>
      <c r="M10" s="39"/>
      <c r="N10" s="39"/>
      <c r="O10" s="39"/>
      <c r="P10" s="39"/>
      <c r="Q10" s="39"/>
      <c r="R10" s="39"/>
      <c r="S10" s="39"/>
      <c r="T10" s="39"/>
      <c r="U10" s="39">
        <v>0</v>
      </c>
      <c r="V10" s="39">
        <v>0</v>
      </c>
      <c r="W10" s="39">
        <v>0</v>
      </c>
      <c r="X10" s="39">
        <v>0</v>
      </c>
      <c r="Y10" s="39">
        <v>2.5642</v>
      </c>
      <c r="Z10" s="39">
        <v>0</v>
      </c>
      <c r="AA10" s="39">
        <v>0</v>
      </c>
      <c r="AB10" s="39"/>
      <c r="AC10" s="39">
        <v>19.4207</v>
      </c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P10" s="39">
        <v>1</v>
      </c>
    </row>
    <row r="11" spans="1:42" ht="11.25" customHeight="1" x14ac:dyDescent="0.3">
      <c r="A11" s="120"/>
      <c r="B11" s="120"/>
      <c r="C11" s="120"/>
      <c r="D11" s="120"/>
      <c r="E11" s="120"/>
      <c r="F11" s="120"/>
      <c r="G11" s="21" t="s">
        <v>73</v>
      </c>
      <c r="H11" s="21" t="s">
        <v>72</v>
      </c>
      <c r="I11" s="21">
        <f>'MERCADO TUSD'!$U$8</f>
        <v>47.495999999999995</v>
      </c>
      <c r="J11" s="17"/>
      <c r="L11" s="39"/>
      <c r="M11" s="39"/>
      <c r="N11" s="39"/>
      <c r="O11" s="39"/>
      <c r="P11" s="39"/>
      <c r="Q11" s="39"/>
      <c r="R11" s="39"/>
      <c r="S11" s="39"/>
      <c r="T11" s="39"/>
      <c r="U11" s="39">
        <v>0</v>
      </c>
      <c r="V11" s="39">
        <v>0</v>
      </c>
      <c r="W11" s="39">
        <v>0</v>
      </c>
      <c r="X11" s="39">
        <v>0</v>
      </c>
      <c r="Y11" s="39">
        <v>113.60120000000001</v>
      </c>
      <c r="Z11" s="39">
        <v>0</v>
      </c>
      <c r="AA11" s="39">
        <v>0</v>
      </c>
      <c r="AB11" s="39"/>
      <c r="AC11" s="39">
        <v>1464.1481000000001</v>
      </c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P11" s="39">
        <v>1</v>
      </c>
    </row>
    <row r="12" spans="1:42" ht="11.25" customHeight="1" x14ac:dyDescent="0.3">
      <c r="A12" s="120"/>
      <c r="B12" s="120"/>
      <c r="C12" s="120"/>
      <c r="D12" s="120"/>
      <c r="E12" s="120"/>
      <c r="F12" s="120"/>
      <c r="G12" s="21" t="s">
        <v>74</v>
      </c>
      <c r="H12" s="21" t="s">
        <v>72</v>
      </c>
      <c r="I12" s="21">
        <f>'MERCADO TUSD'!$U$9</f>
        <v>2868.4139999999998</v>
      </c>
      <c r="J12" s="17"/>
      <c r="L12" s="39"/>
      <c r="M12" s="39"/>
      <c r="N12" s="39"/>
      <c r="O12" s="39"/>
      <c r="P12" s="39"/>
      <c r="Q12" s="39"/>
      <c r="R12" s="39"/>
      <c r="S12" s="39"/>
      <c r="T12" s="39"/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/>
      <c r="AC12" s="39">
        <v>0</v>
      </c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P12" s="39">
        <v>1</v>
      </c>
    </row>
    <row r="13" spans="1:42" ht="11.25" customHeight="1" x14ac:dyDescent="0.3">
      <c r="A13" s="120"/>
      <c r="B13" s="120"/>
      <c r="C13" s="120"/>
      <c r="D13" s="120"/>
      <c r="E13" s="120" t="s">
        <v>80</v>
      </c>
      <c r="F13" s="120" t="s">
        <v>25</v>
      </c>
      <c r="G13" s="21" t="s">
        <v>73</v>
      </c>
      <c r="H13" s="21" t="s">
        <v>72</v>
      </c>
      <c r="I13" s="21">
        <f>'MERCADO TUSD'!$U$10</f>
        <v>0</v>
      </c>
      <c r="J13" s="17"/>
      <c r="L13" s="39"/>
      <c r="M13" s="39"/>
      <c r="N13" s="39"/>
      <c r="O13" s="39"/>
      <c r="P13" s="39"/>
      <c r="Q13" s="39"/>
      <c r="R13" s="39"/>
      <c r="S13" s="39"/>
      <c r="T13" s="39"/>
      <c r="U13" s="39">
        <v>0</v>
      </c>
      <c r="V13" s="39">
        <v>0</v>
      </c>
      <c r="W13" s="39">
        <v>0</v>
      </c>
      <c r="X13" s="39">
        <v>0</v>
      </c>
      <c r="Y13" s="39">
        <v>113.60120000000001</v>
      </c>
      <c r="Z13" s="39">
        <v>0</v>
      </c>
      <c r="AA13" s="39">
        <v>0</v>
      </c>
      <c r="AB13" s="39"/>
      <c r="AC13" s="39">
        <v>1464.1481000000001</v>
      </c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P13" s="39">
        <v>1</v>
      </c>
    </row>
    <row r="14" spans="1:42" ht="11.25" customHeight="1" x14ac:dyDescent="0.3">
      <c r="A14" s="120"/>
      <c r="B14" s="120"/>
      <c r="C14" s="120"/>
      <c r="D14" s="120"/>
      <c r="E14" s="120"/>
      <c r="F14" s="120"/>
      <c r="G14" s="21" t="s">
        <v>74</v>
      </c>
      <c r="H14" s="21" t="s">
        <v>72</v>
      </c>
      <c r="I14" s="21">
        <f>'MERCADO TUSD'!$U$11</f>
        <v>0</v>
      </c>
      <c r="J14" s="17"/>
      <c r="L14" s="39"/>
      <c r="M14" s="39"/>
      <c r="N14" s="39"/>
      <c r="O14" s="39"/>
      <c r="P14" s="39"/>
      <c r="Q14" s="39"/>
      <c r="R14" s="39"/>
      <c r="S14" s="39"/>
      <c r="T14" s="39"/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/>
      <c r="AC14" s="39">
        <v>0</v>
      </c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P14" s="39">
        <v>1</v>
      </c>
    </row>
    <row r="15" spans="1:42" ht="11.25" customHeight="1" x14ac:dyDescent="0.3">
      <c r="A15" s="120" t="s">
        <v>82</v>
      </c>
      <c r="B15" s="120" t="s">
        <v>81</v>
      </c>
      <c r="C15" s="120" t="s">
        <v>25</v>
      </c>
      <c r="D15" s="120" t="s">
        <v>25</v>
      </c>
      <c r="E15" s="40" t="s">
        <v>83</v>
      </c>
      <c r="F15" s="40" t="s">
        <v>25</v>
      </c>
      <c r="G15" s="21" t="s">
        <v>9</v>
      </c>
      <c r="H15" s="21" t="s">
        <v>77</v>
      </c>
      <c r="I15" s="21">
        <f>'MERCADO TUSD'!$U$12+0.00000001</f>
        <v>1E-8</v>
      </c>
      <c r="J15" s="17"/>
      <c r="L15" s="39"/>
      <c r="M15" s="39"/>
      <c r="N15" s="39"/>
      <c r="O15" s="39"/>
      <c r="P15" s="39"/>
      <c r="Q15" s="39"/>
      <c r="R15" s="39"/>
      <c r="S15" s="39"/>
      <c r="T15" s="39"/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/>
      <c r="AC15" s="39">
        <v>3.3165</v>
      </c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P15" s="39"/>
    </row>
    <row r="16" spans="1:42" ht="11.25" customHeight="1" x14ac:dyDescent="0.3">
      <c r="A16" s="120"/>
      <c r="B16" s="120"/>
      <c r="C16" s="120"/>
      <c r="D16" s="120"/>
      <c r="E16" s="40" t="s">
        <v>84</v>
      </c>
      <c r="F16" s="40" t="s">
        <v>25</v>
      </c>
      <c r="G16" s="21" t="s">
        <v>9</v>
      </c>
      <c r="H16" s="21" t="s">
        <v>77</v>
      </c>
      <c r="I16" s="21">
        <f>'MERCADO TUSD'!$U$13+0.00000001</f>
        <v>1E-8</v>
      </c>
      <c r="J16" s="17"/>
      <c r="L16" s="39"/>
      <c r="M16" s="39"/>
      <c r="N16" s="39"/>
      <c r="O16" s="39"/>
      <c r="P16" s="39"/>
      <c r="Q16" s="39"/>
      <c r="R16" s="39"/>
      <c r="S16" s="39"/>
      <c r="T16" s="39"/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/>
      <c r="AC16" s="39">
        <v>10.6891</v>
      </c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P16" s="39"/>
    </row>
    <row r="17" spans="1:42" ht="11.25" customHeight="1" x14ac:dyDescent="0.3">
      <c r="A17" s="120" t="s">
        <v>22</v>
      </c>
      <c r="B17" s="120" t="s">
        <v>33</v>
      </c>
      <c r="C17" s="120" t="s">
        <v>24</v>
      </c>
      <c r="D17" s="120" t="s">
        <v>24</v>
      </c>
      <c r="E17" s="120" t="s">
        <v>25</v>
      </c>
      <c r="F17" s="120" t="s">
        <v>25</v>
      </c>
      <c r="G17" s="21" t="s">
        <v>73</v>
      </c>
      <c r="H17" s="21" t="s">
        <v>72</v>
      </c>
      <c r="I17" s="21">
        <f>'MERCADO TUSD'!$U$14</f>
        <v>3.1E-2</v>
      </c>
      <c r="J17" s="17"/>
      <c r="L17" s="39"/>
      <c r="M17" s="39"/>
      <c r="N17" s="39"/>
      <c r="O17" s="39"/>
      <c r="P17" s="39"/>
      <c r="Q17" s="39"/>
      <c r="R17" s="39"/>
      <c r="S17" s="39"/>
      <c r="T17" s="39"/>
      <c r="U17" s="39">
        <v>0</v>
      </c>
      <c r="V17" s="39">
        <v>0</v>
      </c>
      <c r="W17" s="39">
        <v>0</v>
      </c>
      <c r="X17" s="39">
        <v>0</v>
      </c>
      <c r="Y17" s="39">
        <v>47.544499999999999</v>
      </c>
      <c r="Z17" s="39">
        <v>0</v>
      </c>
      <c r="AA17" s="39">
        <v>0</v>
      </c>
      <c r="AB17" s="39"/>
      <c r="AC17" s="39">
        <v>673.10569999999996</v>
      </c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P17" s="39">
        <v>1</v>
      </c>
    </row>
    <row r="18" spans="1:42" ht="11.25" customHeight="1" x14ac:dyDescent="0.3">
      <c r="A18" s="120"/>
      <c r="B18" s="120"/>
      <c r="C18" s="120"/>
      <c r="D18" s="120"/>
      <c r="E18" s="120"/>
      <c r="F18" s="120"/>
      <c r="G18" s="21" t="s">
        <v>85</v>
      </c>
      <c r="H18" s="21" t="s">
        <v>72</v>
      </c>
      <c r="I18" s="21">
        <f>'MERCADO TUSD'!$U$15</f>
        <v>0</v>
      </c>
      <c r="J18" s="17"/>
      <c r="L18" s="39"/>
      <c r="M18" s="39"/>
      <c r="N18" s="39"/>
      <c r="O18" s="39"/>
      <c r="P18" s="39"/>
      <c r="Q18" s="39"/>
      <c r="R18" s="39"/>
      <c r="S18" s="39"/>
      <c r="T18" s="39"/>
      <c r="U18" s="39">
        <v>0</v>
      </c>
      <c r="V18" s="39">
        <v>0</v>
      </c>
      <c r="W18" s="39">
        <v>0</v>
      </c>
      <c r="X18" s="39">
        <v>0</v>
      </c>
      <c r="Y18" s="39">
        <v>28.526700000000002</v>
      </c>
      <c r="Z18" s="39">
        <v>0</v>
      </c>
      <c r="AA18" s="39">
        <v>0</v>
      </c>
      <c r="AB18" s="39"/>
      <c r="AC18" s="39">
        <v>403.86349999999999</v>
      </c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P18" s="39">
        <v>1</v>
      </c>
    </row>
    <row r="19" spans="1:42" ht="11.25" customHeight="1" x14ac:dyDescent="0.3">
      <c r="A19" s="120"/>
      <c r="B19" s="120"/>
      <c r="C19" s="120"/>
      <c r="D19" s="120"/>
      <c r="E19" s="120"/>
      <c r="F19" s="120"/>
      <c r="G19" s="21" t="s">
        <v>74</v>
      </c>
      <c r="H19" s="21" t="s">
        <v>72</v>
      </c>
      <c r="I19" s="21">
        <f>'MERCADO TUSD'!$U$16</f>
        <v>0.71099999999999985</v>
      </c>
      <c r="J19" s="17"/>
      <c r="L19" s="39"/>
      <c r="M19" s="39"/>
      <c r="N19" s="39"/>
      <c r="O19" s="39"/>
      <c r="P19" s="39"/>
      <c r="Q19" s="39"/>
      <c r="R19" s="39"/>
      <c r="S19" s="39"/>
      <c r="T19" s="39"/>
      <c r="U19" s="39">
        <v>0</v>
      </c>
      <c r="V19" s="39">
        <v>0</v>
      </c>
      <c r="W19" s="39">
        <v>0</v>
      </c>
      <c r="X19" s="39">
        <v>0</v>
      </c>
      <c r="Y19" s="39">
        <v>9.5090000000000003</v>
      </c>
      <c r="Z19" s="39">
        <v>0</v>
      </c>
      <c r="AA19" s="39">
        <v>0</v>
      </c>
      <c r="AB19" s="39"/>
      <c r="AC19" s="39">
        <v>134.62110000000001</v>
      </c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9">
        <v>1</v>
      </c>
    </row>
    <row r="20" spans="1:42" ht="11.25" customHeight="1" x14ac:dyDescent="0.3">
      <c r="A20" s="120"/>
      <c r="B20" s="120" t="s">
        <v>23</v>
      </c>
      <c r="C20" s="120" t="s">
        <v>24</v>
      </c>
      <c r="D20" s="40" t="s">
        <v>24</v>
      </c>
      <c r="E20" s="40" t="s">
        <v>25</v>
      </c>
      <c r="F20" s="40" t="s">
        <v>25</v>
      </c>
      <c r="G20" s="21" t="s">
        <v>76</v>
      </c>
      <c r="H20" s="21" t="s">
        <v>72</v>
      </c>
      <c r="I20" s="21">
        <f>'MERCADO TUSD'!$U$17</f>
        <v>9876.3909999999996</v>
      </c>
      <c r="J20" s="17"/>
      <c r="L20" s="39"/>
      <c r="M20" s="39"/>
      <c r="N20" s="39"/>
      <c r="O20" s="39"/>
      <c r="P20" s="39"/>
      <c r="Q20" s="39"/>
      <c r="R20" s="39"/>
      <c r="S20" s="39"/>
      <c r="T20" s="39"/>
      <c r="U20" s="39">
        <v>0</v>
      </c>
      <c r="V20" s="39">
        <v>0</v>
      </c>
      <c r="W20" s="39">
        <v>0</v>
      </c>
      <c r="X20" s="39">
        <v>0</v>
      </c>
      <c r="Y20" s="39">
        <v>17.609100000000002</v>
      </c>
      <c r="Z20" s="39">
        <v>0</v>
      </c>
      <c r="AA20" s="39">
        <v>0</v>
      </c>
      <c r="AB20" s="39"/>
      <c r="AC20" s="39">
        <v>249.29849999999999</v>
      </c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P20" s="39">
        <v>1</v>
      </c>
    </row>
    <row r="21" spans="1:42" ht="11.25" customHeight="1" x14ac:dyDescent="0.3">
      <c r="A21" s="120"/>
      <c r="B21" s="120"/>
      <c r="C21" s="120"/>
      <c r="D21" s="40" t="s">
        <v>29</v>
      </c>
      <c r="E21" s="40" t="s">
        <v>25</v>
      </c>
      <c r="F21" s="40" t="s">
        <v>25</v>
      </c>
      <c r="G21" s="21" t="s">
        <v>76</v>
      </c>
      <c r="H21" s="21" t="s">
        <v>72</v>
      </c>
      <c r="I21" s="21">
        <f>'MERCADO TUSD'!$U$18</f>
        <v>38.58</v>
      </c>
      <c r="J21" s="17"/>
      <c r="L21" s="39"/>
      <c r="M21" s="39"/>
      <c r="N21" s="39"/>
      <c r="O21" s="39"/>
      <c r="P21" s="39"/>
      <c r="Q21" s="39"/>
      <c r="R21" s="39"/>
      <c r="S21" s="39"/>
      <c r="T21" s="39"/>
      <c r="U21" s="39">
        <v>0</v>
      </c>
      <c r="V21" s="39">
        <v>0</v>
      </c>
      <c r="W21" s="39">
        <v>0</v>
      </c>
      <c r="X21" s="39">
        <v>0</v>
      </c>
      <c r="Y21" s="39">
        <f>(1 - CUSTOS!$M$24)*17.6091</f>
        <v>17.609100000000002</v>
      </c>
      <c r="Z21" s="39">
        <v>0</v>
      </c>
      <c r="AA21" s="39">
        <v>0</v>
      </c>
      <c r="AB21" s="39"/>
      <c r="AC21" s="39">
        <f>(1 - CUSTOS!$M$24)*249.2985</f>
        <v>249.29849999999999</v>
      </c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P21" s="39">
        <f>IF((1 - CUSTOS!$M$24)&lt;&gt;0,1/(1 - CUSTOS!$M$24),1)</f>
        <v>1</v>
      </c>
    </row>
    <row r="22" spans="1:42" ht="11.25" customHeight="1" x14ac:dyDescent="0.3">
      <c r="A22" s="120"/>
      <c r="B22" s="120"/>
      <c r="C22" s="120"/>
      <c r="D22" s="40" t="s">
        <v>30</v>
      </c>
      <c r="E22" s="40" t="s">
        <v>25</v>
      </c>
      <c r="F22" s="40" t="s">
        <v>25</v>
      </c>
      <c r="G22" s="21" t="s">
        <v>76</v>
      </c>
      <c r="H22" s="21" t="s">
        <v>72</v>
      </c>
      <c r="I22" s="21">
        <f>'MERCADO TUSD'!$U$19</f>
        <v>77.120999999999995</v>
      </c>
      <c r="J22" s="17"/>
      <c r="L22" s="39"/>
      <c r="M22" s="39"/>
      <c r="N22" s="39"/>
      <c r="O22" s="39"/>
      <c r="P22" s="39"/>
      <c r="Q22" s="39"/>
      <c r="R22" s="39"/>
      <c r="S22" s="39"/>
      <c r="T22" s="39"/>
      <c r="U22" s="39">
        <v>0</v>
      </c>
      <c r="V22" s="39">
        <v>0</v>
      </c>
      <c r="W22" s="39">
        <v>0</v>
      </c>
      <c r="X22" s="39">
        <v>0</v>
      </c>
      <c r="Y22" s="39">
        <f>(1 - CUSTOS!$M$25)*17.6091</f>
        <v>17.609100000000002</v>
      </c>
      <c r="Z22" s="39">
        <v>0</v>
      </c>
      <c r="AA22" s="39">
        <v>0</v>
      </c>
      <c r="AB22" s="39"/>
      <c r="AC22" s="39">
        <f>(1 - CUSTOS!$M$25)*249.2985</f>
        <v>249.29849999999999</v>
      </c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P22" s="39">
        <f>IF((1 - CUSTOS!$M$25)&lt;&gt;0,1/(1 - CUSTOS!$M$25),1)</f>
        <v>1</v>
      </c>
    </row>
    <row r="23" spans="1:42" ht="11.25" customHeight="1" x14ac:dyDescent="0.3">
      <c r="A23" s="120"/>
      <c r="B23" s="120"/>
      <c r="C23" s="120"/>
      <c r="D23" s="40" t="s">
        <v>31</v>
      </c>
      <c r="E23" s="40" t="s">
        <v>25</v>
      </c>
      <c r="F23" s="40" t="s">
        <v>25</v>
      </c>
      <c r="G23" s="21" t="s">
        <v>76</v>
      </c>
      <c r="H23" s="21" t="s">
        <v>72</v>
      </c>
      <c r="I23" s="21">
        <f>'MERCADO TUSD'!$U$20</f>
        <v>54.47</v>
      </c>
      <c r="J23" s="17"/>
      <c r="L23" s="39"/>
      <c r="M23" s="39"/>
      <c r="N23" s="39"/>
      <c r="O23" s="39"/>
      <c r="P23" s="39"/>
      <c r="Q23" s="39"/>
      <c r="R23" s="39"/>
      <c r="S23" s="39"/>
      <c r="T23" s="39"/>
      <c r="U23" s="39">
        <v>0</v>
      </c>
      <c r="V23" s="39">
        <v>0</v>
      </c>
      <c r="W23" s="39">
        <v>0</v>
      </c>
      <c r="X23" s="39">
        <v>0</v>
      </c>
      <c r="Y23" s="39">
        <f>(1 - CUSTOS!$M$26)*17.6091</f>
        <v>17.609100000000002</v>
      </c>
      <c r="Z23" s="39">
        <v>0</v>
      </c>
      <c r="AA23" s="39">
        <v>0</v>
      </c>
      <c r="AB23" s="39"/>
      <c r="AC23" s="39">
        <f>(1 - CUSTOS!$M$26)*249.2985</f>
        <v>249.29849999999999</v>
      </c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P23" s="39">
        <f>IF((1 - CUSTOS!$M$26)&lt;&gt;0,1/(1 - CUSTOS!$M$26),1)</f>
        <v>1</v>
      </c>
    </row>
    <row r="24" spans="1:42" ht="11.25" customHeight="1" x14ac:dyDescent="0.3">
      <c r="A24" s="120"/>
      <c r="B24" s="120"/>
      <c r="C24" s="120"/>
      <c r="D24" s="40" t="s">
        <v>32</v>
      </c>
      <c r="E24" s="40" t="s">
        <v>25</v>
      </c>
      <c r="F24" s="40" t="s">
        <v>25</v>
      </c>
      <c r="G24" s="21" t="s">
        <v>76</v>
      </c>
      <c r="H24" s="21" t="s">
        <v>72</v>
      </c>
      <c r="I24" s="21">
        <f>'MERCADO TUSD'!$U$21</f>
        <v>9.1170000000000009</v>
      </c>
      <c r="J24" s="17"/>
      <c r="L24" s="39"/>
      <c r="M24" s="39"/>
      <c r="N24" s="39"/>
      <c r="O24" s="39"/>
      <c r="P24" s="39"/>
      <c r="Q24" s="39"/>
      <c r="R24" s="39"/>
      <c r="S24" s="39"/>
      <c r="T24" s="39"/>
      <c r="U24" s="39">
        <v>0</v>
      </c>
      <c r="V24" s="39">
        <v>0</v>
      </c>
      <c r="W24" s="39">
        <v>0</v>
      </c>
      <c r="X24" s="39">
        <v>0</v>
      </c>
      <c r="Y24" s="39">
        <f>(1 - CUSTOS!$M$27)*17.6091</f>
        <v>17.609100000000002</v>
      </c>
      <c r="Z24" s="39">
        <v>0</v>
      </c>
      <c r="AA24" s="39">
        <v>0</v>
      </c>
      <c r="AB24" s="39"/>
      <c r="AC24" s="39">
        <f>(1 - CUSTOS!$M$27)*249.2985</f>
        <v>249.29849999999999</v>
      </c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P24" s="39">
        <f>IF((1 - CUSTOS!$M$27)&lt;&gt;0,1/(1 - CUSTOS!$M$27),1)</f>
        <v>1</v>
      </c>
    </row>
    <row r="25" spans="1:42" ht="11.25" customHeight="1" x14ac:dyDescent="0.3">
      <c r="A25" s="120"/>
      <c r="B25" s="120" t="s">
        <v>87</v>
      </c>
      <c r="C25" s="120" t="s">
        <v>24</v>
      </c>
      <c r="D25" s="40" t="s">
        <v>24</v>
      </c>
      <c r="E25" s="40" t="s">
        <v>25</v>
      </c>
      <c r="F25" s="40" t="s">
        <v>25</v>
      </c>
      <c r="G25" s="21" t="s">
        <v>76</v>
      </c>
      <c r="H25" s="21" t="s">
        <v>72</v>
      </c>
      <c r="I25" s="21">
        <f>'MERCADO TUSD'!$U$22</f>
        <v>0</v>
      </c>
      <c r="J25" s="17"/>
      <c r="L25" s="39"/>
      <c r="M25" s="39"/>
      <c r="N25" s="39"/>
      <c r="O25" s="39"/>
      <c r="P25" s="39"/>
      <c r="Q25" s="39"/>
      <c r="R25" s="39"/>
      <c r="S25" s="39"/>
      <c r="T25" s="39"/>
      <c r="U25" s="39">
        <v>0</v>
      </c>
      <c r="V25" s="39">
        <v>0</v>
      </c>
      <c r="W25" s="39">
        <v>0</v>
      </c>
      <c r="X25" s="39">
        <v>0</v>
      </c>
      <c r="Y25" s="39">
        <v>17.609100000000002</v>
      </c>
      <c r="Z25" s="39">
        <v>0</v>
      </c>
      <c r="AA25" s="39">
        <v>0</v>
      </c>
      <c r="AB25" s="39"/>
      <c r="AC25" s="39">
        <v>249.29849999999999</v>
      </c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P25" s="39">
        <v>1</v>
      </c>
    </row>
    <row r="26" spans="1:42" ht="11.25" customHeight="1" x14ac:dyDescent="0.3">
      <c r="A26" s="120"/>
      <c r="B26" s="120"/>
      <c r="C26" s="120"/>
      <c r="D26" s="40" t="s">
        <v>29</v>
      </c>
      <c r="E26" s="40" t="s">
        <v>25</v>
      </c>
      <c r="F26" s="40" t="s">
        <v>25</v>
      </c>
      <c r="G26" s="21" t="s">
        <v>76</v>
      </c>
      <c r="H26" s="21" t="s">
        <v>72</v>
      </c>
      <c r="I26" s="21">
        <f>'MERCADO TUSD'!$U$23</f>
        <v>0</v>
      </c>
      <c r="J26" s="17"/>
      <c r="L26" s="39"/>
      <c r="M26" s="39"/>
      <c r="N26" s="39"/>
      <c r="O26" s="39"/>
      <c r="P26" s="39"/>
      <c r="Q26" s="39"/>
      <c r="R26" s="39"/>
      <c r="S26" s="39"/>
      <c r="T26" s="39"/>
      <c r="U26" s="39">
        <v>0</v>
      </c>
      <c r="V26" s="39">
        <v>0</v>
      </c>
      <c r="W26" s="39">
        <v>0</v>
      </c>
      <c r="X26" s="39">
        <v>0</v>
      </c>
      <c r="Y26" s="39">
        <f>(1 - CUSTOS!$M$24)*17.6091</f>
        <v>17.609100000000002</v>
      </c>
      <c r="Z26" s="39">
        <v>0</v>
      </c>
      <c r="AA26" s="39">
        <v>0</v>
      </c>
      <c r="AB26" s="39"/>
      <c r="AC26" s="39">
        <f>(1 - CUSTOS!$M$24)*249.2985</f>
        <v>249.29849999999999</v>
      </c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P26" s="39">
        <f>IF((1 - CUSTOS!$M$24)&lt;&gt;0,1/(1 - CUSTOS!$M$24),1)</f>
        <v>1</v>
      </c>
    </row>
    <row r="27" spans="1:42" ht="11.25" customHeight="1" x14ac:dyDescent="0.3">
      <c r="A27" s="120"/>
      <c r="B27" s="120"/>
      <c r="C27" s="120"/>
      <c r="D27" s="40" t="s">
        <v>30</v>
      </c>
      <c r="E27" s="40" t="s">
        <v>25</v>
      </c>
      <c r="F27" s="40" t="s">
        <v>25</v>
      </c>
      <c r="G27" s="21" t="s">
        <v>76</v>
      </c>
      <c r="H27" s="21" t="s">
        <v>72</v>
      </c>
      <c r="I27" s="21">
        <f>'MERCADO TUSD'!$U$24</f>
        <v>0</v>
      </c>
      <c r="J27" s="17"/>
      <c r="L27" s="39"/>
      <c r="M27" s="39"/>
      <c r="N27" s="39"/>
      <c r="O27" s="39"/>
      <c r="P27" s="39"/>
      <c r="Q27" s="39"/>
      <c r="R27" s="39"/>
      <c r="S27" s="39"/>
      <c r="T27" s="39"/>
      <c r="U27" s="39">
        <v>0</v>
      </c>
      <c r="V27" s="39">
        <v>0</v>
      </c>
      <c r="W27" s="39">
        <v>0</v>
      </c>
      <c r="X27" s="39">
        <v>0</v>
      </c>
      <c r="Y27" s="39">
        <f>(1 - CUSTOS!$M$25)*17.6091</f>
        <v>17.609100000000002</v>
      </c>
      <c r="Z27" s="39">
        <v>0</v>
      </c>
      <c r="AA27" s="39">
        <v>0</v>
      </c>
      <c r="AB27" s="39"/>
      <c r="AC27" s="39">
        <f>(1 - CUSTOS!$M$25)*249.2985</f>
        <v>249.29849999999999</v>
      </c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P27" s="39">
        <f>IF((1 - CUSTOS!$M$25)&lt;&gt;0,1/(1 - CUSTOS!$M$25),1)</f>
        <v>1</v>
      </c>
    </row>
    <row r="28" spans="1:42" ht="11.25" customHeight="1" x14ac:dyDescent="0.3">
      <c r="A28" s="120"/>
      <c r="B28" s="120"/>
      <c r="C28" s="120"/>
      <c r="D28" s="40" t="s">
        <v>31</v>
      </c>
      <c r="E28" s="40" t="s">
        <v>25</v>
      </c>
      <c r="F28" s="40" t="s">
        <v>25</v>
      </c>
      <c r="G28" s="21" t="s">
        <v>76</v>
      </c>
      <c r="H28" s="21" t="s">
        <v>72</v>
      </c>
      <c r="I28" s="21">
        <f>'MERCADO TUSD'!$U$25</f>
        <v>0</v>
      </c>
      <c r="J28" s="17"/>
      <c r="L28" s="39"/>
      <c r="M28" s="39"/>
      <c r="N28" s="39"/>
      <c r="O28" s="39"/>
      <c r="P28" s="39"/>
      <c r="Q28" s="39"/>
      <c r="R28" s="39"/>
      <c r="S28" s="39"/>
      <c r="T28" s="39"/>
      <c r="U28" s="39">
        <v>0</v>
      </c>
      <c r="V28" s="39">
        <v>0</v>
      </c>
      <c r="W28" s="39">
        <v>0</v>
      </c>
      <c r="X28" s="39">
        <v>0</v>
      </c>
      <c r="Y28" s="39">
        <f>(1 - CUSTOS!$M$26)*17.6091</f>
        <v>17.609100000000002</v>
      </c>
      <c r="Z28" s="39">
        <v>0</v>
      </c>
      <c r="AA28" s="39">
        <v>0</v>
      </c>
      <c r="AB28" s="39"/>
      <c r="AC28" s="39">
        <f>(1 - CUSTOS!$M$26)*249.2985</f>
        <v>249.29849999999999</v>
      </c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P28" s="39">
        <f>IF((1 - CUSTOS!$M$26)&lt;&gt;0,1/(1 - CUSTOS!$M$26),1)</f>
        <v>1</v>
      </c>
    </row>
    <row r="29" spans="1:42" ht="11.25" customHeight="1" x14ac:dyDescent="0.3">
      <c r="A29" s="120"/>
      <c r="B29" s="120"/>
      <c r="C29" s="120"/>
      <c r="D29" s="40" t="s">
        <v>32</v>
      </c>
      <c r="E29" s="40" t="s">
        <v>25</v>
      </c>
      <c r="F29" s="40" t="s">
        <v>25</v>
      </c>
      <c r="G29" s="21" t="s">
        <v>76</v>
      </c>
      <c r="H29" s="21" t="s">
        <v>72</v>
      </c>
      <c r="I29" s="21">
        <f>'MERCADO TUSD'!$U$26</f>
        <v>0</v>
      </c>
      <c r="J29" s="17"/>
      <c r="L29" s="39"/>
      <c r="M29" s="39"/>
      <c r="N29" s="39"/>
      <c r="O29" s="39"/>
      <c r="P29" s="39"/>
      <c r="Q29" s="39"/>
      <c r="R29" s="39"/>
      <c r="S29" s="39"/>
      <c r="T29" s="39"/>
      <c r="U29" s="39">
        <v>0</v>
      </c>
      <c r="V29" s="39">
        <v>0</v>
      </c>
      <c r="W29" s="39">
        <v>0</v>
      </c>
      <c r="X29" s="39">
        <v>0</v>
      </c>
      <c r="Y29" s="39">
        <f>(1 - CUSTOS!$M$27)*17.6091</f>
        <v>17.609100000000002</v>
      </c>
      <c r="Z29" s="39">
        <v>0</v>
      </c>
      <c r="AA29" s="39">
        <v>0</v>
      </c>
      <c r="AB29" s="39"/>
      <c r="AC29" s="39">
        <f>(1 - CUSTOS!$M$27)*249.2985</f>
        <v>249.29849999999999</v>
      </c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P29" s="39">
        <f>IF((1 - CUSTOS!$M$27)&lt;&gt;0,1/(1 - CUSTOS!$M$27),1)</f>
        <v>1</v>
      </c>
    </row>
    <row r="30" spans="1:42" ht="11.25" customHeight="1" x14ac:dyDescent="0.3">
      <c r="A30" s="120" t="s">
        <v>43</v>
      </c>
      <c r="B30" s="120" t="s">
        <v>33</v>
      </c>
      <c r="C30" s="120" t="s">
        <v>44</v>
      </c>
      <c r="D30" s="120" t="s">
        <v>25</v>
      </c>
      <c r="E30" s="120" t="s">
        <v>25</v>
      </c>
      <c r="F30" s="120" t="s">
        <v>25</v>
      </c>
      <c r="G30" s="21" t="s">
        <v>73</v>
      </c>
      <c r="H30" s="21" t="s">
        <v>72</v>
      </c>
      <c r="I30" s="21">
        <f>'MERCADO TUSD'!$U$27</f>
        <v>0</v>
      </c>
      <c r="J30" s="17"/>
      <c r="L30" s="39"/>
      <c r="M30" s="39"/>
      <c r="N30" s="39"/>
      <c r="O30" s="39"/>
      <c r="P30" s="39"/>
      <c r="Q30" s="39"/>
      <c r="R30" s="39"/>
      <c r="S30" s="39"/>
      <c r="T30" s="39"/>
      <c r="U30" s="39">
        <v>0</v>
      </c>
      <c r="V30" s="39">
        <v>0</v>
      </c>
      <c r="W30" s="39">
        <v>0</v>
      </c>
      <c r="X30" s="39">
        <v>0</v>
      </c>
      <c r="Y30" s="39">
        <f>(1 - CUSTOS!$M$28)*45.7837</f>
        <v>45.783700000000003</v>
      </c>
      <c r="Z30" s="39">
        <v>0</v>
      </c>
      <c r="AA30" s="39">
        <v>0</v>
      </c>
      <c r="AB30" s="39"/>
      <c r="AC30" s="39">
        <f>(1 - CUSTOS!$M$28)*648.1759</f>
        <v>648.17589999999996</v>
      </c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P30" s="39">
        <f>IF((1 - CUSTOS!$M$28)&lt;&gt;0,1/(1 - CUSTOS!$M$28),1)</f>
        <v>1</v>
      </c>
    </row>
    <row r="31" spans="1:42" ht="11.25" customHeight="1" x14ac:dyDescent="0.3">
      <c r="A31" s="120"/>
      <c r="B31" s="120"/>
      <c r="C31" s="120"/>
      <c r="D31" s="120"/>
      <c r="E31" s="120"/>
      <c r="F31" s="120"/>
      <c r="G31" s="21" t="s">
        <v>85</v>
      </c>
      <c r="H31" s="21" t="s">
        <v>72</v>
      </c>
      <c r="I31" s="21">
        <f>'MERCADO TUSD'!$U$28</f>
        <v>0</v>
      </c>
      <c r="J31" s="17"/>
      <c r="L31" s="39"/>
      <c r="M31" s="39"/>
      <c r="N31" s="39"/>
      <c r="O31" s="39"/>
      <c r="P31" s="39"/>
      <c r="Q31" s="39"/>
      <c r="R31" s="39"/>
      <c r="S31" s="39"/>
      <c r="T31" s="39"/>
      <c r="U31" s="39">
        <v>0</v>
      </c>
      <c r="V31" s="39">
        <v>0</v>
      </c>
      <c r="W31" s="39">
        <v>0</v>
      </c>
      <c r="X31" s="39">
        <v>0</v>
      </c>
      <c r="Y31" s="39">
        <f>(1 - CUSTOS!$M$28)*27.4702</f>
        <v>27.470199999999998</v>
      </c>
      <c r="Z31" s="39">
        <v>0</v>
      </c>
      <c r="AA31" s="39">
        <v>0</v>
      </c>
      <c r="AB31" s="39"/>
      <c r="AC31" s="39">
        <f>(1 - CUSTOS!$M$28)*388.9056</f>
        <v>388.90559999999999</v>
      </c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P31" s="39">
        <f>IF((1 - CUSTOS!$M$28)&lt;&gt;0,1/(1 - CUSTOS!$M$28),1)</f>
        <v>1</v>
      </c>
    </row>
    <row r="32" spans="1:42" ht="11.25" customHeight="1" x14ac:dyDescent="0.3">
      <c r="A32" s="120"/>
      <c r="B32" s="120"/>
      <c r="C32" s="120"/>
      <c r="D32" s="120"/>
      <c r="E32" s="120"/>
      <c r="F32" s="120"/>
      <c r="G32" s="21" t="s">
        <v>74</v>
      </c>
      <c r="H32" s="21" t="s">
        <v>72</v>
      </c>
      <c r="I32" s="21">
        <f>'MERCADO TUSD'!$U$29</f>
        <v>0</v>
      </c>
      <c r="J32" s="17"/>
      <c r="L32" s="39"/>
      <c r="M32" s="39"/>
      <c r="N32" s="39"/>
      <c r="O32" s="39"/>
      <c r="P32" s="39"/>
      <c r="Q32" s="39"/>
      <c r="R32" s="39"/>
      <c r="S32" s="39"/>
      <c r="T32" s="39"/>
      <c r="U32" s="39">
        <v>0</v>
      </c>
      <c r="V32" s="39">
        <v>0</v>
      </c>
      <c r="W32" s="39">
        <v>0</v>
      </c>
      <c r="X32" s="39">
        <v>0</v>
      </c>
      <c r="Y32" s="39">
        <f>(1 - CUSTOS!$M$28)*9.1567</f>
        <v>9.1567000000000007</v>
      </c>
      <c r="Z32" s="39">
        <v>0</v>
      </c>
      <c r="AA32" s="39">
        <v>0</v>
      </c>
      <c r="AB32" s="39"/>
      <c r="AC32" s="39">
        <f>(1 - CUSTOS!$M$28)*129.6352</f>
        <v>129.6352</v>
      </c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P32" s="39">
        <f>IF((1 - CUSTOS!$M$28)&lt;&gt;0,1/(1 - CUSTOS!$M$28),1)</f>
        <v>1</v>
      </c>
    </row>
    <row r="33" spans="1:42" ht="11.25" customHeight="1" x14ac:dyDescent="0.3">
      <c r="A33" s="120"/>
      <c r="B33" s="40" t="s">
        <v>23</v>
      </c>
      <c r="C33" s="40" t="s">
        <v>44</v>
      </c>
      <c r="D33" s="40" t="s">
        <v>25</v>
      </c>
      <c r="E33" s="40" t="s">
        <v>25</v>
      </c>
      <c r="F33" s="40" t="s">
        <v>25</v>
      </c>
      <c r="G33" s="21" t="s">
        <v>76</v>
      </c>
      <c r="H33" s="21" t="s">
        <v>72</v>
      </c>
      <c r="I33" s="21">
        <f>'MERCADO TUSD'!$U$30</f>
        <v>600.24900000000002</v>
      </c>
      <c r="J33" s="17"/>
      <c r="L33" s="39"/>
      <c r="M33" s="39"/>
      <c r="N33" s="39"/>
      <c r="O33" s="39"/>
      <c r="P33" s="39"/>
      <c r="Q33" s="39"/>
      <c r="R33" s="39"/>
      <c r="S33" s="39"/>
      <c r="T33" s="39"/>
      <c r="U33" s="39">
        <v>0</v>
      </c>
      <c r="V33" s="39">
        <v>0</v>
      </c>
      <c r="W33" s="39">
        <v>0</v>
      </c>
      <c r="X33" s="39">
        <v>0</v>
      </c>
      <c r="Y33" s="39">
        <f>(1 - CUSTOS!$M$28)*17.6091</f>
        <v>17.609100000000002</v>
      </c>
      <c r="Z33" s="39">
        <v>0</v>
      </c>
      <c r="AA33" s="39">
        <v>0</v>
      </c>
      <c r="AB33" s="39"/>
      <c r="AC33" s="39">
        <f>(1 - CUSTOS!$M$28)*249.2985</f>
        <v>249.29849999999999</v>
      </c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P33" s="39">
        <f>IF((1 - CUSTOS!$M$28)&lt;&gt;0,1/(1 - CUSTOS!$M$28),1)</f>
        <v>1</v>
      </c>
    </row>
    <row r="34" spans="1:42" ht="11.25" customHeight="1" x14ac:dyDescent="0.3">
      <c r="A34" s="120"/>
      <c r="B34" s="120" t="s">
        <v>33</v>
      </c>
      <c r="C34" s="120" t="s">
        <v>44</v>
      </c>
      <c r="D34" s="120" t="s">
        <v>88</v>
      </c>
      <c r="E34" s="120" t="s">
        <v>25</v>
      </c>
      <c r="F34" s="120" t="s">
        <v>25</v>
      </c>
      <c r="G34" s="21" t="s">
        <v>73</v>
      </c>
      <c r="H34" s="21" t="s">
        <v>72</v>
      </c>
      <c r="I34" s="21">
        <f>'MERCADO TUSD'!$U$31</f>
        <v>0</v>
      </c>
      <c r="J34" s="17"/>
      <c r="L34" s="39"/>
      <c r="M34" s="39"/>
      <c r="N34" s="39"/>
      <c r="O34" s="39"/>
      <c r="P34" s="39"/>
      <c r="Q34" s="39"/>
      <c r="R34" s="39"/>
      <c r="S34" s="39"/>
      <c r="T34" s="39"/>
      <c r="U34" s="39">
        <v>0</v>
      </c>
      <c r="V34" s="39">
        <v>0</v>
      </c>
      <c r="W34" s="39">
        <v>0</v>
      </c>
      <c r="X34" s="39">
        <v>0</v>
      </c>
      <c r="Y34" s="39">
        <f>(1 - CUSTOS!$M$29)*45.7837</f>
        <v>45.783700000000003</v>
      </c>
      <c r="Z34" s="39">
        <v>0</v>
      </c>
      <c r="AA34" s="39">
        <v>0</v>
      </c>
      <c r="AB34" s="39"/>
      <c r="AC34" s="39">
        <f>(1 - CUSTOS!$M$29)*648.1759</f>
        <v>648.17589999999996</v>
      </c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P34" s="39">
        <f>IF((1 - CUSTOS!$M$29)&lt;&gt;0,1/(1 - CUSTOS!$M$29),1)</f>
        <v>1</v>
      </c>
    </row>
    <row r="35" spans="1:42" ht="11.25" customHeight="1" x14ac:dyDescent="0.3">
      <c r="A35" s="120"/>
      <c r="B35" s="120"/>
      <c r="C35" s="120"/>
      <c r="D35" s="120"/>
      <c r="E35" s="120"/>
      <c r="F35" s="120"/>
      <c r="G35" s="21" t="s">
        <v>85</v>
      </c>
      <c r="H35" s="21" t="s">
        <v>72</v>
      </c>
      <c r="I35" s="21">
        <f>'MERCADO TUSD'!$U$32</f>
        <v>0</v>
      </c>
      <c r="J35" s="17"/>
      <c r="L35" s="39"/>
      <c r="M35" s="39"/>
      <c r="N35" s="39"/>
      <c r="O35" s="39"/>
      <c r="P35" s="39"/>
      <c r="Q35" s="39"/>
      <c r="R35" s="39"/>
      <c r="S35" s="39"/>
      <c r="T35" s="39"/>
      <c r="U35" s="39">
        <v>0</v>
      </c>
      <c r="V35" s="39">
        <v>0</v>
      </c>
      <c r="W35" s="39">
        <v>0</v>
      </c>
      <c r="X35" s="39">
        <v>0</v>
      </c>
      <c r="Y35" s="39">
        <f>(1 - CUSTOS!$M$29)*27.4702</f>
        <v>27.470199999999998</v>
      </c>
      <c r="Z35" s="39">
        <v>0</v>
      </c>
      <c r="AA35" s="39">
        <v>0</v>
      </c>
      <c r="AB35" s="39"/>
      <c r="AC35" s="39">
        <f>(1 - CUSTOS!$M$29)*388.9056</f>
        <v>388.90559999999999</v>
      </c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P35" s="39">
        <f>IF((1 - CUSTOS!$M$29)&lt;&gt;0,1/(1 - CUSTOS!$M$29),1)</f>
        <v>1</v>
      </c>
    </row>
    <row r="36" spans="1:42" ht="11.25" customHeight="1" x14ac:dyDescent="0.3">
      <c r="A36" s="120"/>
      <c r="B36" s="120"/>
      <c r="C36" s="120"/>
      <c r="D36" s="120"/>
      <c r="E36" s="120"/>
      <c r="F36" s="120"/>
      <c r="G36" s="21" t="s">
        <v>74</v>
      </c>
      <c r="H36" s="21" t="s">
        <v>72</v>
      </c>
      <c r="I36" s="21">
        <f>'MERCADO TUSD'!$U$33</f>
        <v>0</v>
      </c>
      <c r="J36" s="17"/>
      <c r="L36" s="39"/>
      <c r="M36" s="39"/>
      <c r="N36" s="39"/>
      <c r="O36" s="39"/>
      <c r="P36" s="39"/>
      <c r="Q36" s="39"/>
      <c r="R36" s="39"/>
      <c r="S36" s="39"/>
      <c r="T36" s="39"/>
      <c r="U36" s="39">
        <v>0</v>
      </c>
      <c r="V36" s="39">
        <v>0</v>
      </c>
      <c r="W36" s="39">
        <v>0</v>
      </c>
      <c r="X36" s="39">
        <v>0</v>
      </c>
      <c r="Y36" s="39">
        <f>(1 - CUSTOS!$M$29)*9.1567</f>
        <v>9.1567000000000007</v>
      </c>
      <c r="Z36" s="39">
        <v>0</v>
      </c>
      <c r="AA36" s="39">
        <v>0</v>
      </c>
      <c r="AB36" s="39"/>
      <c r="AC36" s="39">
        <f>(1 - CUSTOS!$M$29)*129.6352</f>
        <v>129.6352</v>
      </c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P36" s="39">
        <f>IF((1 - CUSTOS!$M$29)&lt;&gt;0,1/(1 - CUSTOS!$M$29),1)</f>
        <v>1</v>
      </c>
    </row>
    <row r="37" spans="1:42" ht="11.25" customHeight="1" x14ac:dyDescent="0.3">
      <c r="A37" s="120"/>
      <c r="B37" s="40" t="s">
        <v>23</v>
      </c>
      <c r="C37" s="40" t="s">
        <v>44</v>
      </c>
      <c r="D37" s="40" t="s">
        <v>88</v>
      </c>
      <c r="E37" s="40" t="s">
        <v>25</v>
      </c>
      <c r="F37" s="40" t="s">
        <v>25</v>
      </c>
      <c r="G37" s="21" t="s">
        <v>76</v>
      </c>
      <c r="H37" s="21" t="s">
        <v>72</v>
      </c>
      <c r="I37" s="21">
        <f>'MERCADO TUSD'!$U$34</f>
        <v>0</v>
      </c>
      <c r="J37" s="17"/>
      <c r="L37" s="39"/>
      <c r="M37" s="39"/>
      <c r="N37" s="39"/>
      <c r="O37" s="39"/>
      <c r="P37" s="39"/>
      <c r="Q37" s="39"/>
      <c r="R37" s="39"/>
      <c r="S37" s="39"/>
      <c r="T37" s="39"/>
      <c r="U37" s="39">
        <v>0</v>
      </c>
      <c r="V37" s="39">
        <v>0</v>
      </c>
      <c r="W37" s="39">
        <v>0</v>
      </c>
      <c r="X37" s="39">
        <v>0</v>
      </c>
      <c r="Y37" s="39">
        <f>(1 - CUSTOS!$M$29)*17.6091</f>
        <v>17.609100000000002</v>
      </c>
      <c r="Z37" s="39">
        <v>0</v>
      </c>
      <c r="AA37" s="39">
        <v>0</v>
      </c>
      <c r="AB37" s="39"/>
      <c r="AC37" s="39">
        <f>(1 - CUSTOS!$M$29)*249.2985</f>
        <v>249.29849999999999</v>
      </c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P37" s="39">
        <f>IF((1 - CUSTOS!$M$29)&lt;&gt;0,1/(1 - CUSTOS!$M$29),1)</f>
        <v>1</v>
      </c>
    </row>
    <row r="38" spans="1:42" ht="11.25" customHeight="1" x14ac:dyDescent="0.3">
      <c r="A38" s="120"/>
      <c r="B38" s="120" t="s">
        <v>33</v>
      </c>
      <c r="C38" s="120" t="s">
        <v>44</v>
      </c>
      <c r="D38" s="120" t="s">
        <v>89</v>
      </c>
      <c r="E38" s="120" t="s">
        <v>25</v>
      </c>
      <c r="F38" s="120" t="s">
        <v>25</v>
      </c>
      <c r="G38" s="21" t="s">
        <v>73</v>
      </c>
      <c r="H38" s="21" t="s">
        <v>72</v>
      </c>
      <c r="I38" s="21">
        <f>'MERCADO TUSD'!$U$35</f>
        <v>0</v>
      </c>
      <c r="J38" s="17"/>
      <c r="L38" s="39"/>
      <c r="M38" s="39"/>
      <c r="N38" s="39"/>
      <c r="O38" s="39"/>
      <c r="P38" s="39"/>
      <c r="Q38" s="39"/>
      <c r="R38" s="39"/>
      <c r="S38" s="39"/>
      <c r="T38" s="39"/>
      <c r="U38" s="39">
        <v>0</v>
      </c>
      <c r="V38" s="39">
        <v>0</v>
      </c>
      <c r="W38" s="39">
        <v>0</v>
      </c>
      <c r="X38" s="39">
        <v>0</v>
      </c>
      <c r="Y38" s="39">
        <f>(1 - CUSTOS!$M$30)*45.7837</f>
        <v>45.783700000000003</v>
      </c>
      <c r="Z38" s="39">
        <v>0</v>
      </c>
      <c r="AA38" s="39">
        <v>0</v>
      </c>
      <c r="AB38" s="39"/>
      <c r="AC38" s="39">
        <f>(1 - CUSTOS!$M$30)*648.1759</f>
        <v>648.17589999999996</v>
      </c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P38" s="39">
        <f>IF((1 - CUSTOS!$M$30)&lt;&gt;0,1/(1 - CUSTOS!$M$30),1)</f>
        <v>1</v>
      </c>
    </row>
    <row r="39" spans="1:42" ht="11.25" customHeight="1" x14ac:dyDescent="0.3">
      <c r="A39" s="120"/>
      <c r="B39" s="120"/>
      <c r="C39" s="120"/>
      <c r="D39" s="120"/>
      <c r="E39" s="120"/>
      <c r="F39" s="120"/>
      <c r="G39" s="21" t="s">
        <v>85</v>
      </c>
      <c r="H39" s="21" t="s">
        <v>72</v>
      </c>
      <c r="I39" s="21">
        <f>'MERCADO TUSD'!$U$36</f>
        <v>0</v>
      </c>
      <c r="J39" s="17"/>
      <c r="L39" s="39"/>
      <c r="M39" s="39"/>
      <c r="N39" s="39"/>
      <c r="O39" s="39"/>
      <c r="P39" s="39"/>
      <c r="Q39" s="39"/>
      <c r="R39" s="39"/>
      <c r="S39" s="39"/>
      <c r="T39" s="39"/>
      <c r="U39" s="39">
        <v>0</v>
      </c>
      <c r="V39" s="39">
        <v>0</v>
      </c>
      <c r="W39" s="39">
        <v>0</v>
      </c>
      <c r="X39" s="39">
        <v>0</v>
      </c>
      <c r="Y39" s="39">
        <f>(1 - CUSTOS!$M$30)*27.4702</f>
        <v>27.470199999999998</v>
      </c>
      <c r="Z39" s="39">
        <v>0</v>
      </c>
      <c r="AA39" s="39">
        <v>0</v>
      </c>
      <c r="AB39" s="39"/>
      <c r="AC39" s="39">
        <f>(1 - CUSTOS!$M$30)*388.9056</f>
        <v>388.90559999999999</v>
      </c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P39" s="39">
        <f>IF((1 - CUSTOS!$M$30)&lt;&gt;0,1/(1 - CUSTOS!$M$30),1)</f>
        <v>1</v>
      </c>
    </row>
    <row r="40" spans="1:42" ht="11.25" customHeight="1" x14ac:dyDescent="0.3">
      <c r="A40" s="120"/>
      <c r="B40" s="120"/>
      <c r="C40" s="120"/>
      <c r="D40" s="120"/>
      <c r="E40" s="120"/>
      <c r="F40" s="120"/>
      <c r="G40" s="21" t="s">
        <v>74</v>
      </c>
      <c r="H40" s="21" t="s">
        <v>72</v>
      </c>
      <c r="I40" s="21">
        <f>'MERCADO TUSD'!$U$37</f>
        <v>0</v>
      </c>
      <c r="J40" s="17"/>
      <c r="L40" s="39"/>
      <c r="M40" s="39"/>
      <c r="N40" s="39"/>
      <c r="O40" s="39"/>
      <c r="P40" s="39"/>
      <c r="Q40" s="39"/>
      <c r="R40" s="39"/>
      <c r="S40" s="39"/>
      <c r="T40" s="39"/>
      <c r="U40" s="39">
        <v>0</v>
      </c>
      <c r="V40" s="39">
        <v>0</v>
      </c>
      <c r="W40" s="39">
        <v>0</v>
      </c>
      <c r="X40" s="39">
        <v>0</v>
      </c>
      <c r="Y40" s="39">
        <f>(1 - CUSTOS!$M$30)*9.1567</f>
        <v>9.1567000000000007</v>
      </c>
      <c r="Z40" s="39">
        <v>0</v>
      </c>
      <c r="AA40" s="39">
        <v>0</v>
      </c>
      <c r="AB40" s="39"/>
      <c r="AC40" s="39">
        <f>(1 - CUSTOS!$M$30)*129.6352</f>
        <v>129.6352</v>
      </c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P40" s="39">
        <f>IF((1 - CUSTOS!$M$30)&lt;&gt;0,1/(1 - CUSTOS!$M$30),1)</f>
        <v>1</v>
      </c>
    </row>
    <row r="41" spans="1:42" ht="11.25" customHeight="1" x14ac:dyDescent="0.3">
      <c r="A41" s="120"/>
      <c r="B41" s="40" t="s">
        <v>23</v>
      </c>
      <c r="C41" s="40" t="s">
        <v>44</v>
      </c>
      <c r="D41" s="40" t="s">
        <v>89</v>
      </c>
      <c r="E41" s="40" t="s">
        <v>25</v>
      </c>
      <c r="F41" s="40" t="s">
        <v>25</v>
      </c>
      <c r="G41" s="21" t="s">
        <v>76</v>
      </c>
      <c r="H41" s="21" t="s">
        <v>72</v>
      </c>
      <c r="I41" s="21">
        <f>'MERCADO TUSD'!$U$38</f>
        <v>0</v>
      </c>
      <c r="J41" s="17"/>
      <c r="L41" s="39"/>
      <c r="M41" s="39"/>
      <c r="N41" s="39"/>
      <c r="O41" s="39"/>
      <c r="P41" s="39"/>
      <c r="Q41" s="39"/>
      <c r="R41" s="39"/>
      <c r="S41" s="39"/>
      <c r="T41" s="39"/>
      <c r="U41" s="39">
        <v>0</v>
      </c>
      <c r="V41" s="39">
        <v>0</v>
      </c>
      <c r="W41" s="39">
        <v>0</v>
      </c>
      <c r="X41" s="39">
        <v>0</v>
      </c>
      <c r="Y41" s="39">
        <f>(1 - CUSTOS!$M$30)*17.6091</f>
        <v>17.609100000000002</v>
      </c>
      <c r="Z41" s="39">
        <v>0</v>
      </c>
      <c r="AA41" s="39">
        <v>0</v>
      </c>
      <c r="AB41" s="39"/>
      <c r="AC41" s="39">
        <f>(1 - CUSTOS!$M$30)*249.2985</f>
        <v>249.29849999999999</v>
      </c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P41" s="39">
        <f>IF((1 - CUSTOS!$M$30)&lt;&gt;0,1/(1 - CUSTOS!$M$30),1)</f>
        <v>1</v>
      </c>
    </row>
    <row r="42" spans="1:42" ht="11.25" customHeight="1" x14ac:dyDescent="0.3">
      <c r="A42" s="120"/>
      <c r="B42" s="120" t="s">
        <v>87</v>
      </c>
      <c r="C42" s="120" t="s">
        <v>44</v>
      </c>
      <c r="D42" s="40" t="s">
        <v>25</v>
      </c>
      <c r="E42" s="40" t="s">
        <v>25</v>
      </c>
      <c r="F42" s="40" t="s">
        <v>25</v>
      </c>
      <c r="G42" s="21" t="s">
        <v>76</v>
      </c>
      <c r="H42" s="21" t="s">
        <v>72</v>
      </c>
      <c r="I42" s="21">
        <f>'MERCADO TUSD'!$U$39</f>
        <v>0</v>
      </c>
      <c r="J42" s="17"/>
      <c r="L42" s="39"/>
      <c r="M42" s="39"/>
      <c r="N42" s="39"/>
      <c r="O42" s="39"/>
      <c r="P42" s="39"/>
      <c r="Q42" s="39"/>
      <c r="R42" s="39"/>
      <c r="S42" s="39"/>
      <c r="T42" s="39"/>
      <c r="U42" s="39">
        <v>0</v>
      </c>
      <c r="V42" s="39">
        <v>0</v>
      </c>
      <c r="W42" s="39">
        <v>0</v>
      </c>
      <c r="X42" s="39">
        <v>0</v>
      </c>
      <c r="Y42" s="39">
        <f>(1 - CUSTOS!$M$28)*17.6091</f>
        <v>17.609100000000002</v>
      </c>
      <c r="Z42" s="39">
        <v>0</v>
      </c>
      <c r="AA42" s="39">
        <v>0</v>
      </c>
      <c r="AB42" s="39"/>
      <c r="AC42" s="39">
        <f>(1 - CUSTOS!$M$28)*249.2985</f>
        <v>249.29849999999999</v>
      </c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P42" s="39">
        <f>IF((1 - CUSTOS!$M$28)&lt;&gt;0,1/(1 - CUSTOS!$M$28),1)</f>
        <v>1</v>
      </c>
    </row>
    <row r="43" spans="1:42" ht="11.25" customHeight="1" x14ac:dyDescent="0.3">
      <c r="A43" s="120"/>
      <c r="B43" s="120"/>
      <c r="C43" s="120"/>
      <c r="D43" s="40" t="s">
        <v>88</v>
      </c>
      <c r="E43" s="40" t="s">
        <v>25</v>
      </c>
      <c r="F43" s="40" t="s">
        <v>25</v>
      </c>
      <c r="G43" s="21" t="s">
        <v>76</v>
      </c>
      <c r="H43" s="21" t="s">
        <v>72</v>
      </c>
      <c r="I43" s="21">
        <f>'MERCADO TUSD'!$U$40</f>
        <v>0</v>
      </c>
      <c r="J43" s="17"/>
      <c r="L43" s="39"/>
      <c r="M43" s="39"/>
      <c r="N43" s="39"/>
      <c r="O43" s="39"/>
      <c r="P43" s="39"/>
      <c r="Q43" s="39"/>
      <c r="R43" s="39"/>
      <c r="S43" s="39"/>
      <c r="T43" s="39"/>
      <c r="U43" s="39">
        <v>0</v>
      </c>
      <c r="V43" s="39">
        <v>0</v>
      </c>
      <c r="W43" s="39">
        <v>0</v>
      </c>
      <c r="X43" s="39">
        <v>0</v>
      </c>
      <c r="Y43" s="39">
        <f>(1 - CUSTOS!$M$29)*17.6091</f>
        <v>17.609100000000002</v>
      </c>
      <c r="Z43" s="39">
        <v>0</v>
      </c>
      <c r="AA43" s="39">
        <v>0</v>
      </c>
      <c r="AB43" s="39"/>
      <c r="AC43" s="39">
        <f>(1 - CUSTOS!$M$29)*249.2985</f>
        <v>249.29849999999999</v>
      </c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P43" s="39">
        <f>IF((1 - CUSTOS!$M$29)&lt;&gt;0,1/(1 - CUSTOS!$M$29),1)</f>
        <v>1</v>
      </c>
    </row>
    <row r="44" spans="1:42" ht="11.25" customHeight="1" x14ac:dyDescent="0.3">
      <c r="A44" s="120"/>
      <c r="B44" s="120"/>
      <c r="C44" s="120"/>
      <c r="D44" s="40" t="s">
        <v>89</v>
      </c>
      <c r="E44" s="40" t="s">
        <v>25</v>
      </c>
      <c r="F44" s="40" t="s">
        <v>25</v>
      </c>
      <c r="G44" s="21" t="s">
        <v>76</v>
      </c>
      <c r="H44" s="21" t="s">
        <v>72</v>
      </c>
      <c r="I44" s="21">
        <f>'MERCADO TUSD'!$U$41</f>
        <v>0</v>
      </c>
      <c r="J44" s="17"/>
      <c r="L44" s="39"/>
      <c r="M44" s="39"/>
      <c r="N44" s="39"/>
      <c r="O44" s="39"/>
      <c r="P44" s="39"/>
      <c r="Q44" s="39"/>
      <c r="R44" s="39"/>
      <c r="S44" s="39"/>
      <c r="T44" s="39"/>
      <c r="U44" s="39">
        <v>0</v>
      </c>
      <c r="V44" s="39">
        <v>0</v>
      </c>
      <c r="W44" s="39">
        <v>0</v>
      </c>
      <c r="X44" s="39">
        <v>0</v>
      </c>
      <c r="Y44" s="39">
        <f>(1 - CUSTOS!$M$30)*17.6091</f>
        <v>17.609100000000002</v>
      </c>
      <c r="Z44" s="39">
        <v>0</v>
      </c>
      <c r="AA44" s="39">
        <v>0</v>
      </c>
      <c r="AB44" s="39"/>
      <c r="AC44" s="39">
        <f>(1 - CUSTOS!$M$30)*249.2985</f>
        <v>249.29849999999999</v>
      </c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P44" s="39">
        <f>IF((1 - CUSTOS!$M$30)&lt;&gt;0,1/(1 - CUSTOS!$M$30),1)</f>
        <v>1</v>
      </c>
    </row>
    <row r="45" spans="1:42" ht="11.25" customHeight="1" x14ac:dyDescent="0.3">
      <c r="A45" s="120" t="s">
        <v>35</v>
      </c>
      <c r="B45" s="120" t="s">
        <v>33</v>
      </c>
      <c r="C45" s="120" t="s">
        <v>25</v>
      </c>
      <c r="D45" s="120" t="s">
        <v>25</v>
      </c>
      <c r="E45" s="120" t="s">
        <v>25</v>
      </c>
      <c r="F45" s="120" t="s">
        <v>25</v>
      </c>
      <c r="G45" s="21" t="s">
        <v>73</v>
      </c>
      <c r="H45" s="21" t="s">
        <v>72</v>
      </c>
      <c r="I45" s="21">
        <f>'MERCADO TUSD'!$U$42</f>
        <v>0.38900000000000001</v>
      </c>
      <c r="J45" s="17"/>
      <c r="L45" s="39"/>
      <c r="M45" s="39"/>
      <c r="N45" s="39"/>
      <c r="O45" s="39"/>
      <c r="P45" s="39"/>
      <c r="Q45" s="39"/>
      <c r="R45" s="39"/>
      <c r="S45" s="39"/>
      <c r="T45" s="39"/>
      <c r="U45" s="39">
        <v>0</v>
      </c>
      <c r="V45" s="39">
        <v>0</v>
      </c>
      <c r="W45" s="39">
        <v>0</v>
      </c>
      <c r="X45" s="39">
        <v>0</v>
      </c>
      <c r="Y45" s="39">
        <f>(1 - CUSTOS!$M$31)*53.7078</f>
        <v>53.707799999999999</v>
      </c>
      <c r="Z45" s="39">
        <v>0</v>
      </c>
      <c r="AA45" s="39">
        <v>0</v>
      </c>
      <c r="AB45" s="39"/>
      <c r="AC45" s="39">
        <f>(1 - CUSTOS!$M$31)*760.3601</f>
        <v>760.36009999999999</v>
      </c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P45" s="39">
        <f>IF((1 - CUSTOS!$M$31)&lt;&gt;0,1/(1 - CUSTOS!$M$31),1)</f>
        <v>1</v>
      </c>
    </row>
    <row r="46" spans="1:42" ht="11.25" customHeight="1" x14ac:dyDescent="0.3">
      <c r="A46" s="120"/>
      <c r="B46" s="120"/>
      <c r="C46" s="120"/>
      <c r="D46" s="120"/>
      <c r="E46" s="120"/>
      <c r="F46" s="120"/>
      <c r="G46" s="21" t="s">
        <v>85</v>
      </c>
      <c r="H46" s="21" t="s">
        <v>72</v>
      </c>
      <c r="I46" s="21">
        <f>'MERCADO TUSD'!$U$43</f>
        <v>0.23799999999999999</v>
      </c>
      <c r="J46" s="17"/>
      <c r="L46" s="39"/>
      <c r="M46" s="39"/>
      <c r="N46" s="39"/>
      <c r="O46" s="39"/>
      <c r="P46" s="39"/>
      <c r="Q46" s="39"/>
      <c r="R46" s="39"/>
      <c r="S46" s="39"/>
      <c r="T46" s="39"/>
      <c r="U46" s="39">
        <v>0</v>
      </c>
      <c r="V46" s="39">
        <v>0</v>
      </c>
      <c r="W46" s="39">
        <v>0</v>
      </c>
      <c r="X46" s="39">
        <v>0</v>
      </c>
      <c r="Y46" s="39">
        <f>(1 - CUSTOS!$M$31)*32.2247</f>
        <v>32.224699999999999</v>
      </c>
      <c r="Z46" s="39">
        <v>0</v>
      </c>
      <c r="AA46" s="39">
        <v>0</v>
      </c>
      <c r="AB46" s="39"/>
      <c r="AC46" s="39">
        <f>(1 - CUSTOS!$M$31)*456.2161</f>
        <v>456.21609999999998</v>
      </c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P46" s="39">
        <f>IF((1 - CUSTOS!$M$31)&lt;&gt;0,1/(1 - CUSTOS!$M$31),1)</f>
        <v>1</v>
      </c>
    </row>
    <row r="47" spans="1:42" ht="11.25" customHeight="1" x14ac:dyDescent="0.3">
      <c r="A47" s="120"/>
      <c r="B47" s="120"/>
      <c r="C47" s="120"/>
      <c r="D47" s="120"/>
      <c r="E47" s="120"/>
      <c r="F47" s="120"/>
      <c r="G47" s="21" t="s">
        <v>74</v>
      </c>
      <c r="H47" s="21" t="s">
        <v>72</v>
      </c>
      <c r="I47" s="21">
        <f>'MERCADO TUSD'!$U$44</f>
        <v>2.8279999999999998</v>
      </c>
      <c r="J47" s="17"/>
      <c r="L47" s="39"/>
      <c r="M47" s="39"/>
      <c r="N47" s="39"/>
      <c r="O47" s="39"/>
      <c r="P47" s="39"/>
      <c r="Q47" s="39"/>
      <c r="R47" s="39"/>
      <c r="S47" s="39"/>
      <c r="T47" s="39"/>
      <c r="U47" s="39">
        <v>0</v>
      </c>
      <c r="V47" s="39">
        <v>0</v>
      </c>
      <c r="W47" s="39">
        <v>0</v>
      </c>
      <c r="X47" s="39">
        <v>0</v>
      </c>
      <c r="Y47" s="39">
        <f>(1 - CUSTOS!$M$31)*10.7416</f>
        <v>10.7416</v>
      </c>
      <c r="Z47" s="39">
        <v>0</v>
      </c>
      <c r="AA47" s="39">
        <v>0</v>
      </c>
      <c r="AB47" s="39"/>
      <c r="AC47" s="39">
        <f>(1 - CUSTOS!$M$31)*152.072</f>
        <v>152.072</v>
      </c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P47" s="39">
        <f>IF((1 - CUSTOS!$M$31)&lt;&gt;0,1/(1 - CUSTOS!$M$31),1)</f>
        <v>1</v>
      </c>
    </row>
    <row r="48" spans="1:42" ht="11.25" customHeight="1" x14ac:dyDescent="0.3">
      <c r="A48" s="120"/>
      <c r="B48" s="40" t="s">
        <v>23</v>
      </c>
      <c r="C48" s="40" t="s">
        <v>25</v>
      </c>
      <c r="D48" s="40" t="s">
        <v>25</v>
      </c>
      <c r="E48" s="40" t="s">
        <v>25</v>
      </c>
      <c r="F48" s="40" t="s">
        <v>25</v>
      </c>
      <c r="G48" s="21" t="s">
        <v>76</v>
      </c>
      <c r="H48" s="21" t="s">
        <v>72</v>
      </c>
      <c r="I48" s="21">
        <f>'MERCADO TUSD'!$U$45</f>
        <v>1798.9960000000001</v>
      </c>
      <c r="J48" s="17"/>
      <c r="L48" s="39"/>
      <c r="M48" s="39"/>
      <c r="N48" s="39"/>
      <c r="O48" s="39"/>
      <c r="P48" s="39"/>
      <c r="Q48" s="39"/>
      <c r="R48" s="39"/>
      <c r="S48" s="39"/>
      <c r="T48" s="39"/>
      <c r="U48" s="39">
        <v>0</v>
      </c>
      <c r="V48" s="39">
        <v>0</v>
      </c>
      <c r="W48" s="39">
        <v>0</v>
      </c>
      <c r="X48" s="39">
        <v>0</v>
      </c>
      <c r="Y48" s="39">
        <f>(1 - CUSTOS!$M$31)*17.6091</f>
        <v>17.609100000000002</v>
      </c>
      <c r="Z48" s="39">
        <v>0</v>
      </c>
      <c r="AA48" s="39">
        <v>0</v>
      </c>
      <c r="AB48" s="39"/>
      <c r="AC48" s="39">
        <f>(1 - CUSTOS!$M$31)*249.2985</f>
        <v>249.29849999999999</v>
      </c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P48" s="39">
        <f>IF((1 - CUSTOS!$M$31)&lt;&gt;0,1/(1 - CUSTOS!$M$31),1)</f>
        <v>1</v>
      </c>
    </row>
    <row r="49" spans="1:42" ht="11.25" customHeight="1" x14ac:dyDescent="0.3">
      <c r="A49" s="120"/>
      <c r="B49" s="40" t="s">
        <v>87</v>
      </c>
      <c r="C49" s="40" t="s">
        <v>25</v>
      </c>
      <c r="D49" s="40" t="s">
        <v>25</v>
      </c>
      <c r="E49" s="40" t="s">
        <v>25</v>
      </c>
      <c r="F49" s="40" t="s">
        <v>25</v>
      </c>
      <c r="G49" s="21" t="s">
        <v>76</v>
      </c>
      <c r="H49" s="21" t="s">
        <v>72</v>
      </c>
      <c r="I49" s="21">
        <f>'MERCADO TUSD'!$U$46</f>
        <v>0</v>
      </c>
      <c r="J49" s="17"/>
      <c r="L49" s="39"/>
      <c r="M49" s="39"/>
      <c r="N49" s="39"/>
      <c r="O49" s="39"/>
      <c r="P49" s="39"/>
      <c r="Q49" s="39"/>
      <c r="R49" s="39"/>
      <c r="S49" s="39"/>
      <c r="T49" s="39"/>
      <c r="U49" s="39">
        <v>0</v>
      </c>
      <c r="V49" s="39">
        <v>0</v>
      </c>
      <c r="W49" s="39">
        <v>0</v>
      </c>
      <c r="X49" s="39">
        <v>0</v>
      </c>
      <c r="Y49" s="39">
        <f>(1 - CUSTOS!$M$31)*17.6091</f>
        <v>17.609100000000002</v>
      </c>
      <c r="Z49" s="39">
        <v>0</v>
      </c>
      <c r="AA49" s="39">
        <v>0</v>
      </c>
      <c r="AB49" s="39"/>
      <c r="AC49" s="39">
        <f>(1 - CUSTOS!$M$31)*249.2985</f>
        <v>249.29849999999999</v>
      </c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P49" s="39">
        <f>IF((1 - CUSTOS!$M$31)&lt;&gt;0,1/(1 - CUSTOS!$M$31),1)</f>
        <v>1</v>
      </c>
    </row>
    <row r="50" spans="1:42" ht="11.25" customHeight="1" x14ac:dyDescent="0.3">
      <c r="A50" s="120" t="s">
        <v>46</v>
      </c>
      <c r="B50" s="120" t="s">
        <v>23</v>
      </c>
      <c r="C50" s="120" t="s">
        <v>47</v>
      </c>
      <c r="D50" s="40" t="s">
        <v>48</v>
      </c>
      <c r="E50" s="40" t="s">
        <v>25</v>
      </c>
      <c r="F50" s="40" t="s">
        <v>25</v>
      </c>
      <c r="G50" s="21" t="s">
        <v>76</v>
      </c>
      <c r="H50" s="21" t="s">
        <v>72</v>
      </c>
      <c r="I50" s="21">
        <f>'MERCADO TUSD'!$U$47</f>
        <v>3164.4159999999997</v>
      </c>
      <c r="J50" s="17"/>
      <c r="L50" s="39"/>
      <c r="M50" s="39"/>
      <c r="N50" s="39"/>
      <c r="O50" s="39"/>
      <c r="P50" s="39"/>
      <c r="Q50" s="39"/>
      <c r="R50" s="39"/>
      <c r="S50" s="39"/>
      <c r="T50" s="39"/>
      <c r="U50" s="39">
        <v>0</v>
      </c>
      <c r="V50" s="39">
        <v>0</v>
      </c>
      <c r="W50" s="39">
        <v>0</v>
      </c>
      <c r="X50" s="39">
        <v>0</v>
      </c>
      <c r="Y50" s="39">
        <f>(1 - CUSTOS!$M$32)*17.6091</f>
        <v>9.6850050000000021</v>
      </c>
      <c r="Z50" s="39">
        <v>0</v>
      </c>
      <c r="AA50" s="39">
        <v>0</v>
      </c>
      <c r="AB50" s="39"/>
      <c r="AC50" s="39">
        <f>(1 - CUSTOS!$M$32)*249.2985</f>
        <v>137.11417500000002</v>
      </c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P50" s="39">
        <f>IF((1 - CUSTOS!$M$32)&lt;&gt;0,1/(1 - CUSTOS!$M$32),1)</f>
        <v>1.8181818181818181</v>
      </c>
    </row>
    <row r="51" spans="1:42" ht="11.25" customHeight="1" x14ac:dyDescent="0.3">
      <c r="A51" s="120"/>
      <c r="B51" s="120"/>
      <c r="C51" s="120"/>
      <c r="D51" s="21" t="s">
        <v>90</v>
      </c>
      <c r="E51" s="21" t="s">
        <v>25</v>
      </c>
      <c r="F51" s="21" t="s">
        <v>25</v>
      </c>
      <c r="G51" s="21" t="s">
        <v>76</v>
      </c>
      <c r="H51" s="21" t="s">
        <v>72</v>
      </c>
      <c r="I51" s="21">
        <f>'MERCADO TUSD'!$U$48</f>
        <v>0</v>
      </c>
      <c r="J51" s="17"/>
      <c r="L51" s="39"/>
      <c r="M51" s="39"/>
      <c r="N51" s="39"/>
      <c r="O51" s="39"/>
      <c r="P51" s="39"/>
      <c r="Q51" s="39"/>
      <c r="R51" s="39"/>
      <c r="S51" s="39"/>
      <c r="T51" s="39"/>
      <c r="U51" s="39">
        <v>0</v>
      </c>
      <c r="V51" s="39">
        <v>0</v>
      </c>
      <c r="W51" s="39">
        <v>0</v>
      </c>
      <c r="X51" s="39">
        <v>0</v>
      </c>
      <c r="Y51" s="39">
        <f>(1 - CUSTOS!$M$33)*17.6091</f>
        <v>10.56546</v>
      </c>
      <c r="Z51" s="39">
        <v>0</v>
      </c>
      <c r="AA51" s="39">
        <v>0</v>
      </c>
      <c r="AB51" s="39"/>
      <c r="AC51" s="39">
        <f>(1 - CUSTOS!$M$33)*249.2985</f>
        <v>149.57909999999998</v>
      </c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P51" s="39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3396-DFC5-4A43-9661-33C9317B555C}">
  <dimension ref="A1:AP70"/>
  <sheetViews>
    <sheetView showGridLines="0" topLeftCell="C35" workbookViewId="0">
      <selection activeCell="K62" sqref="K62:P62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10.44140625" style="9" bestFit="1" customWidth="1"/>
    <col min="14" max="14" width="11.6640625" style="9" bestFit="1" customWidth="1"/>
    <col min="15" max="16" width="9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.88671875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1" width="9.109375" style="9"/>
    <col min="42" max="42" width="7.88671875" style="9" bestFit="1" customWidth="1"/>
    <col min="43" max="16384" width="9.109375" style="9"/>
  </cols>
  <sheetData>
    <row r="1" spans="1:42" ht="11.25" customHeight="1" x14ac:dyDescent="0.3">
      <c r="A1" s="121" t="s">
        <v>62</v>
      </c>
      <c r="B1" s="121" t="s">
        <v>63</v>
      </c>
      <c r="C1" s="121" t="s">
        <v>64</v>
      </c>
      <c r="D1" s="121" t="s">
        <v>65</v>
      </c>
      <c r="E1" s="121" t="s">
        <v>66</v>
      </c>
      <c r="F1" s="121" t="s">
        <v>15</v>
      </c>
      <c r="G1" s="121" t="s">
        <v>68</v>
      </c>
      <c r="H1" s="121" t="s">
        <v>69</v>
      </c>
      <c r="I1" s="121" t="s">
        <v>570</v>
      </c>
      <c r="J1" s="118"/>
      <c r="L1" s="122" t="s">
        <v>571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P1" s="122" t="s">
        <v>572</v>
      </c>
    </row>
    <row r="2" spans="1:42" ht="11.25" customHeight="1" x14ac:dyDescent="0.3">
      <c r="A2" s="121"/>
      <c r="B2" s="121"/>
      <c r="C2" s="121"/>
      <c r="D2" s="121"/>
      <c r="E2" s="121"/>
      <c r="F2" s="121"/>
      <c r="G2" s="121"/>
      <c r="H2" s="121"/>
      <c r="I2" s="121"/>
      <c r="J2" s="118"/>
      <c r="L2" s="122" t="s">
        <v>470</v>
      </c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P2" s="123"/>
    </row>
    <row r="3" spans="1:42" ht="11.25" customHeight="1" x14ac:dyDescent="0.3">
      <c r="A3" s="121"/>
      <c r="B3" s="121"/>
      <c r="C3" s="121"/>
      <c r="D3" s="121"/>
      <c r="E3" s="121"/>
      <c r="F3" s="121"/>
      <c r="G3" s="121"/>
      <c r="H3" s="121"/>
      <c r="I3" s="121"/>
      <c r="J3" s="118"/>
      <c r="L3" s="122" t="s">
        <v>471</v>
      </c>
      <c r="M3" s="122"/>
      <c r="N3" s="122"/>
      <c r="O3" s="122"/>
      <c r="P3" s="122"/>
      <c r="Q3" s="122"/>
      <c r="R3" s="122"/>
      <c r="S3" s="122"/>
      <c r="T3" s="122"/>
      <c r="U3" s="122" t="s">
        <v>480</v>
      </c>
      <c r="V3" s="122"/>
      <c r="W3" s="122"/>
      <c r="X3" s="122"/>
      <c r="Y3" s="122"/>
      <c r="Z3" s="122"/>
      <c r="AA3" s="122"/>
      <c r="AB3" s="122"/>
      <c r="AC3" s="122" t="s">
        <v>488</v>
      </c>
      <c r="AD3" s="122"/>
      <c r="AE3" s="122" t="s">
        <v>490</v>
      </c>
      <c r="AF3" s="122"/>
      <c r="AG3" s="122"/>
      <c r="AH3" s="122" t="s">
        <v>493</v>
      </c>
      <c r="AI3" s="122"/>
      <c r="AJ3" s="122"/>
      <c r="AK3" s="122"/>
      <c r="AL3" s="122"/>
      <c r="AM3" s="122" t="s">
        <v>479</v>
      </c>
      <c r="AP3" s="123"/>
    </row>
    <row r="4" spans="1:42" ht="11.25" customHeight="1" x14ac:dyDescent="0.3">
      <c r="A4" s="121"/>
      <c r="B4" s="121"/>
      <c r="C4" s="121"/>
      <c r="D4" s="121"/>
      <c r="E4" s="121"/>
      <c r="F4" s="121"/>
      <c r="G4" s="121"/>
      <c r="H4" s="121"/>
      <c r="I4" s="121"/>
      <c r="J4" s="118"/>
      <c r="L4" s="10" t="s">
        <v>555</v>
      </c>
      <c r="M4" s="10" t="s">
        <v>472</v>
      </c>
      <c r="N4" s="10" t="s">
        <v>473</v>
      </c>
      <c r="O4" s="10" t="s">
        <v>474</v>
      </c>
      <c r="P4" s="10" t="s">
        <v>475</v>
      </c>
      <c r="Q4" s="10" t="s">
        <v>476</v>
      </c>
      <c r="R4" s="10" t="s">
        <v>477</v>
      </c>
      <c r="S4" s="10" t="s">
        <v>478</v>
      </c>
      <c r="T4" s="10" t="s">
        <v>479</v>
      </c>
      <c r="U4" s="10" t="s">
        <v>481</v>
      </c>
      <c r="V4" s="10" t="s">
        <v>482</v>
      </c>
      <c r="W4" s="10" t="s">
        <v>483</v>
      </c>
      <c r="X4" s="10" t="s">
        <v>484</v>
      </c>
      <c r="Y4" s="10" t="s">
        <v>485</v>
      </c>
      <c r="Z4" s="10" t="s">
        <v>486</v>
      </c>
      <c r="AA4" s="10" t="s">
        <v>487</v>
      </c>
      <c r="AB4" s="10" t="s">
        <v>479</v>
      </c>
      <c r="AC4" s="10" t="s">
        <v>489</v>
      </c>
      <c r="AD4" s="10" t="s">
        <v>479</v>
      </c>
      <c r="AE4" s="10" t="s">
        <v>491</v>
      </c>
      <c r="AF4" s="10" t="s">
        <v>492</v>
      </c>
      <c r="AG4" s="10" t="s">
        <v>479</v>
      </c>
      <c r="AH4" s="10" t="s">
        <v>494</v>
      </c>
      <c r="AI4" s="10" t="s">
        <v>495</v>
      </c>
      <c r="AJ4" s="10" t="s">
        <v>496</v>
      </c>
      <c r="AK4" s="10" t="s">
        <v>497</v>
      </c>
      <c r="AL4" s="10" t="s">
        <v>479</v>
      </c>
      <c r="AM4" s="124"/>
      <c r="AP4" s="123"/>
    </row>
    <row r="5" spans="1:42" ht="11.25" customHeight="1" x14ac:dyDescent="0.3">
      <c r="A5" s="120" t="s">
        <v>37</v>
      </c>
      <c r="B5" s="120" t="s">
        <v>41</v>
      </c>
      <c r="C5" s="120" t="s">
        <v>25</v>
      </c>
      <c r="D5" s="120" t="s">
        <v>25</v>
      </c>
      <c r="E5" s="120" t="s">
        <v>25</v>
      </c>
      <c r="F5" s="120" t="s">
        <v>25</v>
      </c>
      <c r="G5" s="21" t="s">
        <v>78</v>
      </c>
      <c r="H5" s="21" t="s">
        <v>77</v>
      </c>
      <c r="I5" s="21">
        <f>'MERCADO TUSD'!$U$2</f>
        <v>1200</v>
      </c>
      <c r="J5" s="17"/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/>
      <c r="U5" s="19">
        <f>TRANSICAO!$U$5*CUSTOS!$R$3</f>
        <v>0</v>
      </c>
      <c r="V5" s="19">
        <f>TRANSICAO!$V$5*CUSTOS!$R$3</f>
        <v>0</v>
      </c>
      <c r="W5" s="19">
        <f>TRANSICAO!$W$5*CUSTOS!$R$3</f>
        <v>0</v>
      </c>
      <c r="X5" s="19">
        <f>TRANSICAO!$X$5*CUSTOS!$R$3</f>
        <v>0</v>
      </c>
      <c r="Y5" s="19">
        <f>TRANSICAO!$Y$5*CUSTOS!$R$3</f>
        <v>4.7234999999999996</v>
      </c>
      <c r="Z5" s="19">
        <f>TRANSICAO!$Z$5*CUSTOS!$R$3</f>
        <v>0</v>
      </c>
      <c r="AA5" s="19">
        <f>TRANSICAO!$AA$5*CUSTOS!$R$3</f>
        <v>0</v>
      </c>
      <c r="AB5" s="19">
        <f>TRANSICAO!$AB$5*CUSTOS!$R$3</f>
        <v>0</v>
      </c>
      <c r="AC5" s="19">
        <f>TRANSICAO!$AC$5*CUSTOS!$R$3</f>
        <v>60.879199999999997</v>
      </c>
      <c r="AD5" s="19">
        <f>TRANSICAO!$AD$5*CUSTOS!$R$3</f>
        <v>0</v>
      </c>
      <c r="AE5" s="19">
        <v>0</v>
      </c>
      <c r="AF5" s="19">
        <v>0</v>
      </c>
      <c r="AG5" s="19"/>
      <c r="AH5" s="19">
        <v>0</v>
      </c>
      <c r="AI5" s="19">
        <v>0</v>
      </c>
      <c r="AJ5" s="19">
        <v>0</v>
      </c>
      <c r="AK5" s="19">
        <f t="shared" ref="AK5:AK51" si="0">AJ5</f>
        <v>0</v>
      </c>
      <c r="AL5" s="19"/>
      <c r="AM5" s="19"/>
      <c r="AP5" s="19">
        <v>1</v>
      </c>
    </row>
    <row r="6" spans="1:42" ht="11.25" customHeight="1" x14ac:dyDescent="0.3">
      <c r="A6" s="120"/>
      <c r="B6" s="120"/>
      <c r="C6" s="120"/>
      <c r="D6" s="120"/>
      <c r="E6" s="120"/>
      <c r="F6" s="120"/>
      <c r="G6" s="21" t="s">
        <v>79</v>
      </c>
      <c r="H6" s="21" t="s">
        <v>77</v>
      </c>
      <c r="I6" s="21">
        <f>'MERCADO TUSD'!$U$3</f>
        <v>1209</v>
      </c>
      <c r="J6" s="17"/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/>
      <c r="U6" s="19">
        <f>TRANSICAO!$U$6*CUSTOS!$R$3</f>
        <v>0</v>
      </c>
      <c r="V6" s="19">
        <f>TRANSICAO!$V$6*CUSTOS!$R$3</f>
        <v>0</v>
      </c>
      <c r="W6" s="19">
        <f>TRANSICAO!$W$6*CUSTOS!$R$3</f>
        <v>0</v>
      </c>
      <c r="X6" s="19">
        <f>TRANSICAO!$X$6*CUSTOS!$R$3</f>
        <v>0</v>
      </c>
      <c r="Y6" s="19">
        <f>TRANSICAO!$Y$6*CUSTOS!$R$3</f>
        <v>2.5642</v>
      </c>
      <c r="Z6" s="19">
        <f>TRANSICAO!$Z$6*CUSTOS!$R$3</f>
        <v>0</v>
      </c>
      <c r="AA6" s="19">
        <f>TRANSICAO!$AA$6*CUSTOS!$R$3</f>
        <v>0</v>
      </c>
      <c r="AB6" s="19">
        <f>TRANSICAO!$AB$6*CUSTOS!$R$3</f>
        <v>0</v>
      </c>
      <c r="AC6" s="19">
        <f>TRANSICAO!$AC$6*CUSTOS!$R$3</f>
        <v>19.4207</v>
      </c>
      <c r="AD6" s="19">
        <f>TRANSICAO!$AD$6*CUSTOS!$R$3</f>
        <v>0</v>
      </c>
      <c r="AE6" s="19">
        <v>0</v>
      </c>
      <c r="AF6" s="19">
        <v>0</v>
      </c>
      <c r="AG6" s="19"/>
      <c r="AH6" s="19">
        <v>0</v>
      </c>
      <c r="AI6" s="19">
        <v>0</v>
      </c>
      <c r="AJ6" s="19">
        <v>0</v>
      </c>
      <c r="AK6" s="19">
        <f t="shared" si="0"/>
        <v>0</v>
      </c>
      <c r="AL6" s="19"/>
      <c r="AM6" s="19"/>
      <c r="AP6" s="19">
        <v>1</v>
      </c>
    </row>
    <row r="7" spans="1:42" ht="11.25" customHeight="1" x14ac:dyDescent="0.3">
      <c r="A7" s="120"/>
      <c r="B7" s="120"/>
      <c r="C7" s="120"/>
      <c r="D7" s="120"/>
      <c r="E7" s="120"/>
      <c r="F7" s="120"/>
      <c r="G7" s="21" t="s">
        <v>76</v>
      </c>
      <c r="H7" s="21" t="s">
        <v>72</v>
      </c>
      <c r="I7" s="21">
        <f>'MERCADO TUSD'!$U$4</f>
        <v>431.03100000000001</v>
      </c>
      <c r="J7" s="17"/>
      <c r="L7" s="19">
        <f>0.84</f>
        <v>0.84</v>
      </c>
      <c r="M7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1.9750434179619043</v>
      </c>
      <c r="N7" s="19">
        <f ca="1">(+M7+O7+R7+U7+V7+W7+X7+Y7+Z7+AA7+AC7+AH7+AI7+AJ7+AK7)*CUSTOS!$M$5</f>
        <v>3.9868843382303586E-13</v>
      </c>
      <c r="O7" s="19">
        <v>1</v>
      </c>
      <c r="P7" s="19">
        <v>1</v>
      </c>
      <c r="Q7" s="19">
        <f>0.84</f>
        <v>0.84</v>
      </c>
      <c r="R7" s="19">
        <v>1</v>
      </c>
      <c r="S7" s="19">
        <v>1</v>
      </c>
      <c r="T7" s="19"/>
      <c r="U7" s="19">
        <f>TRANSICAO!$U$7*CUSTOS!$R$3</f>
        <v>0</v>
      </c>
      <c r="V7" s="19">
        <f>TRANSICAO!$V$7*CUSTOS!$R$3</f>
        <v>0</v>
      </c>
      <c r="W7" s="19">
        <f>TRANSICAO!$W$7*CUSTOS!$R$3</f>
        <v>0</v>
      </c>
      <c r="X7" s="19">
        <f>TRANSICAO!$X$7*CUSTOS!$R$3</f>
        <v>0</v>
      </c>
      <c r="Y7" s="19">
        <f>TRANSICAO!$Y$7*CUSTOS!$R$3</f>
        <v>0</v>
      </c>
      <c r="Z7" s="19">
        <f>TRANSICAO!$Z$7*CUSTOS!$R$3</f>
        <v>0</v>
      </c>
      <c r="AA7" s="19">
        <f>TRANSICAO!$AA$7*CUSTOS!$R$3</f>
        <v>0</v>
      </c>
      <c r="AB7" s="19">
        <f>TRANSICAO!$AB$7*CUSTOS!$R$3</f>
        <v>0</v>
      </c>
      <c r="AC7" s="19">
        <f>TRANSICAO!$AC$7*CUSTOS!$R$3</f>
        <v>0</v>
      </c>
      <c r="AD7" s="19">
        <f>TRANSICAO!$AD$7*CUSTOS!$R$3</f>
        <v>0</v>
      </c>
      <c r="AE7" s="19">
        <v>0</v>
      </c>
      <c r="AF7" s="19">
        <v>0</v>
      </c>
      <c r="AG7" s="19"/>
      <c r="AH7" s="19">
        <v>16.429099999999998</v>
      </c>
      <c r="AI7" s="19">
        <v>0</v>
      </c>
      <c r="AJ7" s="19">
        <f ca="1">$N$63</f>
        <v>9.7323499821708417</v>
      </c>
      <c r="AK7" s="19">
        <f t="shared" ca="1" si="0"/>
        <v>9.7323499821708417</v>
      </c>
      <c r="AL7" s="19"/>
      <c r="AM7" s="19"/>
      <c r="AP7" s="19">
        <v>1</v>
      </c>
    </row>
    <row r="8" spans="1:42" ht="11.25" customHeight="1" x14ac:dyDescent="0.3">
      <c r="A8" s="120"/>
      <c r="B8" s="120"/>
      <c r="C8" s="120"/>
      <c r="D8" s="120"/>
      <c r="E8" s="22" t="s">
        <v>80</v>
      </c>
      <c r="F8" s="22" t="s">
        <v>25</v>
      </c>
      <c r="G8" s="21" t="s">
        <v>76</v>
      </c>
      <c r="H8" s="21" t="s">
        <v>72</v>
      </c>
      <c r="I8" s="21">
        <f>'MERCADO TUSD'!$U$5</f>
        <v>0</v>
      </c>
      <c r="J8" s="17"/>
      <c r="L8" s="19">
        <v>0</v>
      </c>
      <c r="M8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1.9750434179619043</v>
      </c>
      <c r="N8" s="19">
        <f ca="1">(+M8+O8+R8+U8+V8+W8+X8+Y8+Z8+AA8+AC8+AH8+AI8+AJ8+AK8)*CUSTOS!$M$5</f>
        <v>3.8868843382303585E-13</v>
      </c>
      <c r="O8" s="19">
        <v>1</v>
      </c>
      <c r="P8" s="19">
        <v>0</v>
      </c>
      <c r="Q8" s="19">
        <v>0</v>
      </c>
      <c r="R8" s="19">
        <v>0</v>
      </c>
      <c r="S8" s="19">
        <v>0</v>
      </c>
      <c r="T8" s="19"/>
      <c r="U8" s="19">
        <f>TRANSICAO!$U$8*CUSTOS!$R$3</f>
        <v>0</v>
      </c>
      <c r="V8" s="19">
        <f>TRANSICAO!$V$8*CUSTOS!$R$3</f>
        <v>0</v>
      </c>
      <c r="W8" s="19">
        <f>TRANSICAO!$W$8*CUSTOS!$R$3</f>
        <v>0</v>
      </c>
      <c r="X8" s="19">
        <f>TRANSICAO!$X$8*CUSTOS!$R$3</f>
        <v>0</v>
      </c>
      <c r="Y8" s="19">
        <f>TRANSICAO!$Y$8*CUSTOS!$R$3</f>
        <v>0</v>
      </c>
      <c r="Z8" s="19">
        <f>TRANSICAO!$Z$8*CUSTOS!$R$3</f>
        <v>0</v>
      </c>
      <c r="AA8" s="19">
        <f>TRANSICAO!$AA$8*CUSTOS!$R$3</f>
        <v>0</v>
      </c>
      <c r="AB8" s="19">
        <f>TRANSICAO!$AB$8*CUSTOS!$R$3</f>
        <v>0</v>
      </c>
      <c r="AC8" s="19">
        <f>TRANSICAO!$AC$8*CUSTOS!$R$3</f>
        <v>0</v>
      </c>
      <c r="AD8" s="19">
        <f>TRANSICAO!$AD$8*CUSTOS!$R$3</f>
        <v>0</v>
      </c>
      <c r="AE8" s="19">
        <v>0</v>
      </c>
      <c r="AF8" s="19">
        <v>0</v>
      </c>
      <c r="AG8" s="19"/>
      <c r="AH8" s="19">
        <v>16.429099999999998</v>
      </c>
      <c r="AI8" s="19">
        <v>0</v>
      </c>
      <c r="AJ8" s="19">
        <f ca="1">$N$63</f>
        <v>9.7323499821708417</v>
      </c>
      <c r="AK8" s="19">
        <f t="shared" ca="1" si="0"/>
        <v>9.7323499821708417</v>
      </c>
      <c r="AL8" s="19"/>
      <c r="AM8" s="19"/>
      <c r="AP8" s="19">
        <v>1</v>
      </c>
    </row>
    <row r="9" spans="1:42" ht="11.25" customHeight="1" x14ac:dyDescent="0.3">
      <c r="A9" s="120"/>
      <c r="B9" s="22" t="s">
        <v>81</v>
      </c>
      <c r="C9" s="22" t="s">
        <v>25</v>
      </c>
      <c r="D9" s="22" t="s">
        <v>25</v>
      </c>
      <c r="E9" s="22" t="s">
        <v>25</v>
      </c>
      <c r="F9" s="22" t="s">
        <v>25</v>
      </c>
      <c r="G9" s="21" t="s">
        <v>9</v>
      </c>
      <c r="H9" s="21" t="s">
        <v>77</v>
      </c>
      <c r="I9" s="21">
        <f>'MERCADO TUSD'!$U$6</f>
        <v>0</v>
      </c>
      <c r="J9" s="17"/>
      <c r="L9" s="19">
        <v>0</v>
      </c>
      <c r="M9" s="19">
        <v>2.6599999999999999E-2</v>
      </c>
      <c r="N9" s="19">
        <f>0.0853</f>
        <v>8.5300000000000001E-2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/>
      <c r="U9" s="19">
        <f>TRANSICAO!$U$9*CUSTOS!$R$4</f>
        <v>0</v>
      </c>
      <c r="V9" s="19">
        <f>TRANSICAO!$V$9*CUSTOS!$R$4</f>
        <v>0</v>
      </c>
      <c r="W9" s="19">
        <f>TRANSICAO!$W$9*CUSTOS!$R$4</f>
        <v>0</v>
      </c>
      <c r="X9" s="19">
        <f>TRANSICAO!$X$9*CUSTOS!$R$4</f>
        <v>0</v>
      </c>
      <c r="Y9" s="19">
        <f>TRANSICAO!$Y$9*CUSTOS!$R$4</f>
        <v>0</v>
      </c>
      <c r="Z9" s="19">
        <f>TRANSICAO!$Z$9*CUSTOS!$R$4</f>
        <v>0</v>
      </c>
      <c r="AA9" s="19">
        <f>TRANSICAO!$AA$9*CUSTOS!$R$4</f>
        <v>0</v>
      </c>
      <c r="AB9" s="19">
        <f>TRANSICAO!$AB$9*CUSTOS!$R$4</f>
        <v>0</v>
      </c>
      <c r="AC9" s="19">
        <f>TRANSICAO!$AC$9*CUSTOS!$R$4</f>
        <v>8.4064999999999994</v>
      </c>
      <c r="AD9" s="19">
        <f>TRANSICAO!$AD$9*CUSTOS!$R$4</f>
        <v>0</v>
      </c>
      <c r="AE9" s="19">
        <v>0</v>
      </c>
      <c r="AF9" s="19">
        <v>0</v>
      </c>
      <c r="AG9" s="19"/>
      <c r="AH9" s="19">
        <v>0</v>
      </c>
      <c r="AI9" s="19">
        <v>0</v>
      </c>
      <c r="AJ9" s="19">
        <v>0</v>
      </c>
      <c r="AK9" s="19">
        <f t="shared" si="0"/>
        <v>0</v>
      </c>
      <c r="AL9" s="19"/>
      <c r="AM9" s="19"/>
      <c r="AP9" s="19"/>
    </row>
    <row r="10" spans="1:42" ht="11.25" customHeight="1" x14ac:dyDescent="0.3">
      <c r="A10" s="120"/>
      <c r="B10" s="120" t="s">
        <v>38</v>
      </c>
      <c r="C10" s="120" t="s">
        <v>25</v>
      </c>
      <c r="D10" s="120" t="s">
        <v>25</v>
      </c>
      <c r="E10" s="120" t="s">
        <v>25</v>
      </c>
      <c r="F10" s="120" t="s">
        <v>25</v>
      </c>
      <c r="G10" s="21" t="s">
        <v>9</v>
      </c>
      <c r="H10" s="21" t="s">
        <v>77</v>
      </c>
      <c r="I10" s="21">
        <f>'MERCADO TUSD'!$U$7</f>
        <v>19392</v>
      </c>
      <c r="J10" s="17"/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/>
      <c r="U10" s="19">
        <f>TRANSICAO!$U$10*CUSTOS!$R$3</f>
        <v>0</v>
      </c>
      <c r="V10" s="19">
        <f>TRANSICAO!$V$10*CUSTOS!$R$3</f>
        <v>0</v>
      </c>
      <c r="W10" s="19">
        <f>TRANSICAO!$W$10*CUSTOS!$R$3</f>
        <v>0</v>
      </c>
      <c r="X10" s="19">
        <f>TRANSICAO!$X$10*CUSTOS!$R$3</f>
        <v>0</v>
      </c>
      <c r="Y10" s="19">
        <f>TRANSICAO!$Y$10*CUSTOS!$R$3</f>
        <v>2.5642</v>
      </c>
      <c r="Z10" s="19">
        <f>TRANSICAO!$Z$10*CUSTOS!$R$3</f>
        <v>0</v>
      </c>
      <c r="AA10" s="19">
        <f>TRANSICAO!$AA$10*CUSTOS!$R$3</f>
        <v>0</v>
      </c>
      <c r="AB10" s="19">
        <f>TRANSICAO!$AB$10*CUSTOS!$R$3</f>
        <v>0</v>
      </c>
      <c r="AC10" s="19">
        <f>TRANSICAO!$AC$10*CUSTOS!$R$3</f>
        <v>19.4207</v>
      </c>
      <c r="AD10" s="19">
        <f>TRANSICAO!$AD$10*CUSTOS!$R$3</f>
        <v>0</v>
      </c>
      <c r="AE10" s="19">
        <v>0</v>
      </c>
      <c r="AF10" s="19">
        <v>0</v>
      </c>
      <c r="AG10" s="19"/>
      <c r="AH10" s="19">
        <v>0</v>
      </c>
      <c r="AI10" s="19">
        <v>0</v>
      </c>
      <c r="AJ10" s="19">
        <v>0</v>
      </c>
      <c r="AK10" s="19">
        <f t="shared" si="0"/>
        <v>0</v>
      </c>
      <c r="AL10" s="19"/>
      <c r="AM10" s="19"/>
      <c r="AP10" s="19">
        <v>1</v>
      </c>
    </row>
    <row r="11" spans="1:42" ht="11.25" customHeight="1" x14ac:dyDescent="0.3">
      <c r="A11" s="120"/>
      <c r="B11" s="120"/>
      <c r="C11" s="120"/>
      <c r="D11" s="120"/>
      <c r="E11" s="120"/>
      <c r="F11" s="120"/>
      <c r="G11" s="21" t="s">
        <v>73</v>
      </c>
      <c r="H11" s="21" t="s">
        <v>72</v>
      </c>
      <c r="I11" s="21">
        <f>'MERCADO TUSD'!$U$8</f>
        <v>47.495999999999995</v>
      </c>
      <c r="J11" s="17"/>
      <c r="L11" s="19">
        <f>0.84</f>
        <v>0.84</v>
      </c>
      <c r="M11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1.9750434179619043</v>
      </c>
      <c r="N11" s="19">
        <f ca="1">(+M11+O11+R11+U11+V11+W11+X11+Y11+Z11+AA11+AC11+AH11+AI11+AJ11+AK11)*CUSTOS!$M$5</f>
        <v>1.6176181433823039E-11</v>
      </c>
      <c r="O11" s="19">
        <v>1</v>
      </c>
      <c r="P11" s="19">
        <v>1</v>
      </c>
      <c r="Q11" s="19">
        <f>0.84</f>
        <v>0.84</v>
      </c>
      <c r="R11" s="19">
        <v>1</v>
      </c>
      <c r="S11" s="19">
        <v>1</v>
      </c>
      <c r="T11" s="19"/>
      <c r="U11" s="19">
        <f>TRANSICAO!$U$11*CUSTOS!$R$3</f>
        <v>0</v>
      </c>
      <c r="V11" s="19">
        <f>TRANSICAO!$V$11*CUSTOS!$R$3</f>
        <v>0</v>
      </c>
      <c r="W11" s="19">
        <f>TRANSICAO!$W$11*CUSTOS!$R$3</f>
        <v>0</v>
      </c>
      <c r="X11" s="19">
        <f>TRANSICAO!$X$11*CUSTOS!$R$3</f>
        <v>0</v>
      </c>
      <c r="Y11" s="19">
        <f>TRANSICAO!$Y$11*CUSTOS!$R$3</f>
        <v>113.60120000000001</v>
      </c>
      <c r="Z11" s="19">
        <f>TRANSICAO!$Z$11*CUSTOS!$R$3</f>
        <v>0</v>
      </c>
      <c r="AA11" s="19">
        <f>TRANSICAO!$AA$11*CUSTOS!$R$3</f>
        <v>0</v>
      </c>
      <c r="AB11" s="19">
        <f>TRANSICAO!$AB$11*CUSTOS!$R$3</f>
        <v>0</v>
      </c>
      <c r="AC11" s="19">
        <f>TRANSICAO!$AC$11*CUSTOS!$R$3</f>
        <v>1464.1481000000001</v>
      </c>
      <c r="AD11" s="19">
        <f>TRANSICAO!$AD$11*CUSTOS!$R$3</f>
        <v>0</v>
      </c>
      <c r="AE11" s="19">
        <v>0</v>
      </c>
      <c r="AF11" s="19">
        <v>0</v>
      </c>
      <c r="AG11" s="19"/>
      <c r="AH11" s="19">
        <v>16.429099999999998</v>
      </c>
      <c r="AI11" s="19">
        <v>0</v>
      </c>
      <c r="AJ11" s="19">
        <f ca="1">$N$63</f>
        <v>9.7323499821708417</v>
      </c>
      <c r="AK11" s="19">
        <f t="shared" ca="1" si="0"/>
        <v>9.7323499821708417</v>
      </c>
      <c r="AL11" s="19"/>
      <c r="AM11" s="19"/>
      <c r="AP11" s="19">
        <v>1</v>
      </c>
    </row>
    <row r="12" spans="1:42" ht="11.25" customHeight="1" x14ac:dyDescent="0.3">
      <c r="A12" s="120"/>
      <c r="B12" s="120"/>
      <c r="C12" s="120"/>
      <c r="D12" s="120"/>
      <c r="E12" s="120"/>
      <c r="F12" s="120"/>
      <c r="G12" s="21" t="s">
        <v>74</v>
      </c>
      <c r="H12" s="21" t="s">
        <v>72</v>
      </c>
      <c r="I12" s="21">
        <f>'MERCADO TUSD'!$U$9</f>
        <v>2868.4139999999998</v>
      </c>
      <c r="J12" s="17"/>
      <c r="L12" s="19">
        <f>0.84</f>
        <v>0.84</v>
      </c>
      <c r="M12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1.9750434179619043</v>
      </c>
      <c r="N12" s="19">
        <f ca="1">(+M12+O12+R12+U12+V12+W12+X12+Y12+Z12+AA12+AC12+AH12+AI12+AJ12+AK12)*CUSTOS!$M$5</f>
        <v>3.9868843382303586E-13</v>
      </c>
      <c r="O12" s="19">
        <v>1</v>
      </c>
      <c r="P12" s="19">
        <v>1</v>
      </c>
      <c r="Q12" s="19">
        <f>0.84</f>
        <v>0.84</v>
      </c>
      <c r="R12" s="19">
        <v>1</v>
      </c>
      <c r="S12" s="19">
        <v>1</v>
      </c>
      <c r="T12" s="19"/>
      <c r="U12" s="19">
        <f>TRANSICAO!$U$12*CUSTOS!$R$3</f>
        <v>0</v>
      </c>
      <c r="V12" s="19">
        <f>TRANSICAO!$V$12*CUSTOS!$R$3</f>
        <v>0</v>
      </c>
      <c r="W12" s="19">
        <f>TRANSICAO!$W$12*CUSTOS!$R$3</f>
        <v>0</v>
      </c>
      <c r="X12" s="19">
        <f>TRANSICAO!$X$12*CUSTOS!$R$3</f>
        <v>0</v>
      </c>
      <c r="Y12" s="19">
        <f>TRANSICAO!$Y$12*CUSTOS!$R$3</f>
        <v>0</v>
      </c>
      <c r="Z12" s="19">
        <f>TRANSICAO!$Z$12*CUSTOS!$R$3</f>
        <v>0</v>
      </c>
      <c r="AA12" s="19">
        <f>TRANSICAO!$AA$12*CUSTOS!$R$3</f>
        <v>0</v>
      </c>
      <c r="AB12" s="19">
        <f>TRANSICAO!$AB$12*CUSTOS!$R$3</f>
        <v>0</v>
      </c>
      <c r="AC12" s="19">
        <f>TRANSICAO!$AC$12*CUSTOS!$R$3</f>
        <v>0</v>
      </c>
      <c r="AD12" s="19">
        <f>TRANSICAO!$AD$12*CUSTOS!$R$3</f>
        <v>0</v>
      </c>
      <c r="AE12" s="19">
        <v>0</v>
      </c>
      <c r="AF12" s="19">
        <v>0</v>
      </c>
      <c r="AG12" s="19"/>
      <c r="AH12" s="19">
        <v>16.429099999999998</v>
      </c>
      <c r="AI12" s="19">
        <v>0</v>
      </c>
      <c r="AJ12" s="19">
        <f ca="1">$N$63</f>
        <v>9.7323499821708417</v>
      </c>
      <c r="AK12" s="19">
        <f t="shared" ca="1" si="0"/>
        <v>9.7323499821708417</v>
      </c>
      <c r="AL12" s="19"/>
      <c r="AM12" s="19"/>
      <c r="AP12" s="19">
        <v>1</v>
      </c>
    </row>
    <row r="13" spans="1:42" ht="11.25" customHeight="1" x14ac:dyDescent="0.3">
      <c r="A13" s="120"/>
      <c r="B13" s="120"/>
      <c r="C13" s="120"/>
      <c r="D13" s="120"/>
      <c r="E13" s="120" t="s">
        <v>80</v>
      </c>
      <c r="F13" s="120" t="s">
        <v>25</v>
      </c>
      <c r="G13" s="21" t="s">
        <v>73</v>
      </c>
      <c r="H13" s="21" t="s">
        <v>72</v>
      </c>
      <c r="I13" s="21">
        <f>'MERCADO TUSD'!$U$10</f>
        <v>0</v>
      </c>
      <c r="J13" s="17"/>
      <c r="L13" s="19">
        <v>0</v>
      </c>
      <c r="M13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1.9750434179619043</v>
      </c>
      <c r="N13" s="19">
        <f ca="1">(+M13+O13+R13+U13+V13+W13+X13+Y13+Z13+AA13+AC13+AH13+AI13+AJ13+AK13)*CUSTOS!$M$5</f>
        <v>1.6166181433823041E-11</v>
      </c>
      <c r="O13" s="19">
        <v>1</v>
      </c>
      <c r="P13" s="19">
        <v>0</v>
      </c>
      <c r="Q13" s="19">
        <v>0</v>
      </c>
      <c r="R13" s="19">
        <v>0</v>
      </c>
      <c r="S13" s="19">
        <v>0</v>
      </c>
      <c r="T13" s="19"/>
      <c r="U13" s="19">
        <f>TRANSICAO!$U$13*CUSTOS!$R$3</f>
        <v>0</v>
      </c>
      <c r="V13" s="19">
        <f>TRANSICAO!$V$13*CUSTOS!$R$3</f>
        <v>0</v>
      </c>
      <c r="W13" s="19">
        <f>TRANSICAO!$W$13*CUSTOS!$R$3</f>
        <v>0</v>
      </c>
      <c r="X13" s="19">
        <f>TRANSICAO!$X$13*CUSTOS!$R$3</f>
        <v>0</v>
      </c>
      <c r="Y13" s="19">
        <f>TRANSICAO!$Y$13*CUSTOS!$R$3</f>
        <v>113.60120000000001</v>
      </c>
      <c r="Z13" s="19">
        <f>TRANSICAO!$Z$13*CUSTOS!$R$3</f>
        <v>0</v>
      </c>
      <c r="AA13" s="19">
        <f>TRANSICAO!$AA$13*CUSTOS!$R$3</f>
        <v>0</v>
      </c>
      <c r="AB13" s="19">
        <f>TRANSICAO!$AB$13*CUSTOS!$R$3</f>
        <v>0</v>
      </c>
      <c r="AC13" s="19">
        <f>TRANSICAO!$AC$13*CUSTOS!$R$3</f>
        <v>1464.1481000000001</v>
      </c>
      <c r="AD13" s="19">
        <f>TRANSICAO!$AD$13*CUSTOS!$R$3</f>
        <v>0</v>
      </c>
      <c r="AE13" s="19">
        <v>0</v>
      </c>
      <c r="AF13" s="19">
        <v>0</v>
      </c>
      <c r="AG13" s="19"/>
      <c r="AH13" s="19">
        <v>16.429099999999998</v>
      </c>
      <c r="AI13" s="19">
        <v>0</v>
      </c>
      <c r="AJ13" s="19">
        <f ca="1">$N$63</f>
        <v>9.7323499821708417</v>
      </c>
      <c r="AK13" s="19">
        <f t="shared" ca="1" si="0"/>
        <v>9.7323499821708417</v>
      </c>
      <c r="AL13" s="19"/>
      <c r="AM13" s="19"/>
      <c r="AP13" s="19">
        <v>1</v>
      </c>
    </row>
    <row r="14" spans="1:42" ht="11.25" customHeight="1" x14ac:dyDescent="0.3">
      <c r="A14" s="120"/>
      <c r="B14" s="120"/>
      <c r="C14" s="120"/>
      <c r="D14" s="120"/>
      <c r="E14" s="120"/>
      <c r="F14" s="120"/>
      <c r="G14" s="21" t="s">
        <v>74</v>
      </c>
      <c r="H14" s="21" t="s">
        <v>72</v>
      </c>
      <c r="I14" s="21">
        <f>'MERCADO TUSD'!$U$11</f>
        <v>0</v>
      </c>
      <c r="J14" s="17"/>
      <c r="L14" s="19">
        <v>0</v>
      </c>
      <c r="M14" s="19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1.9750434179619043</v>
      </c>
      <c r="N14" s="19">
        <f ca="1">(+M14+O14+R14+U14+V14+W14+X14+Y14+Z14+AA14+AC14+AH14+AI14+AJ14+AK14)*CUSTOS!$M$5</f>
        <v>3.8868843382303585E-13</v>
      </c>
      <c r="O14" s="19">
        <v>1</v>
      </c>
      <c r="P14" s="19">
        <v>0</v>
      </c>
      <c r="Q14" s="19">
        <v>0</v>
      </c>
      <c r="R14" s="19">
        <v>0</v>
      </c>
      <c r="S14" s="19">
        <v>0</v>
      </c>
      <c r="T14" s="19"/>
      <c r="U14" s="19">
        <f>TRANSICAO!$U$14*CUSTOS!$R$3</f>
        <v>0</v>
      </c>
      <c r="V14" s="19">
        <f>TRANSICAO!$V$14*CUSTOS!$R$3</f>
        <v>0</v>
      </c>
      <c r="W14" s="19">
        <f>TRANSICAO!$W$14*CUSTOS!$R$3</f>
        <v>0</v>
      </c>
      <c r="X14" s="19">
        <f>TRANSICAO!$X$14*CUSTOS!$R$3</f>
        <v>0</v>
      </c>
      <c r="Y14" s="19">
        <f>TRANSICAO!$Y$14*CUSTOS!$R$3</f>
        <v>0</v>
      </c>
      <c r="Z14" s="19">
        <f>TRANSICAO!$Z$14*CUSTOS!$R$3</f>
        <v>0</v>
      </c>
      <c r="AA14" s="19">
        <f>TRANSICAO!$AA$14*CUSTOS!$R$3</f>
        <v>0</v>
      </c>
      <c r="AB14" s="19">
        <f>TRANSICAO!$AB$14*CUSTOS!$R$3</f>
        <v>0</v>
      </c>
      <c r="AC14" s="19">
        <f>TRANSICAO!$AC$14*CUSTOS!$R$3</f>
        <v>0</v>
      </c>
      <c r="AD14" s="19">
        <f>TRANSICAO!$AD$14*CUSTOS!$R$3</f>
        <v>0</v>
      </c>
      <c r="AE14" s="19">
        <v>0</v>
      </c>
      <c r="AF14" s="19">
        <v>0</v>
      </c>
      <c r="AG14" s="19"/>
      <c r="AH14" s="19">
        <v>16.429099999999998</v>
      </c>
      <c r="AI14" s="19">
        <v>0</v>
      </c>
      <c r="AJ14" s="19">
        <f ca="1">$N$63</f>
        <v>9.7323499821708417</v>
      </c>
      <c r="AK14" s="19">
        <f t="shared" ca="1" si="0"/>
        <v>9.7323499821708417</v>
      </c>
      <c r="AL14" s="19"/>
      <c r="AM14" s="19"/>
      <c r="AP14" s="19">
        <v>1</v>
      </c>
    </row>
    <row r="15" spans="1:42" ht="11.25" customHeight="1" x14ac:dyDescent="0.3">
      <c r="A15" s="120" t="s">
        <v>82</v>
      </c>
      <c r="B15" s="120" t="s">
        <v>81</v>
      </c>
      <c r="C15" s="120" t="s">
        <v>25</v>
      </c>
      <c r="D15" s="120" t="s">
        <v>25</v>
      </c>
      <c r="E15" s="22" t="s">
        <v>83</v>
      </c>
      <c r="F15" s="22" t="s">
        <v>25</v>
      </c>
      <c r="G15" s="21" t="s">
        <v>9</v>
      </c>
      <c r="H15" s="21" t="s">
        <v>77</v>
      </c>
      <c r="I15" s="21">
        <f>'MERCADO TUSD'!$U$12+0.00000001</f>
        <v>1E-8</v>
      </c>
      <c r="J15" s="17"/>
      <c r="L15" s="19">
        <v>0</v>
      </c>
      <c r="M15" s="19">
        <v>1.06E-2</v>
      </c>
      <c r="N15" s="19">
        <f>0.0336</f>
        <v>3.3599999999999998E-2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/>
      <c r="U15" s="19">
        <f>TRANSICAO!$U$15*CUSTOS!$T$4</f>
        <v>0</v>
      </c>
      <c r="V15" s="19">
        <f>TRANSICAO!$V$15*CUSTOS!$T$4</f>
        <v>0</v>
      </c>
      <c r="W15" s="19">
        <f>TRANSICAO!$W$15*CUSTOS!$T$4</f>
        <v>0</v>
      </c>
      <c r="X15" s="19">
        <f>TRANSICAO!$X$15*CUSTOS!$T$4</f>
        <v>0</v>
      </c>
      <c r="Y15" s="19">
        <f>TRANSICAO!$Y$15*CUSTOS!$T$4</f>
        <v>0</v>
      </c>
      <c r="Z15" s="19">
        <f>TRANSICAO!$Z$15*CUSTOS!$T$4</f>
        <v>0</v>
      </c>
      <c r="AA15" s="19">
        <f>TRANSICAO!$AA$15*CUSTOS!$T$4</f>
        <v>0</v>
      </c>
      <c r="AB15" s="19">
        <f>TRANSICAO!$AB$15*CUSTOS!$T$4</f>
        <v>0</v>
      </c>
      <c r="AC15" s="19">
        <f>TRANSICAO!$AC$15*CUSTOS!$T$4</f>
        <v>3.3165</v>
      </c>
      <c r="AD15" s="19">
        <f>TRANSICAO!$AD$15*CUSTOS!$T$4</f>
        <v>0</v>
      </c>
      <c r="AE15" s="19">
        <v>0</v>
      </c>
      <c r="AF15" s="19">
        <v>0</v>
      </c>
      <c r="AG15" s="19"/>
      <c r="AH15" s="19">
        <v>0</v>
      </c>
      <c r="AI15" s="19">
        <v>0</v>
      </c>
      <c r="AJ15" s="19">
        <v>0</v>
      </c>
      <c r="AK15" s="19">
        <f t="shared" si="0"/>
        <v>0</v>
      </c>
      <c r="AL15" s="19"/>
      <c r="AM15" s="19"/>
      <c r="AP15" s="19"/>
    </row>
    <row r="16" spans="1:42" ht="11.25" customHeight="1" x14ac:dyDescent="0.3">
      <c r="A16" s="120"/>
      <c r="B16" s="120"/>
      <c r="C16" s="120"/>
      <c r="D16" s="120"/>
      <c r="E16" s="22" t="s">
        <v>84</v>
      </c>
      <c r="F16" s="22" t="s">
        <v>25</v>
      </c>
      <c r="G16" s="21" t="s">
        <v>9</v>
      </c>
      <c r="H16" s="21" t="s">
        <v>77</v>
      </c>
      <c r="I16" s="21">
        <f>'MERCADO TUSD'!$U$13+0.00000001</f>
        <v>1E-8</v>
      </c>
      <c r="J16" s="17"/>
      <c r="L16" s="19">
        <v>0</v>
      </c>
      <c r="M16" s="19">
        <v>1.06E-2</v>
      </c>
      <c r="N16" s="19">
        <f>0.0336</f>
        <v>3.3599999999999998E-2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/>
      <c r="U16" s="19">
        <f>TRANSICAO!$U$16*CUSTOS!$T$4</f>
        <v>0</v>
      </c>
      <c r="V16" s="19">
        <f>TRANSICAO!$V$16*CUSTOS!$T$4</f>
        <v>0</v>
      </c>
      <c r="W16" s="19">
        <f>TRANSICAO!$W$16*CUSTOS!$T$4</f>
        <v>0</v>
      </c>
      <c r="X16" s="19">
        <f>TRANSICAO!$X$16*CUSTOS!$T$4</f>
        <v>0</v>
      </c>
      <c r="Y16" s="19">
        <f>TRANSICAO!$Y$16*CUSTOS!$T$4</f>
        <v>0</v>
      </c>
      <c r="Z16" s="19">
        <f>TRANSICAO!$Z$16*CUSTOS!$T$4</f>
        <v>0</v>
      </c>
      <c r="AA16" s="19">
        <f>TRANSICAO!$AA$16*CUSTOS!$T$4</f>
        <v>0</v>
      </c>
      <c r="AB16" s="19">
        <f>TRANSICAO!$AB$16*CUSTOS!$T$4</f>
        <v>0</v>
      </c>
      <c r="AC16" s="19">
        <f>TRANSICAO!$AC$16*CUSTOS!$T$4</f>
        <v>10.6891</v>
      </c>
      <c r="AD16" s="19">
        <f>TRANSICAO!$AD$16*CUSTOS!$T$4</f>
        <v>0</v>
      </c>
      <c r="AE16" s="19">
        <v>0</v>
      </c>
      <c r="AF16" s="19">
        <v>0</v>
      </c>
      <c r="AG16" s="19"/>
      <c r="AH16" s="19">
        <v>0</v>
      </c>
      <c r="AI16" s="19">
        <v>0</v>
      </c>
      <c r="AJ16" s="19">
        <v>0</v>
      </c>
      <c r="AK16" s="19">
        <f t="shared" si="0"/>
        <v>0</v>
      </c>
      <c r="AL16" s="19"/>
      <c r="AM16" s="19"/>
      <c r="AP16" s="19"/>
    </row>
    <row r="17" spans="1:42" ht="11.25" customHeight="1" x14ac:dyDescent="0.3">
      <c r="A17" s="120" t="s">
        <v>22</v>
      </c>
      <c r="B17" s="120" t="s">
        <v>33</v>
      </c>
      <c r="C17" s="120" t="s">
        <v>24</v>
      </c>
      <c r="D17" s="120" t="s">
        <v>24</v>
      </c>
      <c r="E17" s="120" t="s">
        <v>25</v>
      </c>
      <c r="F17" s="120" t="s">
        <v>25</v>
      </c>
      <c r="G17" s="21" t="s">
        <v>73</v>
      </c>
      <c r="H17" s="21" t="s">
        <v>72</v>
      </c>
      <c r="I17" s="21">
        <f>'MERCADO TUSD'!$U$14</f>
        <v>3.1E-2</v>
      </c>
      <c r="J17" s="17"/>
      <c r="L17" s="19">
        <f>1</f>
        <v>1</v>
      </c>
      <c r="M1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3.0366048302705524</v>
      </c>
      <c r="N17" s="19">
        <f ca="1">(+M17+O17+R17+U17+V17+W17+X17+Y17+Z17+AA17+AC17+AH17+AI17+AJ17+AK17)*CUSTOS!$M$5</f>
        <v>7.8752017808313257E-12</v>
      </c>
      <c r="O17" s="19">
        <v>1</v>
      </c>
      <c r="P17" s="19">
        <v>1</v>
      </c>
      <c r="Q17" s="19">
        <f>1</f>
        <v>1</v>
      </c>
      <c r="R17" s="19">
        <v>1</v>
      </c>
      <c r="S17" s="19">
        <v>1</v>
      </c>
      <c r="T17" s="19"/>
      <c r="U17" s="19">
        <f>TRANSICAO!$U$17*CUSTOS!$T$3</f>
        <v>0</v>
      </c>
      <c r="V17" s="19">
        <f>TRANSICAO!$V$17*CUSTOS!$T$3</f>
        <v>0</v>
      </c>
      <c r="W17" s="19">
        <f>TRANSICAO!$W$17*CUSTOS!$T$3</f>
        <v>0</v>
      </c>
      <c r="X17" s="19">
        <f>TRANSICAO!$X$17*CUSTOS!$T$3</f>
        <v>0</v>
      </c>
      <c r="Y17" s="19">
        <f>TRANSICAO!$Y$17*CUSTOS!$T$3</f>
        <v>47.544499999999999</v>
      </c>
      <c r="Z17" s="19">
        <f>TRANSICAO!$Z$17*CUSTOS!$T$3</f>
        <v>0</v>
      </c>
      <c r="AA17" s="19">
        <f>TRANSICAO!$AA$17*CUSTOS!$T$3</f>
        <v>0</v>
      </c>
      <c r="AB17" s="19">
        <f>TRANSICAO!$AB$17*CUSTOS!$T$3</f>
        <v>0</v>
      </c>
      <c r="AC17" s="19">
        <f>TRANSICAO!$AC$17*CUSTOS!$T$3</f>
        <v>673.10569999999996</v>
      </c>
      <c r="AD17" s="19">
        <f>TRANSICAO!$AD$17*CUSTOS!$T$3</f>
        <v>0</v>
      </c>
      <c r="AE17" s="19">
        <v>0</v>
      </c>
      <c r="AF17" s="19">
        <v>0</v>
      </c>
      <c r="AG17" s="19"/>
      <c r="AH17" s="19">
        <v>38.553199999999997</v>
      </c>
      <c r="AI17" s="19">
        <v>0</v>
      </c>
      <c r="AJ17" s="19">
        <f ca="1">$N$64</f>
        <v>11.640086626431028</v>
      </c>
      <c r="AK17" s="19">
        <f t="shared" ca="1" si="0"/>
        <v>11.640086626431028</v>
      </c>
      <c r="AL17" s="19"/>
      <c r="AM17" s="19"/>
      <c r="AP17" s="19">
        <v>1</v>
      </c>
    </row>
    <row r="18" spans="1:42" ht="11.25" customHeight="1" x14ac:dyDescent="0.3">
      <c r="A18" s="120"/>
      <c r="B18" s="120"/>
      <c r="C18" s="120"/>
      <c r="D18" s="120"/>
      <c r="E18" s="120"/>
      <c r="F18" s="120"/>
      <c r="G18" s="21" t="s">
        <v>85</v>
      </c>
      <c r="H18" s="21" t="s">
        <v>72</v>
      </c>
      <c r="I18" s="21">
        <f>'MERCADO TUSD'!$U$15</f>
        <v>0</v>
      </c>
      <c r="J18" s="17"/>
      <c r="L18" s="19">
        <f>1</f>
        <v>1</v>
      </c>
      <c r="M1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3.0366048302705524</v>
      </c>
      <c r="N18" s="19">
        <f ca="1">(+M18+O18+R18+U18+V18+W18+X18+Y18+Z18+AA18+AC18+AH18+AI18+AJ18+AK18)*CUSTOS!$M$5</f>
        <v>4.9926017808313258E-12</v>
      </c>
      <c r="O18" s="19">
        <v>1</v>
      </c>
      <c r="P18" s="19">
        <v>1</v>
      </c>
      <c r="Q18" s="19">
        <f>1</f>
        <v>1</v>
      </c>
      <c r="R18" s="19">
        <v>1</v>
      </c>
      <c r="S18" s="19">
        <v>1</v>
      </c>
      <c r="T18" s="19"/>
      <c r="U18" s="19">
        <f>TRANSICAO!$U$18*CUSTOS!$T$3</f>
        <v>0</v>
      </c>
      <c r="V18" s="19">
        <f>TRANSICAO!$V$18*CUSTOS!$T$3</f>
        <v>0</v>
      </c>
      <c r="W18" s="19">
        <f>TRANSICAO!$W$18*CUSTOS!$T$3</f>
        <v>0</v>
      </c>
      <c r="X18" s="19">
        <f>TRANSICAO!$X$18*CUSTOS!$T$3</f>
        <v>0</v>
      </c>
      <c r="Y18" s="19">
        <f>TRANSICAO!$Y$18*CUSTOS!$T$3</f>
        <v>28.526700000000002</v>
      </c>
      <c r="Z18" s="19">
        <f>TRANSICAO!$Z$18*CUSTOS!$T$3</f>
        <v>0</v>
      </c>
      <c r="AA18" s="19">
        <f>TRANSICAO!$AA$18*CUSTOS!$T$3</f>
        <v>0</v>
      </c>
      <c r="AB18" s="19">
        <f>TRANSICAO!$AB$18*CUSTOS!$T$3</f>
        <v>0</v>
      </c>
      <c r="AC18" s="19">
        <f>TRANSICAO!$AC$18*CUSTOS!$T$3</f>
        <v>403.86349999999999</v>
      </c>
      <c r="AD18" s="19">
        <f>TRANSICAO!$AD$18*CUSTOS!$T$3</f>
        <v>0</v>
      </c>
      <c r="AE18" s="19">
        <v>0</v>
      </c>
      <c r="AF18" s="19">
        <v>0</v>
      </c>
      <c r="AG18" s="19"/>
      <c r="AH18" s="19">
        <v>38.553199999999997</v>
      </c>
      <c r="AI18" s="19">
        <v>0</v>
      </c>
      <c r="AJ18" s="19">
        <f ca="1">$N$64</f>
        <v>11.640086626431028</v>
      </c>
      <c r="AK18" s="19">
        <f t="shared" ca="1" si="0"/>
        <v>11.640086626431028</v>
      </c>
      <c r="AL18" s="19"/>
      <c r="AM18" s="19"/>
      <c r="AP18" s="19">
        <v>1</v>
      </c>
    </row>
    <row r="19" spans="1:42" ht="11.25" customHeight="1" x14ac:dyDescent="0.3">
      <c r="A19" s="120"/>
      <c r="B19" s="120"/>
      <c r="C19" s="120"/>
      <c r="D19" s="120"/>
      <c r="E19" s="120"/>
      <c r="F19" s="120"/>
      <c r="G19" s="21" t="s">
        <v>74</v>
      </c>
      <c r="H19" s="21" t="s">
        <v>72</v>
      </c>
      <c r="I19" s="21">
        <f>'MERCADO TUSD'!$U$16</f>
        <v>0.71099999999999985</v>
      </c>
      <c r="J19" s="17"/>
      <c r="L19" s="19">
        <f>1</f>
        <v>1</v>
      </c>
      <c r="M1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3.0366048302705524</v>
      </c>
      <c r="N19" s="19">
        <f ca="1">(+M19+O19+R19+U19+V19+W19+X19+Y19+Z19+AA19+AC19+AH19+AI19+AJ19+AK19)*CUSTOS!$M$5</f>
        <v>2.1100007808313262E-12</v>
      </c>
      <c r="O19" s="19">
        <v>1</v>
      </c>
      <c r="P19" s="19">
        <v>1</v>
      </c>
      <c r="Q19" s="19">
        <f>1</f>
        <v>1</v>
      </c>
      <c r="R19" s="19">
        <v>1</v>
      </c>
      <c r="S19" s="19">
        <v>1</v>
      </c>
      <c r="T19" s="19"/>
      <c r="U19" s="19">
        <f>TRANSICAO!$U$19*CUSTOS!$T$3</f>
        <v>0</v>
      </c>
      <c r="V19" s="19">
        <f>TRANSICAO!$V$19*CUSTOS!$T$3</f>
        <v>0</v>
      </c>
      <c r="W19" s="19">
        <f>TRANSICAO!$W$19*CUSTOS!$T$3</f>
        <v>0</v>
      </c>
      <c r="X19" s="19">
        <f>TRANSICAO!$X$19*CUSTOS!$T$3</f>
        <v>0</v>
      </c>
      <c r="Y19" s="19">
        <f>TRANSICAO!$Y$19*CUSTOS!$T$3</f>
        <v>9.5090000000000003</v>
      </c>
      <c r="Z19" s="19">
        <f>TRANSICAO!$Z$19*CUSTOS!$T$3</f>
        <v>0</v>
      </c>
      <c r="AA19" s="19">
        <f>TRANSICAO!$AA$19*CUSTOS!$T$3</f>
        <v>0</v>
      </c>
      <c r="AB19" s="19">
        <f>TRANSICAO!$AB$19*CUSTOS!$T$3</f>
        <v>0</v>
      </c>
      <c r="AC19" s="19">
        <f>TRANSICAO!$AC$19*CUSTOS!$T$3</f>
        <v>134.62110000000001</v>
      </c>
      <c r="AD19" s="19">
        <f>TRANSICAO!$AD$19*CUSTOS!$T$3</f>
        <v>0</v>
      </c>
      <c r="AE19" s="19">
        <v>0</v>
      </c>
      <c r="AF19" s="19">
        <v>0</v>
      </c>
      <c r="AG19" s="19"/>
      <c r="AH19" s="19">
        <v>38.553199999999997</v>
      </c>
      <c r="AI19" s="19">
        <v>0</v>
      </c>
      <c r="AJ19" s="19">
        <f ca="1">$N$64</f>
        <v>11.640086626431028</v>
      </c>
      <c r="AK19" s="19">
        <f t="shared" ca="1" si="0"/>
        <v>11.640086626431028</v>
      </c>
      <c r="AL19" s="19"/>
      <c r="AM19" s="19"/>
      <c r="AP19" s="19">
        <v>1</v>
      </c>
    </row>
    <row r="20" spans="1:42" ht="11.25" customHeight="1" x14ac:dyDescent="0.3">
      <c r="A20" s="120"/>
      <c r="B20" s="120" t="s">
        <v>23</v>
      </c>
      <c r="C20" s="120" t="s">
        <v>24</v>
      </c>
      <c r="D20" s="22" t="s">
        <v>24</v>
      </c>
      <c r="E20" s="22" t="s">
        <v>25</v>
      </c>
      <c r="F20" s="22" t="s">
        <v>25</v>
      </c>
      <c r="G20" s="21" t="s">
        <v>76</v>
      </c>
      <c r="H20" s="21" t="s">
        <v>72</v>
      </c>
      <c r="I20" s="21">
        <f>'MERCADO TUSD'!$U$17</f>
        <v>9876.3909999999996</v>
      </c>
      <c r="J20" s="17"/>
      <c r="L20" s="19">
        <f>1</f>
        <v>1</v>
      </c>
      <c r="M2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3.0366048302705524</v>
      </c>
      <c r="N20" s="19">
        <f ca="1">(+M20+O20+R20+U20+V20+W20+X20+Y20+Z20+AA20+AC20+AH20+AI20+AJ20+AK20)*CUSTOS!$M$5</f>
        <v>3.337775780831326E-12</v>
      </c>
      <c r="O20" s="19">
        <v>1</v>
      </c>
      <c r="P20" s="19">
        <v>1</v>
      </c>
      <c r="Q20" s="19">
        <f>1</f>
        <v>1</v>
      </c>
      <c r="R20" s="19">
        <v>1</v>
      </c>
      <c r="S20" s="19">
        <v>1</v>
      </c>
      <c r="T20" s="19"/>
      <c r="U20" s="19">
        <f>TRANSICAO!$U$20*CUSTOS!$T$3</f>
        <v>0</v>
      </c>
      <c r="V20" s="19">
        <f>TRANSICAO!$V$20*CUSTOS!$T$3</f>
        <v>0</v>
      </c>
      <c r="W20" s="19">
        <f>TRANSICAO!$W$20*CUSTOS!$T$3</f>
        <v>0</v>
      </c>
      <c r="X20" s="19">
        <f>TRANSICAO!$X$20*CUSTOS!$T$3</f>
        <v>0</v>
      </c>
      <c r="Y20" s="19">
        <f>TRANSICAO!$Y$20*CUSTOS!$T$3</f>
        <v>17.609100000000002</v>
      </c>
      <c r="Z20" s="19">
        <f>TRANSICAO!$Z$20*CUSTOS!$T$3</f>
        <v>0</v>
      </c>
      <c r="AA20" s="19">
        <f>TRANSICAO!$AA$20*CUSTOS!$T$3</f>
        <v>0</v>
      </c>
      <c r="AB20" s="19">
        <f>TRANSICAO!$AB$20*CUSTOS!$T$3</f>
        <v>0</v>
      </c>
      <c r="AC20" s="19">
        <f>TRANSICAO!$AC$20*CUSTOS!$T$3</f>
        <v>249.29849999999999</v>
      </c>
      <c r="AD20" s="19">
        <f>TRANSICAO!$AD$20*CUSTOS!$T$3</f>
        <v>0</v>
      </c>
      <c r="AE20" s="19">
        <v>0</v>
      </c>
      <c r="AF20" s="19">
        <v>0</v>
      </c>
      <c r="AG20" s="19"/>
      <c r="AH20" s="19">
        <v>38.553199999999997</v>
      </c>
      <c r="AI20" s="19">
        <v>0</v>
      </c>
      <c r="AJ20" s="19">
        <f ca="1">$N$64</f>
        <v>11.640086626431028</v>
      </c>
      <c r="AK20" s="19">
        <f t="shared" ca="1" si="0"/>
        <v>11.640086626431028</v>
      </c>
      <c r="AL20" s="19"/>
      <c r="AM20" s="19"/>
      <c r="AP20" s="19">
        <v>1</v>
      </c>
    </row>
    <row r="21" spans="1:42" ht="11.25" customHeight="1" x14ac:dyDescent="0.3">
      <c r="A21" s="120"/>
      <c r="B21" s="120"/>
      <c r="C21" s="120"/>
      <c r="D21" s="22" t="s">
        <v>29</v>
      </c>
      <c r="E21" s="22" t="s">
        <v>25</v>
      </c>
      <c r="F21" s="22" t="s">
        <v>25</v>
      </c>
      <c r="G21" s="21" t="s">
        <v>76</v>
      </c>
      <c r="H21" s="21" t="s">
        <v>72</v>
      </c>
      <c r="I21" s="21">
        <f>'MERCADO TUSD'!$U$18</f>
        <v>38.58</v>
      </c>
      <c r="J21" s="17"/>
      <c r="L21" s="19">
        <v>0</v>
      </c>
      <c r="M2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3.0366048302705524</v>
      </c>
      <c r="N21" s="19">
        <f ca="1">(+M21+O21+R21+U21+V21+W21+X21+Y21+Z21+AA21+AC21+AH21+AI21+AJ21+AK21)*CUSTOS!$M$5</f>
        <v>3.3277757808313258E-12</v>
      </c>
      <c r="O21" s="19">
        <f>1 - CUSTOS!$M$24</f>
        <v>1</v>
      </c>
      <c r="P21" s="19">
        <v>0</v>
      </c>
      <c r="Q21" s="19">
        <v>0</v>
      </c>
      <c r="R21" s="19">
        <v>0</v>
      </c>
      <c r="S21" s="19">
        <f>1 - CUSTOS!$M$24</f>
        <v>1</v>
      </c>
      <c r="T21" s="19"/>
      <c r="U21" s="19">
        <f>TRANSICAO!$U$21*CUSTOS!$T$3</f>
        <v>0</v>
      </c>
      <c r="V21" s="19">
        <f>TRANSICAO!$V$21*CUSTOS!$T$3</f>
        <v>0</v>
      </c>
      <c r="W21" s="19">
        <f>TRANSICAO!$W$21*CUSTOS!$T$3</f>
        <v>0</v>
      </c>
      <c r="X21" s="19">
        <f>TRANSICAO!$X$21*CUSTOS!$T$3</f>
        <v>0</v>
      </c>
      <c r="Y21" s="19">
        <f>TRANSICAO!$Y$21*CUSTOS!$T$3</f>
        <v>17.609100000000002</v>
      </c>
      <c r="Z21" s="19">
        <f>TRANSICAO!$Z$21*CUSTOS!$T$3</f>
        <v>0</v>
      </c>
      <c r="AA21" s="19">
        <f>TRANSICAO!$AA$21*CUSTOS!$T$3</f>
        <v>0</v>
      </c>
      <c r="AB21" s="19">
        <f>TRANSICAO!$AB$21*CUSTOS!$T$3</f>
        <v>0</v>
      </c>
      <c r="AC21" s="19">
        <f>TRANSICAO!$AC$21*CUSTOS!$T$3</f>
        <v>249.29849999999999</v>
      </c>
      <c r="AD21" s="19">
        <f>TRANSICAO!$AD$21*CUSTOS!$T$3</f>
        <v>0</v>
      </c>
      <c r="AE21" s="19">
        <v>0</v>
      </c>
      <c r="AF21" s="19">
        <v>0</v>
      </c>
      <c r="AG21" s="19"/>
      <c r="AH21" s="19">
        <f>(1 - CUSTOS!$M$24)*38.5532</f>
        <v>38.553199999999997</v>
      </c>
      <c r="AI21" s="19">
        <v>0</v>
      </c>
      <c r="AJ21" s="19">
        <f ca="1">$N$64*(1-CUSTOS!$M$24)</f>
        <v>11.640086626431028</v>
      </c>
      <c r="AK21" s="19">
        <f t="shared" ca="1" si="0"/>
        <v>11.640086626431028</v>
      </c>
      <c r="AL21" s="19"/>
      <c r="AM21" s="19"/>
      <c r="AP21" s="19">
        <f>IF((1 - CUSTOS!$M$24)&lt;&gt;0,1/(1 - CUSTOS!$M$24),1)</f>
        <v>1</v>
      </c>
    </row>
    <row r="22" spans="1:42" ht="11.25" customHeight="1" x14ac:dyDescent="0.3">
      <c r="A22" s="120"/>
      <c r="B22" s="120"/>
      <c r="C22" s="120"/>
      <c r="D22" s="22" t="s">
        <v>30</v>
      </c>
      <c r="E22" s="22" t="s">
        <v>25</v>
      </c>
      <c r="F22" s="22" t="s">
        <v>25</v>
      </c>
      <c r="G22" s="21" t="s">
        <v>76</v>
      </c>
      <c r="H22" s="21" t="s">
        <v>72</v>
      </c>
      <c r="I22" s="21">
        <f>'MERCADO TUSD'!$U$19</f>
        <v>77.120999999999995</v>
      </c>
      <c r="J22" s="17"/>
      <c r="L22" s="19">
        <v>0</v>
      </c>
      <c r="M22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3.0366048302705524</v>
      </c>
      <c r="N22" s="19">
        <f ca="1">(+M22+O22+R22+U22+V22+W22+X22+Y22+Z22+AA22+AC22+AH22+AI22+AJ22+AK22)*CUSTOS!$M$5</f>
        <v>3.3277757808313258E-12</v>
      </c>
      <c r="O22" s="19">
        <f>1 - CUSTOS!$M$25</f>
        <v>1</v>
      </c>
      <c r="P22" s="19">
        <v>0</v>
      </c>
      <c r="Q22" s="19">
        <v>0</v>
      </c>
      <c r="R22" s="19">
        <v>0</v>
      </c>
      <c r="S22" s="19">
        <f>1 - CUSTOS!$M$25</f>
        <v>1</v>
      </c>
      <c r="T22" s="19"/>
      <c r="U22" s="19">
        <f>TRANSICAO!$U$22*CUSTOS!$T$3</f>
        <v>0</v>
      </c>
      <c r="V22" s="19">
        <f>TRANSICAO!$V$22*CUSTOS!$T$3</f>
        <v>0</v>
      </c>
      <c r="W22" s="19">
        <f>TRANSICAO!$W$22*CUSTOS!$T$3</f>
        <v>0</v>
      </c>
      <c r="X22" s="19">
        <f>TRANSICAO!$X$22*CUSTOS!$T$3</f>
        <v>0</v>
      </c>
      <c r="Y22" s="19">
        <f>TRANSICAO!$Y$22*CUSTOS!$T$3</f>
        <v>17.609100000000002</v>
      </c>
      <c r="Z22" s="19">
        <f>TRANSICAO!$Z$22*CUSTOS!$T$3</f>
        <v>0</v>
      </c>
      <c r="AA22" s="19">
        <f>TRANSICAO!$AA$22*CUSTOS!$T$3</f>
        <v>0</v>
      </c>
      <c r="AB22" s="19">
        <f>TRANSICAO!$AB$22*CUSTOS!$T$3</f>
        <v>0</v>
      </c>
      <c r="AC22" s="19">
        <f>TRANSICAO!$AC$22*CUSTOS!$T$3</f>
        <v>249.29849999999999</v>
      </c>
      <c r="AD22" s="19">
        <f>TRANSICAO!$AD$22*CUSTOS!$T$3</f>
        <v>0</v>
      </c>
      <c r="AE22" s="19">
        <v>0</v>
      </c>
      <c r="AF22" s="19">
        <v>0</v>
      </c>
      <c r="AG22" s="19"/>
      <c r="AH22" s="19">
        <f>(1 - CUSTOS!$M$25)*38.5532</f>
        <v>38.553199999999997</v>
      </c>
      <c r="AI22" s="19">
        <v>0</v>
      </c>
      <c r="AJ22" s="19">
        <f ca="1">$N$64*(1-CUSTOS!$M$25)</f>
        <v>11.640086626431028</v>
      </c>
      <c r="AK22" s="19">
        <f t="shared" ca="1" si="0"/>
        <v>11.640086626431028</v>
      </c>
      <c r="AL22" s="19"/>
      <c r="AM22" s="19"/>
      <c r="AP22" s="19">
        <f>IF((1 - CUSTOS!$M$25)&lt;&gt;0,1/(1 - CUSTOS!$M$25),1)</f>
        <v>1</v>
      </c>
    </row>
    <row r="23" spans="1:42" ht="11.25" customHeight="1" x14ac:dyDescent="0.3">
      <c r="A23" s="120"/>
      <c r="B23" s="120"/>
      <c r="C23" s="120"/>
      <c r="D23" s="22" t="s">
        <v>31</v>
      </c>
      <c r="E23" s="22" t="s">
        <v>25</v>
      </c>
      <c r="F23" s="22" t="s">
        <v>25</v>
      </c>
      <c r="G23" s="21" t="s">
        <v>76</v>
      </c>
      <c r="H23" s="21" t="s">
        <v>72</v>
      </c>
      <c r="I23" s="21">
        <f>'MERCADO TUSD'!$U$20</f>
        <v>54.47</v>
      </c>
      <c r="J23" s="17"/>
      <c r="L23" s="19">
        <v>0</v>
      </c>
      <c r="M23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3.0366048302705524</v>
      </c>
      <c r="N23" s="19">
        <f ca="1">(+M23+O23+R23+U23+V23+W23+X23+Y23+Z23+AA23+AC23+AH23+AI23+AJ23+AK23)*CUSTOS!$M$5</f>
        <v>3.3277757808313258E-12</v>
      </c>
      <c r="O23" s="19">
        <f>1 - CUSTOS!$M$26</f>
        <v>1</v>
      </c>
      <c r="P23" s="19">
        <v>0</v>
      </c>
      <c r="Q23" s="19">
        <v>0</v>
      </c>
      <c r="R23" s="19">
        <v>0</v>
      </c>
      <c r="S23" s="19">
        <f>1 - CUSTOS!$M$26</f>
        <v>1</v>
      </c>
      <c r="T23" s="19"/>
      <c r="U23" s="19">
        <f>TRANSICAO!$U$23*CUSTOS!$T$3</f>
        <v>0</v>
      </c>
      <c r="V23" s="19">
        <f>TRANSICAO!$V$23*CUSTOS!$T$3</f>
        <v>0</v>
      </c>
      <c r="W23" s="19">
        <f>TRANSICAO!$W$23*CUSTOS!$T$3</f>
        <v>0</v>
      </c>
      <c r="X23" s="19">
        <f>TRANSICAO!$X$23*CUSTOS!$T$3</f>
        <v>0</v>
      </c>
      <c r="Y23" s="19">
        <f>TRANSICAO!$Y$23*CUSTOS!$T$3</f>
        <v>17.609100000000002</v>
      </c>
      <c r="Z23" s="19">
        <f>TRANSICAO!$Z$23*CUSTOS!$T$3</f>
        <v>0</v>
      </c>
      <c r="AA23" s="19">
        <f>TRANSICAO!$AA$23*CUSTOS!$T$3</f>
        <v>0</v>
      </c>
      <c r="AB23" s="19">
        <f>TRANSICAO!$AB$23*CUSTOS!$T$3</f>
        <v>0</v>
      </c>
      <c r="AC23" s="19">
        <f>TRANSICAO!$AC$23*CUSTOS!$T$3</f>
        <v>249.29849999999999</v>
      </c>
      <c r="AD23" s="19">
        <f>TRANSICAO!$AD$23*CUSTOS!$T$3</f>
        <v>0</v>
      </c>
      <c r="AE23" s="19">
        <v>0</v>
      </c>
      <c r="AF23" s="19">
        <v>0</v>
      </c>
      <c r="AG23" s="19"/>
      <c r="AH23" s="19">
        <f>(1 - CUSTOS!$M$26)*38.5532</f>
        <v>38.553199999999997</v>
      </c>
      <c r="AI23" s="19">
        <v>0</v>
      </c>
      <c r="AJ23" s="19">
        <f ca="1">$N$64*(1-CUSTOS!$M$26)</f>
        <v>11.640086626431028</v>
      </c>
      <c r="AK23" s="19">
        <f t="shared" ca="1" si="0"/>
        <v>11.640086626431028</v>
      </c>
      <c r="AL23" s="19"/>
      <c r="AM23" s="19"/>
      <c r="AP23" s="19">
        <f>IF((1 - CUSTOS!$M$26)&lt;&gt;0,1/(1 - CUSTOS!$M$26),1)</f>
        <v>1</v>
      </c>
    </row>
    <row r="24" spans="1:42" ht="11.25" customHeight="1" x14ac:dyDescent="0.3">
      <c r="A24" s="120"/>
      <c r="B24" s="120"/>
      <c r="C24" s="120"/>
      <c r="D24" s="22" t="s">
        <v>32</v>
      </c>
      <c r="E24" s="22" t="s">
        <v>25</v>
      </c>
      <c r="F24" s="22" t="s">
        <v>25</v>
      </c>
      <c r="G24" s="21" t="s">
        <v>76</v>
      </c>
      <c r="H24" s="21" t="s">
        <v>72</v>
      </c>
      <c r="I24" s="21">
        <f>'MERCADO TUSD'!$U$21</f>
        <v>9.1170000000000009</v>
      </c>
      <c r="J24" s="17"/>
      <c r="L24" s="19">
        <v>0</v>
      </c>
      <c r="M24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3.0366048302705524</v>
      </c>
      <c r="N24" s="19">
        <f ca="1">(+M24+O24+R24+U24+V24+W24+X24+Y24+Z24+AA24+AC24+AH24+AI24+AJ24+AK24)*CUSTOS!$M$5</f>
        <v>3.3277757808313258E-12</v>
      </c>
      <c r="O24" s="19">
        <f>1 - CUSTOS!$M$27</f>
        <v>1</v>
      </c>
      <c r="P24" s="19">
        <v>0</v>
      </c>
      <c r="Q24" s="19">
        <v>0</v>
      </c>
      <c r="R24" s="19">
        <v>0</v>
      </c>
      <c r="S24" s="19">
        <f>1 - CUSTOS!$M$27</f>
        <v>1</v>
      </c>
      <c r="T24" s="19"/>
      <c r="U24" s="19">
        <f>TRANSICAO!$U$24*CUSTOS!$T$3</f>
        <v>0</v>
      </c>
      <c r="V24" s="19">
        <f>TRANSICAO!$V$24*CUSTOS!$T$3</f>
        <v>0</v>
      </c>
      <c r="W24" s="19">
        <f>TRANSICAO!$W$24*CUSTOS!$T$3</f>
        <v>0</v>
      </c>
      <c r="X24" s="19">
        <f>TRANSICAO!$X$24*CUSTOS!$T$3</f>
        <v>0</v>
      </c>
      <c r="Y24" s="19">
        <f>TRANSICAO!$Y$24*CUSTOS!$T$3</f>
        <v>17.609100000000002</v>
      </c>
      <c r="Z24" s="19">
        <f>TRANSICAO!$Z$24*CUSTOS!$T$3</f>
        <v>0</v>
      </c>
      <c r="AA24" s="19">
        <f>TRANSICAO!$AA$24*CUSTOS!$T$3</f>
        <v>0</v>
      </c>
      <c r="AB24" s="19">
        <f>TRANSICAO!$AB$24*CUSTOS!$T$3</f>
        <v>0</v>
      </c>
      <c r="AC24" s="19">
        <f>TRANSICAO!$AC$24*CUSTOS!$T$3</f>
        <v>249.29849999999999</v>
      </c>
      <c r="AD24" s="19">
        <f>TRANSICAO!$AD$24*CUSTOS!$T$3</f>
        <v>0</v>
      </c>
      <c r="AE24" s="19">
        <v>0</v>
      </c>
      <c r="AF24" s="19">
        <v>0</v>
      </c>
      <c r="AG24" s="19"/>
      <c r="AH24" s="19">
        <f>(1 - CUSTOS!$M$27)*38.5532</f>
        <v>38.553199999999997</v>
      </c>
      <c r="AI24" s="19">
        <v>0</v>
      </c>
      <c r="AJ24" s="19">
        <f ca="1">$N$64*(1-CUSTOS!$M$27)</f>
        <v>11.640086626431028</v>
      </c>
      <c r="AK24" s="19">
        <f t="shared" ca="1" si="0"/>
        <v>11.640086626431028</v>
      </c>
      <c r="AL24" s="19"/>
      <c r="AM24" s="19"/>
      <c r="AP24" s="19">
        <f>IF((1 - CUSTOS!$M$27)&lt;&gt;0,1/(1 - CUSTOS!$M$27),1)</f>
        <v>1</v>
      </c>
    </row>
    <row r="25" spans="1:42" ht="11.25" customHeight="1" x14ac:dyDescent="0.3">
      <c r="A25" s="120"/>
      <c r="B25" s="120" t="s">
        <v>87</v>
      </c>
      <c r="C25" s="120" t="s">
        <v>24</v>
      </c>
      <c r="D25" s="22" t="s">
        <v>24</v>
      </c>
      <c r="E25" s="22" t="s">
        <v>25</v>
      </c>
      <c r="F25" s="22" t="s">
        <v>25</v>
      </c>
      <c r="G25" s="21" t="s">
        <v>76</v>
      </c>
      <c r="H25" s="21" t="s">
        <v>72</v>
      </c>
      <c r="I25" s="21">
        <f>'MERCADO TUSD'!$U$22</f>
        <v>0</v>
      </c>
      <c r="J25" s="17"/>
      <c r="L25" s="19">
        <f>1</f>
        <v>1</v>
      </c>
      <c r="M25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3.0366048302705524</v>
      </c>
      <c r="N25" s="19">
        <f ca="1">(+M25+O25+R25+U25+V25+W25+X25+Y25+Z25+AA25+AC25+AH25+AI25+AJ25+AK25)*CUSTOS!$M$5</f>
        <v>3.337775780831326E-12</v>
      </c>
      <c r="O25" s="19">
        <v>1</v>
      </c>
      <c r="P25" s="19">
        <v>1</v>
      </c>
      <c r="Q25" s="19">
        <f>1</f>
        <v>1</v>
      </c>
      <c r="R25" s="19">
        <v>1</v>
      </c>
      <c r="S25" s="19">
        <v>1</v>
      </c>
      <c r="T25" s="19"/>
      <c r="U25" s="19">
        <f>TRANSICAO!$U$25*CUSTOS!$T$3</f>
        <v>0</v>
      </c>
      <c r="V25" s="19">
        <f>TRANSICAO!$V$25*CUSTOS!$T$3</f>
        <v>0</v>
      </c>
      <c r="W25" s="19">
        <f>TRANSICAO!$W$25*CUSTOS!$T$3</f>
        <v>0</v>
      </c>
      <c r="X25" s="19">
        <f>TRANSICAO!$X$25*CUSTOS!$T$3</f>
        <v>0</v>
      </c>
      <c r="Y25" s="19">
        <f>TRANSICAO!$Y$25*CUSTOS!$T$3</f>
        <v>17.609100000000002</v>
      </c>
      <c r="Z25" s="19">
        <f>TRANSICAO!$Z$25*CUSTOS!$T$3</f>
        <v>0</v>
      </c>
      <c r="AA25" s="19">
        <f>TRANSICAO!$AA$25*CUSTOS!$T$3</f>
        <v>0</v>
      </c>
      <c r="AB25" s="19">
        <f>TRANSICAO!$AB$25*CUSTOS!$T$3</f>
        <v>0</v>
      </c>
      <c r="AC25" s="19">
        <f>TRANSICAO!$AC$25*CUSTOS!$T$3</f>
        <v>249.29849999999999</v>
      </c>
      <c r="AD25" s="19">
        <f>TRANSICAO!$AD$25*CUSTOS!$T$3</f>
        <v>0</v>
      </c>
      <c r="AE25" s="19">
        <v>0</v>
      </c>
      <c r="AF25" s="19">
        <v>0</v>
      </c>
      <c r="AG25" s="19"/>
      <c r="AH25" s="19">
        <v>38.553199999999997</v>
      </c>
      <c r="AI25" s="19">
        <v>0</v>
      </c>
      <c r="AJ25" s="19">
        <f ca="1">$N$64</f>
        <v>11.640086626431028</v>
      </c>
      <c r="AK25" s="19">
        <f t="shared" ca="1" si="0"/>
        <v>11.640086626431028</v>
      </c>
      <c r="AL25" s="19"/>
      <c r="AM25" s="19"/>
      <c r="AP25" s="19">
        <v>1</v>
      </c>
    </row>
    <row r="26" spans="1:42" ht="11.25" customHeight="1" x14ac:dyDescent="0.3">
      <c r="A26" s="120"/>
      <c r="B26" s="120"/>
      <c r="C26" s="120"/>
      <c r="D26" s="22" t="s">
        <v>29</v>
      </c>
      <c r="E26" s="22" t="s">
        <v>25</v>
      </c>
      <c r="F26" s="22" t="s">
        <v>25</v>
      </c>
      <c r="G26" s="21" t="s">
        <v>76</v>
      </c>
      <c r="H26" s="21" t="s">
        <v>72</v>
      </c>
      <c r="I26" s="21">
        <f>'MERCADO TUSD'!$U$23</f>
        <v>0</v>
      </c>
      <c r="J26" s="17"/>
      <c r="L26" s="19">
        <v>0</v>
      </c>
      <c r="M26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3.0366048302705524</v>
      </c>
      <c r="N26" s="19">
        <f ca="1">(+M26+O26+R26+U26+V26+W26+X26+Y26+Z26+AA26+AC26+AH26+AI26+AJ26+AK26)*CUSTOS!$M$5</f>
        <v>3.3277757808313258E-12</v>
      </c>
      <c r="O26" s="19">
        <f>1 - CUSTOS!$M$24</f>
        <v>1</v>
      </c>
      <c r="P26" s="19">
        <v>0</v>
      </c>
      <c r="Q26" s="19">
        <v>0</v>
      </c>
      <c r="R26" s="19">
        <v>0</v>
      </c>
      <c r="S26" s="19">
        <f>1 - CUSTOS!$M$24</f>
        <v>1</v>
      </c>
      <c r="T26" s="19"/>
      <c r="U26" s="19">
        <f>TRANSICAO!$U$26*CUSTOS!$T$3</f>
        <v>0</v>
      </c>
      <c r="V26" s="19">
        <f>TRANSICAO!$V$26*CUSTOS!$T$3</f>
        <v>0</v>
      </c>
      <c r="W26" s="19">
        <f>TRANSICAO!$W$26*CUSTOS!$T$3</f>
        <v>0</v>
      </c>
      <c r="X26" s="19">
        <f>TRANSICAO!$X$26*CUSTOS!$T$3</f>
        <v>0</v>
      </c>
      <c r="Y26" s="19">
        <f>TRANSICAO!$Y$26*CUSTOS!$T$3</f>
        <v>17.609100000000002</v>
      </c>
      <c r="Z26" s="19">
        <f>TRANSICAO!$Z$26*CUSTOS!$T$3</f>
        <v>0</v>
      </c>
      <c r="AA26" s="19">
        <f>TRANSICAO!$AA$26*CUSTOS!$T$3</f>
        <v>0</v>
      </c>
      <c r="AB26" s="19">
        <f>TRANSICAO!$AB$26*CUSTOS!$T$3</f>
        <v>0</v>
      </c>
      <c r="AC26" s="19">
        <f>TRANSICAO!$AC$26*CUSTOS!$T$3</f>
        <v>249.29849999999999</v>
      </c>
      <c r="AD26" s="19">
        <f>TRANSICAO!$AD$26*CUSTOS!$T$3</f>
        <v>0</v>
      </c>
      <c r="AE26" s="19">
        <v>0</v>
      </c>
      <c r="AF26" s="19">
        <v>0</v>
      </c>
      <c r="AG26" s="19"/>
      <c r="AH26" s="19">
        <f>(1 - CUSTOS!$M$24)*38.5532</f>
        <v>38.553199999999997</v>
      </c>
      <c r="AI26" s="19">
        <v>0</v>
      </c>
      <c r="AJ26" s="19">
        <f ca="1">$N$64*(1-CUSTOS!$M$24)</f>
        <v>11.640086626431028</v>
      </c>
      <c r="AK26" s="19">
        <f t="shared" ca="1" si="0"/>
        <v>11.640086626431028</v>
      </c>
      <c r="AL26" s="19"/>
      <c r="AM26" s="19"/>
      <c r="AP26" s="19">
        <f>IF((1 - CUSTOS!$M$24)&lt;&gt;0,1/(1 - CUSTOS!$M$24),1)</f>
        <v>1</v>
      </c>
    </row>
    <row r="27" spans="1:42" ht="11.25" customHeight="1" x14ac:dyDescent="0.3">
      <c r="A27" s="120"/>
      <c r="B27" s="120"/>
      <c r="C27" s="120"/>
      <c r="D27" s="22" t="s">
        <v>30</v>
      </c>
      <c r="E27" s="22" t="s">
        <v>25</v>
      </c>
      <c r="F27" s="22" t="s">
        <v>25</v>
      </c>
      <c r="G27" s="21" t="s">
        <v>76</v>
      </c>
      <c r="H27" s="21" t="s">
        <v>72</v>
      </c>
      <c r="I27" s="21">
        <f>'MERCADO TUSD'!$U$24</f>
        <v>0</v>
      </c>
      <c r="J27" s="17"/>
      <c r="L27" s="19">
        <v>0</v>
      </c>
      <c r="M2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3.0366048302705524</v>
      </c>
      <c r="N27" s="19">
        <f ca="1">(+M27+O27+R27+U27+V27+W27+X27+Y27+Z27+AA27+AC27+AH27+AI27+AJ27+AK27)*CUSTOS!$M$5</f>
        <v>3.3277757808313258E-12</v>
      </c>
      <c r="O27" s="19">
        <f>1 - CUSTOS!$M$25</f>
        <v>1</v>
      </c>
      <c r="P27" s="19">
        <v>0</v>
      </c>
      <c r="Q27" s="19">
        <v>0</v>
      </c>
      <c r="R27" s="19">
        <v>0</v>
      </c>
      <c r="S27" s="19">
        <f>1 - CUSTOS!$M$25</f>
        <v>1</v>
      </c>
      <c r="T27" s="19"/>
      <c r="U27" s="19">
        <f>TRANSICAO!$U$27*CUSTOS!$T$3</f>
        <v>0</v>
      </c>
      <c r="V27" s="19">
        <f>TRANSICAO!$V$27*CUSTOS!$T$3</f>
        <v>0</v>
      </c>
      <c r="W27" s="19">
        <f>TRANSICAO!$W$27*CUSTOS!$T$3</f>
        <v>0</v>
      </c>
      <c r="X27" s="19">
        <f>TRANSICAO!$X$27*CUSTOS!$T$3</f>
        <v>0</v>
      </c>
      <c r="Y27" s="19">
        <f>TRANSICAO!$Y$27*CUSTOS!$T$3</f>
        <v>17.609100000000002</v>
      </c>
      <c r="Z27" s="19">
        <f>TRANSICAO!$Z$27*CUSTOS!$T$3</f>
        <v>0</v>
      </c>
      <c r="AA27" s="19">
        <f>TRANSICAO!$AA$27*CUSTOS!$T$3</f>
        <v>0</v>
      </c>
      <c r="AB27" s="19">
        <f>TRANSICAO!$AB$27*CUSTOS!$T$3</f>
        <v>0</v>
      </c>
      <c r="AC27" s="19">
        <f>TRANSICAO!$AC$27*CUSTOS!$T$3</f>
        <v>249.29849999999999</v>
      </c>
      <c r="AD27" s="19">
        <f>TRANSICAO!$AD$27*CUSTOS!$T$3</f>
        <v>0</v>
      </c>
      <c r="AE27" s="19">
        <v>0</v>
      </c>
      <c r="AF27" s="19">
        <v>0</v>
      </c>
      <c r="AG27" s="19"/>
      <c r="AH27" s="19">
        <f>(1 - CUSTOS!$M$25)*38.5532</f>
        <v>38.553199999999997</v>
      </c>
      <c r="AI27" s="19">
        <v>0</v>
      </c>
      <c r="AJ27" s="19">
        <f ca="1">$N$64*(1-CUSTOS!$M$25)</f>
        <v>11.640086626431028</v>
      </c>
      <c r="AK27" s="19">
        <f t="shared" ca="1" si="0"/>
        <v>11.640086626431028</v>
      </c>
      <c r="AL27" s="19"/>
      <c r="AM27" s="19"/>
      <c r="AP27" s="19">
        <f>IF((1 - CUSTOS!$M$25)&lt;&gt;0,1/(1 - CUSTOS!$M$25),1)</f>
        <v>1</v>
      </c>
    </row>
    <row r="28" spans="1:42" ht="11.25" customHeight="1" x14ac:dyDescent="0.3">
      <c r="A28" s="120"/>
      <c r="B28" s="120"/>
      <c r="C28" s="120"/>
      <c r="D28" s="22" t="s">
        <v>31</v>
      </c>
      <c r="E28" s="22" t="s">
        <v>25</v>
      </c>
      <c r="F28" s="22" t="s">
        <v>25</v>
      </c>
      <c r="G28" s="21" t="s">
        <v>76</v>
      </c>
      <c r="H28" s="21" t="s">
        <v>72</v>
      </c>
      <c r="I28" s="21">
        <f>'MERCADO TUSD'!$U$25</f>
        <v>0</v>
      </c>
      <c r="J28" s="17"/>
      <c r="L28" s="19">
        <v>0</v>
      </c>
      <c r="M2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3.0366048302705524</v>
      </c>
      <c r="N28" s="19">
        <f ca="1">(+M28+O28+R28+U28+V28+W28+X28+Y28+Z28+AA28+AC28+AH28+AI28+AJ28+AK28)*CUSTOS!$M$5</f>
        <v>3.3277757808313258E-12</v>
      </c>
      <c r="O28" s="19">
        <f>1 - CUSTOS!$M$26</f>
        <v>1</v>
      </c>
      <c r="P28" s="19">
        <v>0</v>
      </c>
      <c r="Q28" s="19">
        <v>0</v>
      </c>
      <c r="R28" s="19">
        <v>0</v>
      </c>
      <c r="S28" s="19">
        <f>1 - CUSTOS!$M$26</f>
        <v>1</v>
      </c>
      <c r="T28" s="19"/>
      <c r="U28" s="19">
        <f>TRANSICAO!$U$28*CUSTOS!$T$3</f>
        <v>0</v>
      </c>
      <c r="V28" s="19">
        <f>TRANSICAO!$V$28*CUSTOS!$T$3</f>
        <v>0</v>
      </c>
      <c r="W28" s="19">
        <f>TRANSICAO!$W$28*CUSTOS!$T$3</f>
        <v>0</v>
      </c>
      <c r="X28" s="19">
        <f>TRANSICAO!$X$28*CUSTOS!$T$3</f>
        <v>0</v>
      </c>
      <c r="Y28" s="19">
        <f>TRANSICAO!$Y$28*CUSTOS!$T$3</f>
        <v>17.609100000000002</v>
      </c>
      <c r="Z28" s="19">
        <f>TRANSICAO!$Z$28*CUSTOS!$T$3</f>
        <v>0</v>
      </c>
      <c r="AA28" s="19">
        <f>TRANSICAO!$AA$28*CUSTOS!$T$3</f>
        <v>0</v>
      </c>
      <c r="AB28" s="19">
        <f>TRANSICAO!$AB$28*CUSTOS!$T$3</f>
        <v>0</v>
      </c>
      <c r="AC28" s="19">
        <f>TRANSICAO!$AC$28*CUSTOS!$T$3</f>
        <v>249.29849999999999</v>
      </c>
      <c r="AD28" s="19">
        <f>TRANSICAO!$AD$28*CUSTOS!$T$3</f>
        <v>0</v>
      </c>
      <c r="AE28" s="19">
        <v>0</v>
      </c>
      <c r="AF28" s="19">
        <v>0</v>
      </c>
      <c r="AG28" s="19"/>
      <c r="AH28" s="19">
        <f>(1 - CUSTOS!$M$26)*38.5532</f>
        <v>38.553199999999997</v>
      </c>
      <c r="AI28" s="19">
        <v>0</v>
      </c>
      <c r="AJ28" s="19">
        <f ca="1">$N$64*(1-CUSTOS!$M$26)</f>
        <v>11.640086626431028</v>
      </c>
      <c r="AK28" s="19">
        <f t="shared" ca="1" si="0"/>
        <v>11.640086626431028</v>
      </c>
      <c r="AL28" s="19"/>
      <c r="AM28" s="19"/>
      <c r="AP28" s="19">
        <f>IF((1 - CUSTOS!$M$26)&lt;&gt;0,1/(1 - CUSTOS!$M$26),1)</f>
        <v>1</v>
      </c>
    </row>
    <row r="29" spans="1:42" ht="11.25" customHeight="1" x14ac:dyDescent="0.3">
      <c r="A29" s="120"/>
      <c r="B29" s="120"/>
      <c r="C29" s="120"/>
      <c r="D29" s="22" t="s">
        <v>32</v>
      </c>
      <c r="E29" s="22" t="s">
        <v>25</v>
      </c>
      <c r="F29" s="22" t="s">
        <v>25</v>
      </c>
      <c r="G29" s="21" t="s">
        <v>76</v>
      </c>
      <c r="H29" s="21" t="s">
        <v>72</v>
      </c>
      <c r="I29" s="21">
        <f>'MERCADO TUSD'!$U$26</f>
        <v>0</v>
      </c>
      <c r="J29" s="17"/>
      <c r="L29" s="19">
        <v>0</v>
      </c>
      <c r="M2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3.0366048302705524</v>
      </c>
      <c r="N29" s="19">
        <f ca="1">(+M29+O29+R29+U29+V29+W29+X29+Y29+Z29+AA29+AC29+AH29+AI29+AJ29+AK29)*CUSTOS!$M$5</f>
        <v>3.3277757808313258E-12</v>
      </c>
      <c r="O29" s="19">
        <f>1 - CUSTOS!$M$27</f>
        <v>1</v>
      </c>
      <c r="P29" s="19">
        <v>0</v>
      </c>
      <c r="Q29" s="19">
        <v>0</v>
      </c>
      <c r="R29" s="19">
        <v>0</v>
      </c>
      <c r="S29" s="19">
        <f>1 - CUSTOS!$M$27</f>
        <v>1</v>
      </c>
      <c r="T29" s="19"/>
      <c r="U29" s="19">
        <f>TRANSICAO!$U$29*CUSTOS!$T$3</f>
        <v>0</v>
      </c>
      <c r="V29" s="19">
        <f>TRANSICAO!$V$29*CUSTOS!$T$3</f>
        <v>0</v>
      </c>
      <c r="W29" s="19">
        <f>TRANSICAO!$W$29*CUSTOS!$T$3</f>
        <v>0</v>
      </c>
      <c r="X29" s="19">
        <f>TRANSICAO!$X$29*CUSTOS!$T$3</f>
        <v>0</v>
      </c>
      <c r="Y29" s="19">
        <f>TRANSICAO!$Y$29*CUSTOS!$T$3</f>
        <v>17.609100000000002</v>
      </c>
      <c r="Z29" s="19">
        <f>TRANSICAO!$Z$29*CUSTOS!$T$3</f>
        <v>0</v>
      </c>
      <c r="AA29" s="19">
        <f>TRANSICAO!$AA$29*CUSTOS!$T$3</f>
        <v>0</v>
      </c>
      <c r="AB29" s="19">
        <f>TRANSICAO!$AB$29*CUSTOS!$T$3</f>
        <v>0</v>
      </c>
      <c r="AC29" s="19">
        <f>TRANSICAO!$AC$29*CUSTOS!$T$3</f>
        <v>249.29849999999999</v>
      </c>
      <c r="AD29" s="19">
        <f>TRANSICAO!$AD$29*CUSTOS!$T$3</f>
        <v>0</v>
      </c>
      <c r="AE29" s="19">
        <v>0</v>
      </c>
      <c r="AF29" s="19">
        <v>0</v>
      </c>
      <c r="AG29" s="19"/>
      <c r="AH29" s="19">
        <f>(1 - CUSTOS!$M$27)*38.5532</f>
        <v>38.553199999999997</v>
      </c>
      <c r="AI29" s="19">
        <v>0</v>
      </c>
      <c r="AJ29" s="19">
        <f ca="1">$N$64*(1-CUSTOS!$M$27)</f>
        <v>11.640086626431028</v>
      </c>
      <c r="AK29" s="19">
        <f t="shared" ca="1" si="0"/>
        <v>11.640086626431028</v>
      </c>
      <c r="AL29" s="19"/>
      <c r="AM29" s="19"/>
      <c r="AP29" s="19">
        <f>IF((1 - CUSTOS!$M$27)&lt;&gt;0,1/(1 - CUSTOS!$M$27),1)</f>
        <v>1</v>
      </c>
    </row>
    <row r="30" spans="1:42" ht="11.25" customHeight="1" x14ac:dyDescent="0.3">
      <c r="A30" s="120" t="s">
        <v>43</v>
      </c>
      <c r="B30" s="120" t="s">
        <v>33</v>
      </c>
      <c r="C30" s="120" t="s">
        <v>44</v>
      </c>
      <c r="D30" s="120" t="s">
        <v>25</v>
      </c>
      <c r="E30" s="120" t="s">
        <v>25</v>
      </c>
      <c r="F30" s="120" t="s">
        <v>25</v>
      </c>
      <c r="G30" s="21" t="s">
        <v>73</v>
      </c>
      <c r="H30" s="21" t="s">
        <v>72</v>
      </c>
      <c r="I30" s="21">
        <f>'MERCADO TUSD'!$U$27</f>
        <v>0</v>
      </c>
      <c r="J30" s="17"/>
      <c r="L30" s="19">
        <f>1*(1 - CUSTOS!$M$28)</f>
        <v>1</v>
      </c>
      <c r="M3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3.0366048302705524</v>
      </c>
      <c r="N30" s="19">
        <f ca="1">(+M30+O30+R30+U30+V30+W30+X30+Y30+Z30+AA30+AC30+AH30+AI30+AJ30+AK30)*CUSTOS!$M$5</f>
        <v>7.6082957808313254E-12</v>
      </c>
      <c r="O30" s="19">
        <f>1 - CUSTOS!$M$28</f>
        <v>1</v>
      </c>
      <c r="P30" s="19">
        <f>1 - CUSTOS!$M$28</f>
        <v>1</v>
      </c>
      <c r="Q30" s="19">
        <f>1*(1 - CUSTOS!$M$28)</f>
        <v>1</v>
      </c>
      <c r="R30" s="19">
        <f>1 - CUSTOS!$M$28</f>
        <v>1</v>
      </c>
      <c r="S30" s="19">
        <f>1 - CUSTOS!$M$28</f>
        <v>1</v>
      </c>
      <c r="T30" s="19"/>
      <c r="U30" s="19">
        <f>TRANSICAO!$U$30*CUSTOS!$T$3</f>
        <v>0</v>
      </c>
      <c r="V30" s="19">
        <f>TRANSICAO!$V$30*CUSTOS!$T$3</f>
        <v>0</v>
      </c>
      <c r="W30" s="19">
        <f>TRANSICAO!$W$30*CUSTOS!$T$3</f>
        <v>0</v>
      </c>
      <c r="X30" s="19">
        <f>TRANSICAO!$X$30*CUSTOS!$T$3</f>
        <v>0</v>
      </c>
      <c r="Y30" s="19">
        <f>TRANSICAO!$Y$30*CUSTOS!$T$3</f>
        <v>45.783700000000003</v>
      </c>
      <c r="Z30" s="19">
        <f>TRANSICAO!$Z$30*CUSTOS!$T$3</f>
        <v>0</v>
      </c>
      <c r="AA30" s="19">
        <f>TRANSICAO!$AA$30*CUSTOS!$T$3</f>
        <v>0</v>
      </c>
      <c r="AB30" s="19">
        <f>TRANSICAO!$AB$30*CUSTOS!$T$3</f>
        <v>0</v>
      </c>
      <c r="AC30" s="19">
        <f>TRANSICAO!$AC$30*CUSTOS!$T$3</f>
        <v>648.17589999999996</v>
      </c>
      <c r="AD30" s="19">
        <f>TRANSICAO!$AD$30*CUSTOS!$T$3</f>
        <v>0</v>
      </c>
      <c r="AE30" s="19">
        <v>0</v>
      </c>
      <c r="AF30" s="19">
        <v>0</v>
      </c>
      <c r="AG30" s="19"/>
      <c r="AH30" s="19">
        <f>(1 - CUSTOS!$M$28)*38.5532</f>
        <v>38.553199999999997</v>
      </c>
      <c r="AI30" s="19">
        <v>0</v>
      </c>
      <c r="AJ30" s="19">
        <f ca="1">$N$64*(1-CUSTOS!$M$28)</f>
        <v>11.640086626431028</v>
      </c>
      <c r="AK30" s="19">
        <f t="shared" ca="1" si="0"/>
        <v>11.640086626431028</v>
      </c>
      <c r="AL30" s="19"/>
      <c r="AM30" s="19"/>
      <c r="AP30" s="19">
        <f>IF((1 - CUSTOS!$M$28)&lt;&gt;0,1/(1 - CUSTOS!$M$28),1)</f>
        <v>1</v>
      </c>
    </row>
    <row r="31" spans="1:42" ht="11.25" customHeight="1" x14ac:dyDescent="0.3">
      <c r="A31" s="120"/>
      <c r="B31" s="120"/>
      <c r="C31" s="120"/>
      <c r="D31" s="120"/>
      <c r="E31" s="120"/>
      <c r="F31" s="120"/>
      <c r="G31" s="21" t="s">
        <v>85</v>
      </c>
      <c r="H31" s="21" t="s">
        <v>72</v>
      </c>
      <c r="I31" s="21">
        <f>'MERCADO TUSD'!$U$28</f>
        <v>0</v>
      </c>
      <c r="J31" s="17"/>
      <c r="L31" s="19">
        <f>1*(1 - CUSTOS!$M$28)</f>
        <v>1</v>
      </c>
      <c r="M3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3.0366048302705524</v>
      </c>
      <c r="N31" s="19">
        <f ca="1">(+M31+O31+R31+U31+V31+W31+X31+Y31+Z31+AA31+AC31+AH31+AI31+AJ31+AK31)*CUSTOS!$M$5</f>
        <v>4.8324577808313258E-12</v>
      </c>
      <c r="O31" s="19">
        <f>1 - CUSTOS!$M$28</f>
        <v>1</v>
      </c>
      <c r="P31" s="19">
        <f>1 - CUSTOS!$M$28</f>
        <v>1</v>
      </c>
      <c r="Q31" s="19">
        <f>1*(1 - CUSTOS!$M$28)</f>
        <v>1</v>
      </c>
      <c r="R31" s="19">
        <f>1 - CUSTOS!$M$28</f>
        <v>1</v>
      </c>
      <c r="S31" s="19">
        <f>1 - CUSTOS!$M$28</f>
        <v>1</v>
      </c>
      <c r="T31" s="19"/>
      <c r="U31" s="19">
        <f>TRANSICAO!$U$31*CUSTOS!$T$3</f>
        <v>0</v>
      </c>
      <c r="V31" s="19">
        <f>TRANSICAO!$V$31*CUSTOS!$T$3</f>
        <v>0</v>
      </c>
      <c r="W31" s="19">
        <f>TRANSICAO!$W$31*CUSTOS!$T$3</f>
        <v>0</v>
      </c>
      <c r="X31" s="19">
        <f>TRANSICAO!$X$31*CUSTOS!$T$3</f>
        <v>0</v>
      </c>
      <c r="Y31" s="19">
        <f>TRANSICAO!$Y$31*CUSTOS!$T$3</f>
        <v>27.470199999999998</v>
      </c>
      <c r="Z31" s="19">
        <f>TRANSICAO!$Z$31*CUSTOS!$T$3</f>
        <v>0</v>
      </c>
      <c r="AA31" s="19">
        <f>TRANSICAO!$AA$31*CUSTOS!$T$3</f>
        <v>0</v>
      </c>
      <c r="AB31" s="19">
        <f>TRANSICAO!$AB$31*CUSTOS!$T$3</f>
        <v>0</v>
      </c>
      <c r="AC31" s="19">
        <f>TRANSICAO!$AC$31*CUSTOS!$T$3</f>
        <v>388.90559999999999</v>
      </c>
      <c r="AD31" s="19">
        <f>TRANSICAO!$AD$31*CUSTOS!$T$3</f>
        <v>0</v>
      </c>
      <c r="AE31" s="19">
        <v>0</v>
      </c>
      <c r="AF31" s="19">
        <v>0</v>
      </c>
      <c r="AG31" s="19"/>
      <c r="AH31" s="19">
        <f>(1 - CUSTOS!$M$28)*38.5532</f>
        <v>38.553199999999997</v>
      </c>
      <c r="AI31" s="19">
        <v>0</v>
      </c>
      <c r="AJ31" s="19">
        <f ca="1">$N$64*(1-CUSTOS!$M$28)</f>
        <v>11.640086626431028</v>
      </c>
      <c r="AK31" s="19">
        <f t="shared" ca="1" si="0"/>
        <v>11.640086626431028</v>
      </c>
      <c r="AL31" s="19"/>
      <c r="AM31" s="19"/>
      <c r="AP31" s="19">
        <f>IF((1 - CUSTOS!$M$28)&lt;&gt;0,1/(1 - CUSTOS!$M$28),1)</f>
        <v>1</v>
      </c>
    </row>
    <row r="32" spans="1:42" ht="11.25" customHeight="1" x14ac:dyDescent="0.3">
      <c r="A32" s="120"/>
      <c r="B32" s="120"/>
      <c r="C32" s="120"/>
      <c r="D32" s="120"/>
      <c r="E32" s="120"/>
      <c r="F32" s="120"/>
      <c r="G32" s="21" t="s">
        <v>74</v>
      </c>
      <c r="H32" s="21" t="s">
        <v>72</v>
      </c>
      <c r="I32" s="21">
        <f>'MERCADO TUSD'!$U$29</f>
        <v>0</v>
      </c>
      <c r="J32" s="17"/>
      <c r="L32" s="19">
        <f>1*(1 - CUSTOS!$M$28)</f>
        <v>1</v>
      </c>
      <c r="M32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3.0366048302705524</v>
      </c>
      <c r="N32" s="19">
        <f ca="1">(+M32+O32+R32+U32+V32+W32+X32+Y32+Z32+AA32+AC32+AH32+AI32+AJ32+AK32)*CUSTOS!$M$5</f>
        <v>2.0566187808313259E-12</v>
      </c>
      <c r="O32" s="19">
        <f>1 - CUSTOS!$M$28</f>
        <v>1</v>
      </c>
      <c r="P32" s="19">
        <f>1 - CUSTOS!$M$28</f>
        <v>1</v>
      </c>
      <c r="Q32" s="19">
        <f>1*(1 - CUSTOS!$M$28)</f>
        <v>1</v>
      </c>
      <c r="R32" s="19">
        <f>1 - CUSTOS!$M$28</f>
        <v>1</v>
      </c>
      <c r="S32" s="19">
        <f>1 - CUSTOS!$M$28</f>
        <v>1</v>
      </c>
      <c r="T32" s="19"/>
      <c r="U32" s="19">
        <f>TRANSICAO!$U$32*CUSTOS!$T$3</f>
        <v>0</v>
      </c>
      <c r="V32" s="19">
        <f>TRANSICAO!$V$32*CUSTOS!$T$3</f>
        <v>0</v>
      </c>
      <c r="W32" s="19">
        <f>TRANSICAO!$W$32*CUSTOS!$T$3</f>
        <v>0</v>
      </c>
      <c r="X32" s="19">
        <f>TRANSICAO!$X$32*CUSTOS!$T$3</f>
        <v>0</v>
      </c>
      <c r="Y32" s="19">
        <f>TRANSICAO!$Y$32*CUSTOS!$T$3</f>
        <v>9.1567000000000007</v>
      </c>
      <c r="Z32" s="19">
        <f>TRANSICAO!$Z$32*CUSTOS!$T$3</f>
        <v>0</v>
      </c>
      <c r="AA32" s="19">
        <f>TRANSICAO!$AA$32*CUSTOS!$T$3</f>
        <v>0</v>
      </c>
      <c r="AB32" s="19">
        <f>TRANSICAO!$AB$32*CUSTOS!$T$3</f>
        <v>0</v>
      </c>
      <c r="AC32" s="19">
        <f>TRANSICAO!$AC$32*CUSTOS!$T$3</f>
        <v>129.6352</v>
      </c>
      <c r="AD32" s="19">
        <f>TRANSICAO!$AD$32*CUSTOS!$T$3</f>
        <v>0</v>
      </c>
      <c r="AE32" s="19">
        <v>0</v>
      </c>
      <c r="AF32" s="19">
        <v>0</v>
      </c>
      <c r="AG32" s="19"/>
      <c r="AH32" s="19">
        <f>(1 - CUSTOS!$M$28)*38.5532</f>
        <v>38.553199999999997</v>
      </c>
      <c r="AI32" s="19">
        <v>0</v>
      </c>
      <c r="AJ32" s="19">
        <f ca="1">$N$64*(1-CUSTOS!$M$28)</f>
        <v>11.640086626431028</v>
      </c>
      <c r="AK32" s="19">
        <f t="shared" ca="1" si="0"/>
        <v>11.640086626431028</v>
      </c>
      <c r="AL32" s="19"/>
      <c r="AM32" s="19"/>
      <c r="AP32" s="19">
        <f>IF((1 - CUSTOS!$M$28)&lt;&gt;0,1/(1 - CUSTOS!$M$28),1)</f>
        <v>1</v>
      </c>
    </row>
    <row r="33" spans="1:42" ht="11.25" customHeight="1" x14ac:dyDescent="0.3">
      <c r="A33" s="120"/>
      <c r="B33" s="22" t="s">
        <v>23</v>
      </c>
      <c r="C33" s="22" t="s">
        <v>44</v>
      </c>
      <c r="D33" s="22" t="s">
        <v>25</v>
      </c>
      <c r="E33" s="22" t="s">
        <v>25</v>
      </c>
      <c r="F33" s="22" t="s">
        <v>25</v>
      </c>
      <c r="G33" s="21" t="s">
        <v>76</v>
      </c>
      <c r="H33" s="21" t="s">
        <v>72</v>
      </c>
      <c r="I33" s="21">
        <f>'MERCADO TUSD'!$U$30</f>
        <v>600.24900000000002</v>
      </c>
      <c r="J33" s="17"/>
      <c r="L33" s="19">
        <f>1*(1 - CUSTOS!$M$28)</f>
        <v>1</v>
      </c>
      <c r="M33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3.0366048302705524</v>
      </c>
      <c r="N33" s="19">
        <f ca="1">(+M33+O33+R33+U33+V33+W33+X33+Y33+Z33+AA33+AC33+AH33+AI33+AJ33+AK33)*CUSTOS!$M$5</f>
        <v>3.337775780831326E-12</v>
      </c>
      <c r="O33" s="19">
        <f>1 - CUSTOS!$M$28</f>
        <v>1</v>
      </c>
      <c r="P33" s="19">
        <f>1 - CUSTOS!$M$28</f>
        <v>1</v>
      </c>
      <c r="Q33" s="19">
        <f>1*(1 - CUSTOS!$M$28)</f>
        <v>1</v>
      </c>
      <c r="R33" s="19">
        <f>1 - CUSTOS!$M$28</f>
        <v>1</v>
      </c>
      <c r="S33" s="19">
        <f>1 - CUSTOS!$M$28</f>
        <v>1</v>
      </c>
      <c r="T33" s="19"/>
      <c r="U33" s="19">
        <f>TRANSICAO!$U$33*CUSTOS!$T$3</f>
        <v>0</v>
      </c>
      <c r="V33" s="19">
        <f>TRANSICAO!$V$33*CUSTOS!$T$3</f>
        <v>0</v>
      </c>
      <c r="W33" s="19">
        <f>TRANSICAO!$W$33*CUSTOS!$T$3</f>
        <v>0</v>
      </c>
      <c r="X33" s="19">
        <f>TRANSICAO!$X$33*CUSTOS!$T$3</f>
        <v>0</v>
      </c>
      <c r="Y33" s="19">
        <f>TRANSICAO!$Y$33*CUSTOS!$T$3</f>
        <v>17.609100000000002</v>
      </c>
      <c r="Z33" s="19">
        <f>TRANSICAO!$Z$33*CUSTOS!$T$3</f>
        <v>0</v>
      </c>
      <c r="AA33" s="19">
        <f>TRANSICAO!$AA$33*CUSTOS!$T$3</f>
        <v>0</v>
      </c>
      <c r="AB33" s="19">
        <f>TRANSICAO!$AB$33*CUSTOS!$T$3</f>
        <v>0</v>
      </c>
      <c r="AC33" s="19">
        <f>TRANSICAO!$AC$33*CUSTOS!$T$3</f>
        <v>249.29849999999999</v>
      </c>
      <c r="AD33" s="19">
        <f>TRANSICAO!$AD$33*CUSTOS!$T$3</f>
        <v>0</v>
      </c>
      <c r="AE33" s="19">
        <v>0</v>
      </c>
      <c r="AF33" s="19">
        <v>0</v>
      </c>
      <c r="AG33" s="19"/>
      <c r="AH33" s="19">
        <f>(1 - CUSTOS!$M$28)*38.5532</f>
        <v>38.553199999999997</v>
      </c>
      <c r="AI33" s="19">
        <v>0</v>
      </c>
      <c r="AJ33" s="19">
        <f ca="1">$N$64*(1-CUSTOS!$M$28)</f>
        <v>11.640086626431028</v>
      </c>
      <c r="AK33" s="19">
        <f t="shared" ca="1" si="0"/>
        <v>11.640086626431028</v>
      </c>
      <c r="AL33" s="19"/>
      <c r="AM33" s="19"/>
      <c r="AP33" s="19">
        <f>IF((1 - CUSTOS!$M$28)&lt;&gt;0,1/(1 - CUSTOS!$M$28),1)</f>
        <v>1</v>
      </c>
    </row>
    <row r="34" spans="1:42" ht="11.25" customHeight="1" x14ac:dyDescent="0.3">
      <c r="A34" s="120"/>
      <c r="B34" s="120" t="s">
        <v>33</v>
      </c>
      <c r="C34" s="120" t="s">
        <v>44</v>
      </c>
      <c r="D34" s="120" t="s">
        <v>88</v>
      </c>
      <c r="E34" s="120" t="s">
        <v>25</v>
      </c>
      <c r="F34" s="120" t="s">
        <v>25</v>
      </c>
      <c r="G34" s="21" t="s">
        <v>73</v>
      </c>
      <c r="H34" s="21" t="s">
        <v>72</v>
      </c>
      <c r="I34" s="21">
        <f>'MERCADO TUSD'!$U$31</f>
        <v>0</v>
      </c>
      <c r="J34" s="17"/>
      <c r="L34" s="19">
        <f>1*(1 - CUSTOS!$M$29)</f>
        <v>1</v>
      </c>
      <c r="M34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3.0366048302705524</v>
      </c>
      <c r="N34" s="19">
        <f ca="1">(+M34+O34+R34+U34+V34+W34+X34+Y34+Z34+AA34+AC34+AH34+AI34+AJ34+AK34)*CUSTOS!$M$5</f>
        <v>7.6082957808313254E-12</v>
      </c>
      <c r="O34" s="19">
        <f>1 - CUSTOS!$M$29</f>
        <v>1</v>
      </c>
      <c r="P34" s="19">
        <f>1 - CUSTOS!$M$29</f>
        <v>1</v>
      </c>
      <c r="Q34" s="19">
        <f>1*(1 - CUSTOS!$M$29)</f>
        <v>1</v>
      </c>
      <c r="R34" s="19">
        <f>1 - CUSTOS!$M$29</f>
        <v>1</v>
      </c>
      <c r="S34" s="19">
        <f>1 - CUSTOS!$M$29</f>
        <v>1</v>
      </c>
      <c r="T34" s="19"/>
      <c r="U34" s="19">
        <f>TRANSICAO!$U$34*CUSTOS!$T$3</f>
        <v>0</v>
      </c>
      <c r="V34" s="19">
        <f>TRANSICAO!$V$34*CUSTOS!$T$3</f>
        <v>0</v>
      </c>
      <c r="W34" s="19">
        <f>TRANSICAO!$W$34*CUSTOS!$T$3</f>
        <v>0</v>
      </c>
      <c r="X34" s="19">
        <f>TRANSICAO!$X$34*CUSTOS!$T$3</f>
        <v>0</v>
      </c>
      <c r="Y34" s="19">
        <f>TRANSICAO!$Y$34*CUSTOS!$T$3</f>
        <v>45.783700000000003</v>
      </c>
      <c r="Z34" s="19">
        <f>TRANSICAO!$Z$34*CUSTOS!$T$3</f>
        <v>0</v>
      </c>
      <c r="AA34" s="19">
        <f>TRANSICAO!$AA$34*CUSTOS!$T$3</f>
        <v>0</v>
      </c>
      <c r="AB34" s="19">
        <f>TRANSICAO!$AB$34*CUSTOS!$T$3</f>
        <v>0</v>
      </c>
      <c r="AC34" s="19">
        <f>TRANSICAO!$AC$34*CUSTOS!$T$3</f>
        <v>648.17589999999996</v>
      </c>
      <c r="AD34" s="19">
        <f>TRANSICAO!$AD$34*CUSTOS!$T$3</f>
        <v>0</v>
      </c>
      <c r="AE34" s="19">
        <v>0</v>
      </c>
      <c r="AF34" s="19">
        <v>0</v>
      </c>
      <c r="AG34" s="19"/>
      <c r="AH34" s="19">
        <f>(1 - CUSTOS!$M$29)*38.5532</f>
        <v>38.553199999999997</v>
      </c>
      <c r="AI34" s="19">
        <v>0</v>
      </c>
      <c r="AJ34" s="19">
        <f ca="1">$N$64*(1-CUSTOS!$M$29)</f>
        <v>11.640086626431028</v>
      </c>
      <c r="AK34" s="19">
        <f t="shared" ca="1" si="0"/>
        <v>11.640086626431028</v>
      </c>
      <c r="AL34" s="19"/>
      <c r="AM34" s="19"/>
      <c r="AP34" s="19">
        <f>IF((1 - CUSTOS!$M$29)&lt;&gt;0,1/(1 - CUSTOS!$M$29),1)</f>
        <v>1</v>
      </c>
    </row>
    <row r="35" spans="1:42" ht="11.25" customHeight="1" x14ac:dyDescent="0.3">
      <c r="A35" s="120"/>
      <c r="B35" s="120"/>
      <c r="C35" s="120"/>
      <c r="D35" s="120"/>
      <c r="E35" s="120"/>
      <c r="F35" s="120"/>
      <c r="G35" s="21" t="s">
        <v>85</v>
      </c>
      <c r="H35" s="21" t="s">
        <v>72</v>
      </c>
      <c r="I35" s="21">
        <f>'MERCADO TUSD'!$U$32</f>
        <v>0</v>
      </c>
      <c r="J35" s="17"/>
      <c r="L35" s="19">
        <f>1*(1 - CUSTOS!$M$29)</f>
        <v>1</v>
      </c>
      <c r="M35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3.0366048302705524</v>
      </c>
      <c r="N35" s="19">
        <f ca="1">(+M35+O35+R35+U35+V35+W35+X35+Y35+Z35+AA35+AC35+AH35+AI35+AJ35+AK35)*CUSTOS!$M$5</f>
        <v>4.8324577808313258E-12</v>
      </c>
      <c r="O35" s="19">
        <f>1 - CUSTOS!$M$29</f>
        <v>1</v>
      </c>
      <c r="P35" s="19">
        <f>1 - CUSTOS!$M$29</f>
        <v>1</v>
      </c>
      <c r="Q35" s="19">
        <f>1*(1 - CUSTOS!$M$29)</f>
        <v>1</v>
      </c>
      <c r="R35" s="19">
        <f>1 - CUSTOS!$M$29</f>
        <v>1</v>
      </c>
      <c r="S35" s="19">
        <f>1 - CUSTOS!$M$29</f>
        <v>1</v>
      </c>
      <c r="T35" s="19"/>
      <c r="U35" s="19">
        <f>TRANSICAO!$U$35*CUSTOS!$T$3</f>
        <v>0</v>
      </c>
      <c r="V35" s="19">
        <f>TRANSICAO!$V$35*CUSTOS!$T$3</f>
        <v>0</v>
      </c>
      <c r="W35" s="19">
        <f>TRANSICAO!$W$35*CUSTOS!$T$3</f>
        <v>0</v>
      </c>
      <c r="X35" s="19">
        <f>TRANSICAO!$X$35*CUSTOS!$T$3</f>
        <v>0</v>
      </c>
      <c r="Y35" s="19">
        <f>TRANSICAO!$Y$35*CUSTOS!$T$3</f>
        <v>27.470199999999998</v>
      </c>
      <c r="Z35" s="19">
        <f>TRANSICAO!$Z$35*CUSTOS!$T$3</f>
        <v>0</v>
      </c>
      <c r="AA35" s="19">
        <f>TRANSICAO!$AA$35*CUSTOS!$T$3</f>
        <v>0</v>
      </c>
      <c r="AB35" s="19">
        <f>TRANSICAO!$AB$35*CUSTOS!$T$3</f>
        <v>0</v>
      </c>
      <c r="AC35" s="19">
        <f>TRANSICAO!$AC$35*CUSTOS!$T$3</f>
        <v>388.90559999999999</v>
      </c>
      <c r="AD35" s="19">
        <f>TRANSICAO!$AD$35*CUSTOS!$T$3</f>
        <v>0</v>
      </c>
      <c r="AE35" s="19">
        <v>0</v>
      </c>
      <c r="AF35" s="19">
        <v>0</v>
      </c>
      <c r="AG35" s="19"/>
      <c r="AH35" s="19">
        <f>(1 - CUSTOS!$M$29)*38.5532</f>
        <v>38.553199999999997</v>
      </c>
      <c r="AI35" s="19">
        <v>0</v>
      </c>
      <c r="AJ35" s="19">
        <f ca="1">$N$64*(1-CUSTOS!$M$29)</f>
        <v>11.640086626431028</v>
      </c>
      <c r="AK35" s="19">
        <f t="shared" ca="1" si="0"/>
        <v>11.640086626431028</v>
      </c>
      <c r="AL35" s="19"/>
      <c r="AM35" s="19"/>
      <c r="AP35" s="19">
        <f>IF((1 - CUSTOS!$M$29)&lt;&gt;0,1/(1 - CUSTOS!$M$29),1)</f>
        <v>1</v>
      </c>
    </row>
    <row r="36" spans="1:42" ht="11.25" customHeight="1" x14ac:dyDescent="0.3">
      <c r="A36" s="120"/>
      <c r="B36" s="120"/>
      <c r="C36" s="120"/>
      <c r="D36" s="120"/>
      <c r="E36" s="120"/>
      <c r="F36" s="120"/>
      <c r="G36" s="21" t="s">
        <v>74</v>
      </c>
      <c r="H36" s="21" t="s">
        <v>72</v>
      </c>
      <c r="I36" s="21">
        <f>'MERCADO TUSD'!$U$33</f>
        <v>0</v>
      </c>
      <c r="J36" s="17"/>
      <c r="L36" s="19">
        <f>1*(1 - CUSTOS!$M$29)</f>
        <v>1</v>
      </c>
      <c r="M36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3.0366048302705524</v>
      </c>
      <c r="N36" s="19">
        <f ca="1">(+M36+O36+R36+U36+V36+W36+X36+Y36+Z36+AA36+AC36+AH36+AI36+AJ36+AK36)*CUSTOS!$M$5</f>
        <v>2.0566187808313259E-12</v>
      </c>
      <c r="O36" s="19">
        <f>1 - CUSTOS!$M$29</f>
        <v>1</v>
      </c>
      <c r="P36" s="19">
        <f>1 - CUSTOS!$M$29</f>
        <v>1</v>
      </c>
      <c r="Q36" s="19">
        <f>1*(1 - CUSTOS!$M$29)</f>
        <v>1</v>
      </c>
      <c r="R36" s="19">
        <f>1 - CUSTOS!$M$29</f>
        <v>1</v>
      </c>
      <c r="S36" s="19">
        <f>1 - CUSTOS!$M$29</f>
        <v>1</v>
      </c>
      <c r="T36" s="19"/>
      <c r="U36" s="19">
        <f>TRANSICAO!$U$36*CUSTOS!$T$3</f>
        <v>0</v>
      </c>
      <c r="V36" s="19">
        <f>TRANSICAO!$V$36*CUSTOS!$T$3</f>
        <v>0</v>
      </c>
      <c r="W36" s="19">
        <f>TRANSICAO!$W$36*CUSTOS!$T$3</f>
        <v>0</v>
      </c>
      <c r="X36" s="19">
        <f>TRANSICAO!$X$36*CUSTOS!$T$3</f>
        <v>0</v>
      </c>
      <c r="Y36" s="19">
        <f>TRANSICAO!$Y$36*CUSTOS!$T$3</f>
        <v>9.1567000000000007</v>
      </c>
      <c r="Z36" s="19">
        <f>TRANSICAO!$Z$36*CUSTOS!$T$3</f>
        <v>0</v>
      </c>
      <c r="AA36" s="19">
        <f>TRANSICAO!$AA$36*CUSTOS!$T$3</f>
        <v>0</v>
      </c>
      <c r="AB36" s="19">
        <f>TRANSICAO!$AB$36*CUSTOS!$T$3</f>
        <v>0</v>
      </c>
      <c r="AC36" s="19">
        <f>TRANSICAO!$AC$36*CUSTOS!$T$3</f>
        <v>129.6352</v>
      </c>
      <c r="AD36" s="19">
        <f>TRANSICAO!$AD$36*CUSTOS!$T$3</f>
        <v>0</v>
      </c>
      <c r="AE36" s="19">
        <v>0</v>
      </c>
      <c r="AF36" s="19">
        <v>0</v>
      </c>
      <c r="AG36" s="19"/>
      <c r="AH36" s="19">
        <f>(1 - CUSTOS!$M$29)*38.5532</f>
        <v>38.553199999999997</v>
      </c>
      <c r="AI36" s="19">
        <v>0</v>
      </c>
      <c r="AJ36" s="19">
        <f ca="1">$N$64*(1-CUSTOS!$M$29)</f>
        <v>11.640086626431028</v>
      </c>
      <c r="AK36" s="19">
        <f t="shared" ca="1" si="0"/>
        <v>11.640086626431028</v>
      </c>
      <c r="AL36" s="19"/>
      <c r="AM36" s="19"/>
      <c r="AP36" s="19">
        <f>IF((1 - CUSTOS!$M$29)&lt;&gt;0,1/(1 - CUSTOS!$M$29),1)</f>
        <v>1</v>
      </c>
    </row>
    <row r="37" spans="1:42" ht="11.25" customHeight="1" x14ac:dyDescent="0.3">
      <c r="A37" s="120"/>
      <c r="B37" s="22" t="s">
        <v>23</v>
      </c>
      <c r="C37" s="22" t="s">
        <v>44</v>
      </c>
      <c r="D37" s="22" t="s">
        <v>88</v>
      </c>
      <c r="E37" s="22" t="s">
        <v>25</v>
      </c>
      <c r="F37" s="22" t="s">
        <v>25</v>
      </c>
      <c r="G37" s="21" t="s">
        <v>76</v>
      </c>
      <c r="H37" s="21" t="s">
        <v>72</v>
      </c>
      <c r="I37" s="21">
        <f>'MERCADO TUSD'!$U$34</f>
        <v>0</v>
      </c>
      <c r="J37" s="17"/>
      <c r="L37" s="19">
        <f>1*(1 - CUSTOS!$M$29)</f>
        <v>1</v>
      </c>
      <c r="M3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3.0366048302705524</v>
      </c>
      <c r="N37" s="19">
        <f ca="1">(+M37+O37+R37+U37+V37+W37+X37+Y37+Z37+AA37+AC37+AH37+AI37+AJ37+AK37)*CUSTOS!$M$5</f>
        <v>3.337775780831326E-12</v>
      </c>
      <c r="O37" s="19">
        <f>1 - CUSTOS!$M$29</f>
        <v>1</v>
      </c>
      <c r="P37" s="19">
        <f>1 - CUSTOS!$M$29</f>
        <v>1</v>
      </c>
      <c r="Q37" s="19">
        <f>1*(1 - CUSTOS!$M$29)</f>
        <v>1</v>
      </c>
      <c r="R37" s="19">
        <f>1 - CUSTOS!$M$29</f>
        <v>1</v>
      </c>
      <c r="S37" s="19">
        <f>1 - CUSTOS!$M$29</f>
        <v>1</v>
      </c>
      <c r="T37" s="19"/>
      <c r="U37" s="19">
        <f>TRANSICAO!$U$37*CUSTOS!$T$3</f>
        <v>0</v>
      </c>
      <c r="V37" s="19">
        <f>TRANSICAO!$V$37*CUSTOS!$T$3</f>
        <v>0</v>
      </c>
      <c r="W37" s="19">
        <f>TRANSICAO!$W$37*CUSTOS!$T$3</f>
        <v>0</v>
      </c>
      <c r="X37" s="19">
        <f>TRANSICAO!$X$37*CUSTOS!$T$3</f>
        <v>0</v>
      </c>
      <c r="Y37" s="19">
        <f>TRANSICAO!$Y$37*CUSTOS!$T$3</f>
        <v>17.609100000000002</v>
      </c>
      <c r="Z37" s="19">
        <f>TRANSICAO!$Z$37*CUSTOS!$T$3</f>
        <v>0</v>
      </c>
      <c r="AA37" s="19">
        <f>TRANSICAO!$AA$37*CUSTOS!$T$3</f>
        <v>0</v>
      </c>
      <c r="AB37" s="19">
        <f>TRANSICAO!$AB$37*CUSTOS!$T$3</f>
        <v>0</v>
      </c>
      <c r="AC37" s="19">
        <f>TRANSICAO!$AC$37*CUSTOS!$T$3</f>
        <v>249.29849999999999</v>
      </c>
      <c r="AD37" s="19">
        <f>TRANSICAO!$AD$37*CUSTOS!$T$3</f>
        <v>0</v>
      </c>
      <c r="AE37" s="19">
        <v>0</v>
      </c>
      <c r="AF37" s="19">
        <v>0</v>
      </c>
      <c r="AG37" s="19"/>
      <c r="AH37" s="19">
        <f>(1 - CUSTOS!$M$29)*38.5532</f>
        <v>38.553199999999997</v>
      </c>
      <c r="AI37" s="19">
        <v>0</v>
      </c>
      <c r="AJ37" s="19">
        <f ca="1">$N$64*(1-CUSTOS!$M$29)</f>
        <v>11.640086626431028</v>
      </c>
      <c r="AK37" s="19">
        <f t="shared" ca="1" si="0"/>
        <v>11.640086626431028</v>
      </c>
      <c r="AL37" s="19"/>
      <c r="AM37" s="19"/>
      <c r="AP37" s="19">
        <f>IF((1 - CUSTOS!$M$29)&lt;&gt;0,1/(1 - CUSTOS!$M$29),1)</f>
        <v>1</v>
      </c>
    </row>
    <row r="38" spans="1:42" ht="11.25" customHeight="1" x14ac:dyDescent="0.3">
      <c r="A38" s="120"/>
      <c r="B38" s="120" t="s">
        <v>33</v>
      </c>
      <c r="C38" s="120" t="s">
        <v>44</v>
      </c>
      <c r="D38" s="120" t="s">
        <v>89</v>
      </c>
      <c r="E38" s="120" t="s">
        <v>25</v>
      </c>
      <c r="F38" s="120" t="s">
        <v>25</v>
      </c>
      <c r="G38" s="21" t="s">
        <v>73</v>
      </c>
      <c r="H38" s="21" t="s">
        <v>72</v>
      </c>
      <c r="I38" s="21">
        <f>'MERCADO TUSD'!$U$35</f>
        <v>0</v>
      </c>
      <c r="J38" s="17"/>
      <c r="L38" s="19">
        <f>1*(1 - CUSTOS!$M$30)</f>
        <v>1</v>
      </c>
      <c r="M3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3.0366048302705524</v>
      </c>
      <c r="N38" s="19">
        <f ca="1">(+M38+O38+R38+U38+V38+W38+X38+Y38+Z38+AA38+AC38+AH38+AI38+AJ38+AK38)*CUSTOS!$M$5</f>
        <v>7.6082957808313254E-12</v>
      </c>
      <c r="O38" s="19">
        <f>1 - CUSTOS!$M$30</f>
        <v>1</v>
      </c>
      <c r="P38" s="19">
        <f>1 - CUSTOS!$M$30</f>
        <v>1</v>
      </c>
      <c r="Q38" s="19">
        <f>1*(1 - CUSTOS!$M$30)</f>
        <v>1</v>
      </c>
      <c r="R38" s="19">
        <f>1 - CUSTOS!$M$30</f>
        <v>1</v>
      </c>
      <c r="S38" s="19">
        <f>1 - CUSTOS!$M$30</f>
        <v>1</v>
      </c>
      <c r="T38" s="19"/>
      <c r="U38" s="19">
        <f>TRANSICAO!$U$38*CUSTOS!$T$3</f>
        <v>0</v>
      </c>
      <c r="V38" s="19">
        <f>TRANSICAO!$V$38*CUSTOS!$T$3</f>
        <v>0</v>
      </c>
      <c r="W38" s="19">
        <f>TRANSICAO!$W$38*CUSTOS!$T$3</f>
        <v>0</v>
      </c>
      <c r="X38" s="19">
        <f>TRANSICAO!$X$38*CUSTOS!$T$3</f>
        <v>0</v>
      </c>
      <c r="Y38" s="19">
        <f>TRANSICAO!$Y$38*CUSTOS!$T$3</f>
        <v>45.783700000000003</v>
      </c>
      <c r="Z38" s="19">
        <f>TRANSICAO!$Z$38*CUSTOS!$T$3</f>
        <v>0</v>
      </c>
      <c r="AA38" s="19">
        <f>TRANSICAO!$AA$38*CUSTOS!$T$3</f>
        <v>0</v>
      </c>
      <c r="AB38" s="19">
        <f>TRANSICAO!$AB$38*CUSTOS!$T$3</f>
        <v>0</v>
      </c>
      <c r="AC38" s="19">
        <f>TRANSICAO!$AC$38*CUSTOS!$T$3</f>
        <v>648.17589999999996</v>
      </c>
      <c r="AD38" s="19">
        <f>TRANSICAO!$AD$38*CUSTOS!$T$3</f>
        <v>0</v>
      </c>
      <c r="AE38" s="19">
        <v>0</v>
      </c>
      <c r="AF38" s="19">
        <v>0</v>
      </c>
      <c r="AG38" s="19"/>
      <c r="AH38" s="19">
        <f>(1 - CUSTOS!$M$30)*38.5532</f>
        <v>38.553199999999997</v>
      </c>
      <c r="AI38" s="19">
        <v>0</v>
      </c>
      <c r="AJ38" s="19">
        <f ca="1">$N$64*(1-CUSTOS!$M$30)</f>
        <v>11.640086626431028</v>
      </c>
      <c r="AK38" s="19">
        <f t="shared" ca="1" si="0"/>
        <v>11.640086626431028</v>
      </c>
      <c r="AL38" s="19"/>
      <c r="AM38" s="19"/>
      <c r="AP38" s="19">
        <f>IF((1 - CUSTOS!$M$30)&lt;&gt;0,1/(1 - CUSTOS!$M$30),1)</f>
        <v>1</v>
      </c>
    </row>
    <row r="39" spans="1:42" ht="11.25" customHeight="1" x14ac:dyDescent="0.3">
      <c r="A39" s="120"/>
      <c r="B39" s="120"/>
      <c r="C39" s="120"/>
      <c r="D39" s="120"/>
      <c r="E39" s="120"/>
      <c r="F39" s="120"/>
      <c r="G39" s="21" t="s">
        <v>85</v>
      </c>
      <c r="H39" s="21" t="s">
        <v>72</v>
      </c>
      <c r="I39" s="21">
        <f>'MERCADO TUSD'!$U$36</f>
        <v>0</v>
      </c>
      <c r="J39" s="17"/>
      <c r="L39" s="19">
        <f>1*(1 - CUSTOS!$M$30)</f>
        <v>1</v>
      </c>
      <c r="M3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3.0366048302705524</v>
      </c>
      <c r="N39" s="19">
        <f ca="1">(+M39+O39+R39+U39+V39+W39+X39+Y39+Z39+AA39+AC39+AH39+AI39+AJ39+AK39)*CUSTOS!$M$5</f>
        <v>4.8324577808313258E-12</v>
      </c>
      <c r="O39" s="19">
        <f>1 - CUSTOS!$M$30</f>
        <v>1</v>
      </c>
      <c r="P39" s="19">
        <f>1 - CUSTOS!$M$30</f>
        <v>1</v>
      </c>
      <c r="Q39" s="19">
        <f>1*(1 - CUSTOS!$M$30)</f>
        <v>1</v>
      </c>
      <c r="R39" s="19">
        <f>1 - CUSTOS!$M$30</f>
        <v>1</v>
      </c>
      <c r="S39" s="19">
        <f>1 - CUSTOS!$M$30</f>
        <v>1</v>
      </c>
      <c r="T39" s="19"/>
      <c r="U39" s="19">
        <f>TRANSICAO!$U$39*CUSTOS!$T$3</f>
        <v>0</v>
      </c>
      <c r="V39" s="19">
        <f>TRANSICAO!$V$39*CUSTOS!$T$3</f>
        <v>0</v>
      </c>
      <c r="W39" s="19">
        <f>TRANSICAO!$W$39*CUSTOS!$T$3</f>
        <v>0</v>
      </c>
      <c r="X39" s="19">
        <f>TRANSICAO!$X$39*CUSTOS!$T$3</f>
        <v>0</v>
      </c>
      <c r="Y39" s="19">
        <f>TRANSICAO!$Y$39*CUSTOS!$T$3</f>
        <v>27.470199999999998</v>
      </c>
      <c r="Z39" s="19">
        <f>TRANSICAO!$Z$39*CUSTOS!$T$3</f>
        <v>0</v>
      </c>
      <c r="AA39" s="19">
        <f>TRANSICAO!$AA$39*CUSTOS!$T$3</f>
        <v>0</v>
      </c>
      <c r="AB39" s="19">
        <f>TRANSICAO!$AB$39*CUSTOS!$T$3</f>
        <v>0</v>
      </c>
      <c r="AC39" s="19">
        <f>TRANSICAO!$AC$39*CUSTOS!$T$3</f>
        <v>388.90559999999999</v>
      </c>
      <c r="AD39" s="19">
        <f>TRANSICAO!$AD$39*CUSTOS!$T$3</f>
        <v>0</v>
      </c>
      <c r="AE39" s="19">
        <v>0</v>
      </c>
      <c r="AF39" s="19">
        <v>0</v>
      </c>
      <c r="AG39" s="19"/>
      <c r="AH39" s="19">
        <f>(1 - CUSTOS!$M$30)*38.5532</f>
        <v>38.553199999999997</v>
      </c>
      <c r="AI39" s="19">
        <v>0</v>
      </c>
      <c r="AJ39" s="19">
        <f ca="1">$N$64*(1-CUSTOS!$M$30)</f>
        <v>11.640086626431028</v>
      </c>
      <c r="AK39" s="19">
        <f t="shared" ca="1" si="0"/>
        <v>11.640086626431028</v>
      </c>
      <c r="AL39" s="19"/>
      <c r="AM39" s="19"/>
      <c r="AP39" s="19">
        <f>IF((1 - CUSTOS!$M$30)&lt;&gt;0,1/(1 - CUSTOS!$M$30),1)</f>
        <v>1</v>
      </c>
    </row>
    <row r="40" spans="1:42" ht="11.25" customHeight="1" x14ac:dyDescent="0.3">
      <c r="A40" s="120"/>
      <c r="B40" s="120"/>
      <c r="C40" s="120"/>
      <c r="D40" s="120"/>
      <c r="E40" s="120"/>
      <c r="F40" s="120"/>
      <c r="G40" s="21" t="s">
        <v>74</v>
      </c>
      <c r="H40" s="21" t="s">
        <v>72</v>
      </c>
      <c r="I40" s="21">
        <f>'MERCADO TUSD'!$U$37</f>
        <v>0</v>
      </c>
      <c r="J40" s="17"/>
      <c r="L40" s="19">
        <f>1*(1 - CUSTOS!$M$30)</f>
        <v>1</v>
      </c>
      <c r="M4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3.0366048302705524</v>
      </c>
      <c r="N40" s="19">
        <f ca="1">(+M40+O40+R40+U40+V40+W40+X40+Y40+Z40+AA40+AC40+AH40+AI40+AJ40+AK40)*CUSTOS!$M$5</f>
        <v>2.0566187808313259E-12</v>
      </c>
      <c r="O40" s="19">
        <f>1 - CUSTOS!$M$30</f>
        <v>1</v>
      </c>
      <c r="P40" s="19">
        <f>1 - CUSTOS!$M$30</f>
        <v>1</v>
      </c>
      <c r="Q40" s="19">
        <f>1*(1 - CUSTOS!$M$30)</f>
        <v>1</v>
      </c>
      <c r="R40" s="19">
        <f>1 - CUSTOS!$M$30</f>
        <v>1</v>
      </c>
      <c r="S40" s="19">
        <f>1 - CUSTOS!$M$30</f>
        <v>1</v>
      </c>
      <c r="T40" s="19"/>
      <c r="U40" s="19">
        <f>TRANSICAO!$U$40*CUSTOS!$T$3</f>
        <v>0</v>
      </c>
      <c r="V40" s="19">
        <f>TRANSICAO!$V$40*CUSTOS!$T$3</f>
        <v>0</v>
      </c>
      <c r="W40" s="19">
        <f>TRANSICAO!$W$40*CUSTOS!$T$3</f>
        <v>0</v>
      </c>
      <c r="X40" s="19">
        <f>TRANSICAO!$X$40*CUSTOS!$T$3</f>
        <v>0</v>
      </c>
      <c r="Y40" s="19">
        <f>TRANSICAO!$Y$40*CUSTOS!$T$3</f>
        <v>9.1567000000000007</v>
      </c>
      <c r="Z40" s="19">
        <f>TRANSICAO!$Z$40*CUSTOS!$T$3</f>
        <v>0</v>
      </c>
      <c r="AA40" s="19">
        <f>TRANSICAO!$AA$40*CUSTOS!$T$3</f>
        <v>0</v>
      </c>
      <c r="AB40" s="19">
        <f>TRANSICAO!$AB$40*CUSTOS!$T$3</f>
        <v>0</v>
      </c>
      <c r="AC40" s="19">
        <f>TRANSICAO!$AC$40*CUSTOS!$T$3</f>
        <v>129.6352</v>
      </c>
      <c r="AD40" s="19">
        <f>TRANSICAO!$AD$40*CUSTOS!$T$3</f>
        <v>0</v>
      </c>
      <c r="AE40" s="19">
        <v>0</v>
      </c>
      <c r="AF40" s="19">
        <v>0</v>
      </c>
      <c r="AG40" s="19"/>
      <c r="AH40" s="19">
        <f>(1 - CUSTOS!$M$30)*38.5532</f>
        <v>38.553199999999997</v>
      </c>
      <c r="AI40" s="19">
        <v>0</v>
      </c>
      <c r="AJ40" s="19">
        <f ca="1">$N$64*(1-CUSTOS!$M$30)</f>
        <v>11.640086626431028</v>
      </c>
      <c r="AK40" s="19">
        <f t="shared" ca="1" si="0"/>
        <v>11.640086626431028</v>
      </c>
      <c r="AL40" s="19"/>
      <c r="AM40" s="19"/>
      <c r="AP40" s="19">
        <f>IF((1 - CUSTOS!$M$30)&lt;&gt;0,1/(1 - CUSTOS!$M$30),1)</f>
        <v>1</v>
      </c>
    </row>
    <row r="41" spans="1:42" ht="11.25" customHeight="1" x14ac:dyDescent="0.3">
      <c r="A41" s="120"/>
      <c r="B41" s="22" t="s">
        <v>23</v>
      </c>
      <c r="C41" s="22" t="s">
        <v>44</v>
      </c>
      <c r="D41" s="22" t="s">
        <v>89</v>
      </c>
      <c r="E41" s="22" t="s">
        <v>25</v>
      </c>
      <c r="F41" s="22" t="s">
        <v>25</v>
      </c>
      <c r="G41" s="21" t="s">
        <v>76</v>
      </c>
      <c r="H41" s="21" t="s">
        <v>72</v>
      </c>
      <c r="I41" s="21">
        <f>'MERCADO TUSD'!$U$38</f>
        <v>0</v>
      </c>
      <c r="J41" s="17"/>
      <c r="L41" s="19">
        <f>1*(1 - CUSTOS!$M$30)</f>
        <v>1</v>
      </c>
      <c r="M4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3.0366048302705524</v>
      </c>
      <c r="N41" s="19">
        <f ca="1">(+M41+O41+R41+U41+V41+W41+X41+Y41+Z41+AA41+AC41+AH41+AI41+AJ41+AK41)*CUSTOS!$M$5</f>
        <v>3.337775780831326E-12</v>
      </c>
      <c r="O41" s="19">
        <f>1 - CUSTOS!$M$30</f>
        <v>1</v>
      </c>
      <c r="P41" s="19">
        <f>1 - CUSTOS!$M$30</f>
        <v>1</v>
      </c>
      <c r="Q41" s="19">
        <f>1*(1 - CUSTOS!$M$30)</f>
        <v>1</v>
      </c>
      <c r="R41" s="19">
        <f>1 - CUSTOS!$M$30</f>
        <v>1</v>
      </c>
      <c r="S41" s="19">
        <f>1 - CUSTOS!$M$30</f>
        <v>1</v>
      </c>
      <c r="T41" s="19"/>
      <c r="U41" s="19">
        <f>TRANSICAO!$U$41*CUSTOS!$T$3</f>
        <v>0</v>
      </c>
      <c r="V41" s="19">
        <f>TRANSICAO!$V$41*CUSTOS!$T$3</f>
        <v>0</v>
      </c>
      <c r="W41" s="19">
        <f>TRANSICAO!$W$41*CUSTOS!$T$3</f>
        <v>0</v>
      </c>
      <c r="X41" s="19">
        <f>TRANSICAO!$X$41*CUSTOS!$T$3</f>
        <v>0</v>
      </c>
      <c r="Y41" s="19">
        <f>TRANSICAO!$Y$41*CUSTOS!$T$3</f>
        <v>17.609100000000002</v>
      </c>
      <c r="Z41" s="19">
        <f>TRANSICAO!$Z$41*CUSTOS!$T$3</f>
        <v>0</v>
      </c>
      <c r="AA41" s="19">
        <f>TRANSICAO!$AA$41*CUSTOS!$T$3</f>
        <v>0</v>
      </c>
      <c r="AB41" s="19">
        <f>TRANSICAO!$AB$41*CUSTOS!$T$3</f>
        <v>0</v>
      </c>
      <c r="AC41" s="19">
        <f>TRANSICAO!$AC$41*CUSTOS!$T$3</f>
        <v>249.29849999999999</v>
      </c>
      <c r="AD41" s="19">
        <f>TRANSICAO!$AD$41*CUSTOS!$T$3</f>
        <v>0</v>
      </c>
      <c r="AE41" s="19">
        <v>0</v>
      </c>
      <c r="AF41" s="19">
        <v>0</v>
      </c>
      <c r="AG41" s="19"/>
      <c r="AH41" s="19">
        <f>(1 - CUSTOS!$M$30)*38.5532</f>
        <v>38.553199999999997</v>
      </c>
      <c r="AI41" s="19">
        <v>0</v>
      </c>
      <c r="AJ41" s="19">
        <f ca="1">$N$64*(1-CUSTOS!$M$30)</f>
        <v>11.640086626431028</v>
      </c>
      <c r="AK41" s="19">
        <f t="shared" ca="1" si="0"/>
        <v>11.640086626431028</v>
      </c>
      <c r="AL41" s="19"/>
      <c r="AM41" s="19"/>
      <c r="AP41" s="19">
        <f>IF((1 - CUSTOS!$M$30)&lt;&gt;0,1/(1 - CUSTOS!$M$30),1)</f>
        <v>1</v>
      </c>
    </row>
    <row r="42" spans="1:42" ht="11.25" customHeight="1" x14ac:dyDescent="0.3">
      <c r="A42" s="120"/>
      <c r="B42" s="120" t="s">
        <v>87</v>
      </c>
      <c r="C42" s="120" t="s">
        <v>44</v>
      </c>
      <c r="D42" s="22" t="s">
        <v>25</v>
      </c>
      <c r="E42" s="22" t="s">
        <v>25</v>
      </c>
      <c r="F42" s="22" t="s">
        <v>25</v>
      </c>
      <c r="G42" s="21" t="s">
        <v>76</v>
      </c>
      <c r="H42" s="21" t="s">
        <v>72</v>
      </c>
      <c r="I42" s="21">
        <f>'MERCADO TUSD'!$U$39</f>
        <v>0</v>
      </c>
      <c r="J42" s="17"/>
      <c r="L42" s="19">
        <f>1*(1 - CUSTOS!$M$28)</f>
        <v>1</v>
      </c>
      <c r="M42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3.0366048302705524</v>
      </c>
      <c r="N42" s="19">
        <f ca="1">(+M42+O42+R42+U42+V42+W42+X42+Y42+Z42+AA42+AC42+AH42+AI42+AJ42+AK42)*CUSTOS!$M$5</f>
        <v>3.337775780831326E-12</v>
      </c>
      <c r="O42" s="19">
        <f>1 - CUSTOS!$M$28</f>
        <v>1</v>
      </c>
      <c r="P42" s="19">
        <f>1 - CUSTOS!$M$28</f>
        <v>1</v>
      </c>
      <c r="Q42" s="19">
        <f>1*(1 - CUSTOS!$M$28)</f>
        <v>1</v>
      </c>
      <c r="R42" s="19">
        <f>1 - CUSTOS!$M$28</f>
        <v>1</v>
      </c>
      <c r="S42" s="19">
        <f>1 - CUSTOS!$M$28</f>
        <v>1</v>
      </c>
      <c r="T42" s="19"/>
      <c r="U42" s="19">
        <f>TRANSICAO!$U$42*CUSTOS!$T$3</f>
        <v>0</v>
      </c>
      <c r="V42" s="19">
        <f>TRANSICAO!$V$42*CUSTOS!$T$3</f>
        <v>0</v>
      </c>
      <c r="W42" s="19">
        <f>TRANSICAO!$W$42*CUSTOS!$T$3</f>
        <v>0</v>
      </c>
      <c r="X42" s="19">
        <f>TRANSICAO!$X$42*CUSTOS!$T$3</f>
        <v>0</v>
      </c>
      <c r="Y42" s="19">
        <f>TRANSICAO!$Y$42*CUSTOS!$T$3</f>
        <v>17.609100000000002</v>
      </c>
      <c r="Z42" s="19">
        <f>TRANSICAO!$Z$42*CUSTOS!$T$3</f>
        <v>0</v>
      </c>
      <c r="AA42" s="19">
        <f>TRANSICAO!$AA$42*CUSTOS!$T$3</f>
        <v>0</v>
      </c>
      <c r="AB42" s="19">
        <f>TRANSICAO!$AB$42*CUSTOS!$T$3</f>
        <v>0</v>
      </c>
      <c r="AC42" s="19">
        <f>TRANSICAO!$AC$42*CUSTOS!$T$3</f>
        <v>249.29849999999999</v>
      </c>
      <c r="AD42" s="19">
        <f>TRANSICAO!$AD$42*CUSTOS!$T$3</f>
        <v>0</v>
      </c>
      <c r="AE42" s="19">
        <v>0</v>
      </c>
      <c r="AF42" s="19">
        <v>0</v>
      </c>
      <c r="AG42" s="19"/>
      <c r="AH42" s="19">
        <f>(1 - CUSTOS!$M$28)*38.5532</f>
        <v>38.553199999999997</v>
      </c>
      <c r="AI42" s="19">
        <v>0</v>
      </c>
      <c r="AJ42" s="19">
        <f ca="1">$N$64*(1-CUSTOS!$M$28)</f>
        <v>11.640086626431028</v>
      </c>
      <c r="AK42" s="19">
        <f t="shared" ca="1" si="0"/>
        <v>11.640086626431028</v>
      </c>
      <c r="AL42" s="19"/>
      <c r="AM42" s="19"/>
      <c r="AP42" s="19">
        <f>IF((1 - CUSTOS!$M$28)&lt;&gt;0,1/(1 - CUSTOS!$M$28),1)</f>
        <v>1</v>
      </c>
    </row>
    <row r="43" spans="1:42" ht="11.25" customHeight="1" x14ac:dyDescent="0.3">
      <c r="A43" s="120"/>
      <c r="B43" s="120"/>
      <c r="C43" s="120"/>
      <c r="D43" s="22" t="s">
        <v>88</v>
      </c>
      <c r="E43" s="22" t="s">
        <v>25</v>
      </c>
      <c r="F43" s="22" t="s">
        <v>25</v>
      </c>
      <c r="G43" s="21" t="s">
        <v>76</v>
      </c>
      <c r="H43" s="21" t="s">
        <v>72</v>
      </c>
      <c r="I43" s="21">
        <f>'MERCADO TUSD'!$U$40</f>
        <v>0</v>
      </c>
      <c r="J43" s="17"/>
      <c r="L43" s="19">
        <f>1*(1 - CUSTOS!$M$29)</f>
        <v>1</v>
      </c>
      <c r="M43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3.0366048302705524</v>
      </c>
      <c r="N43" s="19">
        <f ca="1">(+M43+O43+R43+U43+V43+W43+X43+Y43+Z43+AA43+AC43+AH43+AI43+AJ43+AK43)*CUSTOS!$M$5</f>
        <v>3.337775780831326E-12</v>
      </c>
      <c r="O43" s="19">
        <f>1 - CUSTOS!$M$29</f>
        <v>1</v>
      </c>
      <c r="P43" s="19">
        <f>1 - CUSTOS!$M$29</f>
        <v>1</v>
      </c>
      <c r="Q43" s="19">
        <f>1*(1 - CUSTOS!$M$29)</f>
        <v>1</v>
      </c>
      <c r="R43" s="19">
        <f>1 - CUSTOS!$M$29</f>
        <v>1</v>
      </c>
      <c r="S43" s="19">
        <f>1 - CUSTOS!$M$29</f>
        <v>1</v>
      </c>
      <c r="T43" s="19"/>
      <c r="U43" s="19">
        <f>TRANSICAO!$U$43*CUSTOS!$T$3</f>
        <v>0</v>
      </c>
      <c r="V43" s="19">
        <f>TRANSICAO!$V$43*CUSTOS!$T$3</f>
        <v>0</v>
      </c>
      <c r="W43" s="19">
        <f>TRANSICAO!$W$43*CUSTOS!$T$3</f>
        <v>0</v>
      </c>
      <c r="X43" s="19">
        <f>TRANSICAO!$X$43*CUSTOS!$T$3</f>
        <v>0</v>
      </c>
      <c r="Y43" s="19">
        <f>TRANSICAO!$Y$43*CUSTOS!$T$3</f>
        <v>17.609100000000002</v>
      </c>
      <c r="Z43" s="19">
        <f>TRANSICAO!$Z$43*CUSTOS!$T$3</f>
        <v>0</v>
      </c>
      <c r="AA43" s="19">
        <f>TRANSICAO!$AA$43*CUSTOS!$T$3</f>
        <v>0</v>
      </c>
      <c r="AB43" s="19">
        <f>TRANSICAO!$AB$43*CUSTOS!$T$3</f>
        <v>0</v>
      </c>
      <c r="AC43" s="19">
        <f>TRANSICAO!$AC$43*CUSTOS!$T$3</f>
        <v>249.29849999999999</v>
      </c>
      <c r="AD43" s="19">
        <f>TRANSICAO!$AD$43*CUSTOS!$T$3</f>
        <v>0</v>
      </c>
      <c r="AE43" s="19">
        <v>0</v>
      </c>
      <c r="AF43" s="19">
        <v>0</v>
      </c>
      <c r="AG43" s="19"/>
      <c r="AH43" s="19">
        <f>(1 - CUSTOS!$M$29)*38.5532</f>
        <v>38.553199999999997</v>
      </c>
      <c r="AI43" s="19">
        <v>0</v>
      </c>
      <c r="AJ43" s="19">
        <f ca="1">$N$64*(1-CUSTOS!$M$29)</f>
        <v>11.640086626431028</v>
      </c>
      <c r="AK43" s="19">
        <f t="shared" ca="1" si="0"/>
        <v>11.640086626431028</v>
      </c>
      <c r="AL43" s="19"/>
      <c r="AM43" s="19"/>
      <c r="AP43" s="19">
        <f>IF((1 - CUSTOS!$M$29)&lt;&gt;0,1/(1 - CUSTOS!$M$29),1)</f>
        <v>1</v>
      </c>
    </row>
    <row r="44" spans="1:42" ht="11.25" customHeight="1" x14ac:dyDescent="0.3">
      <c r="A44" s="120"/>
      <c r="B44" s="120"/>
      <c r="C44" s="120"/>
      <c r="D44" s="22" t="s">
        <v>89</v>
      </c>
      <c r="E44" s="22" t="s">
        <v>25</v>
      </c>
      <c r="F44" s="22" t="s">
        <v>25</v>
      </c>
      <c r="G44" s="21" t="s">
        <v>76</v>
      </c>
      <c r="H44" s="21" t="s">
        <v>72</v>
      </c>
      <c r="I44" s="21">
        <f>'MERCADO TUSD'!$U$41</f>
        <v>0</v>
      </c>
      <c r="J44" s="17"/>
      <c r="L44" s="19">
        <f>1*(1 - CUSTOS!$M$30)</f>
        <v>1</v>
      </c>
      <c r="M44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3.0366048302705524</v>
      </c>
      <c r="N44" s="19">
        <f ca="1">(+M44+O44+R44+U44+V44+W44+X44+Y44+Z44+AA44+AC44+AH44+AI44+AJ44+AK44)*CUSTOS!$M$5</f>
        <v>3.337775780831326E-12</v>
      </c>
      <c r="O44" s="19">
        <f>1 - CUSTOS!$M$30</f>
        <v>1</v>
      </c>
      <c r="P44" s="19">
        <f>1 - CUSTOS!$M$30</f>
        <v>1</v>
      </c>
      <c r="Q44" s="19">
        <f>1*(1 - CUSTOS!$M$30)</f>
        <v>1</v>
      </c>
      <c r="R44" s="19">
        <f>1 - CUSTOS!$M$30</f>
        <v>1</v>
      </c>
      <c r="S44" s="19">
        <f>1 - CUSTOS!$M$30</f>
        <v>1</v>
      </c>
      <c r="T44" s="19"/>
      <c r="U44" s="19">
        <f>TRANSICAO!$U$44*CUSTOS!$T$3</f>
        <v>0</v>
      </c>
      <c r="V44" s="19">
        <f>TRANSICAO!$V$44*CUSTOS!$T$3</f>
        <v>0</v>
      </c>
      <c r="W44" s="19">
        <f>TRANSICAO!$W$44*CUSTOS!$T$3</f>
        <v>0</v>
      </c>
      <c r="X44" s="19">
        <f>TRANSICAO!$X$44*CUSTOS!$T$3</f>
        <v>0</v>
      </c>
      <c r="Y44" s="19">
        <f>TRANSICAO!$Y$44*CUSTOS!$T$3</f>
        <v>17.609100000000002</v>
      </c>
      <c r="Z44" s="19">
        <f>TRANSICAO!$Z$44*CUSTOS!$T$3</f>
        <v>0</v>
      </c>
      <c r="AA44" s="19">
        <f>TRANSICAO!$AA$44*CUSTOS!$T$3</f>
        <v>0</v>
      </c>
      <c r="AB44" s="19">
        <f>TRANSICAO!$AB$44*CUSTOS!$T$3</f>
        <v>0</v>
      </c>
      <c r="AC44" s="19">
        <f>TRANSICAO!$AC$44*CUSTOS!$T$3</f>
        <v>249.29849999999999</v>
      </c>
      <c r="AD44" s="19">
        <f>TRANSICAO!$AD$44*CUSTOS!$T$3</f>
        <v>0</v>
      </c>
      <c r="AE44" s="19">
        <v>0</v>
      </c>
      <c r="AF44" s="19">
        <v>0</v>
      </c>
      <c r="AG44" s="19"/>
      <c r="AH44" s="19">
        <f>(1 - CUSTOS!$M$30)*38.5532</f>
        <v>38.553199999999997</v>
      </c>
      <c r="AI44" s="19">
        <v>0</v>
      </c>
      <c r="AJ44" s="19">
        <f ca="1">$N$64*(1-CUSTOS!$M$30)</f>
        <v>11.640086626431028</v>
      </c>
      <c r="AK44" s="19">
        <f t="shared" ca="1" si="0"/>
        <v>11.640086626431028</v>
      </c>
      <c r="AL44" s="19"/>
      <c r="AM44" s="19"/>
      <c r="AP44" s="19">
        <f>IF((1 - CUSTOS!$M$30)&lt;&gt;0,1/(1 - CUSTOS!$M$30),1)</f>
        <v>1</v>
      </c>
    </row>
    <row r="45" spans="1:42" ht="11.25" customHeight="1" x14ac:dyDescent="0.3">
      <c r="A45" s="120" t="s">
        <v>35</v>
      </c>
      <c r="B45" s="120" t="s">
        <v>33</v>
      </c>
      <c r="C45" s="120" t="s">
        <v>25</v>
      </c>
      <c r="D45" s="120" t="s">
        <v>25</v>
      </c>
      <c r="E45" s="120" t="s">
        <v>25</v>
      </c>
      <c r="F45" s="120" t="s">
        <v>25</v>
      </c>
      <c r="G45" s="21" t="s">
        <v>73</v>
      </c>
      <c r="H45" s="21" t="s">
        <v>72</v>
      </c>
      <c r="I45" s="21">
        <f>'MERCADO TUSD'!$U$42</f>
        <v>0.38900000000000001</v>
      </c>
      <c r="J45" s="17"/>
      <c r="L45" s="19">
        <f>1*(1 - CUSTOS!$M$31)</f>
        <v>1</v>
      </c>
      <c r="M45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3.0366048302705524</v>
      </c>
      <c r="N45" s="19">
        <f ca="1">(+M45+O45+R45+U45+V45+W45+X45+Y45+Z45+AA45+AC45+AH45+AI45+AJ45+AK45)*CUSTOS!$M$5</f>
        <v>8.8093787808313267E-12</v>
      </c>
      <c r="O45" s="19">
        <f>1 - CUSTOS!$M$31</f>
        <v>1</v>
      </c>
      <c r="P45" s="19">
        <f>1 - CUSTOS!$M$31</f>
        <v>1</v>
      </c>
      <c r="Q45" s="19">
        <f>1*(1 - CUSTOS!$M$31)</f>
        <v>1</v>
      </c>
      <c r="R45" s="19">
        <f>1 - CUSTOS!$M$31</f>
        <v>1</v>
      </c>
      <c r="S45" s="19">
        <f>1 - CUSTOS!$M$31</f>
        <v>1</v>
      </c>
      <c r="T45" s="19"/>
      <c r="U45" s="19">
        <f>TRANSICAO!$U$45*CUSTOS!$T$3</f>
        <v>0</v>
      </c>
      <c r="V45" s="19">
        <f>TRANSICAO!$V$45*CUSTOS!$T$3</f>
        <v>0</v>
      </c>
      <c r="W45" s="19">
        <f>TRANSICAO!$W$45*CUSTOS!$T$3</f>
        <v>0</v>
      </c>
      <c r="X45" s="19">
        <f>TRANSICAO!$X$45*CUSTOS!$T$3</f>
        <v>0</v>
      </c>
      <c r="Y45" s="19">
        <f>TRANSICAO!$Y$45*CUSTOS!$T$3</f>
        <v>53.707799999999999</v>
      </c>
      <c r="Z45" s="19">
        <f>TRANSICAO!$Z$45*CUSTOS!$T$3</f>
        <v>0</v>
      </c>
      <c r="AA45" s="19">
        <f>TRANSICAO!$AA$45*CUSTOS!$T$3</f>
        <v>0</v>
      </c>
      <c r="AB45" s="19">
        <f>TRANSICAO!$AB$45*CUSTOS!$T$3</f>
        <v>0</v>
      </c>
      <c r="AC45" s="19">
        <f>TRANSICAO!$AC$45*CUSTOS!$T$3</f>
        <v>760.36009999999999</v>
      </c>
      <c r="AD45" s="19">
        <f>TRANSICAO!$AD$45*CUSTOS!$T$3</f>
        <v>0</v>
      </c>
      <c r="AE45" s="19">
        <v>0</v>
      </c>
      <c r="AF45" s="19">
        <v>0</v>
      </c>
      <c r="AG45" s="19"/>
      <c r="AH45" s="19">
        <f>(1 - CUSTOS!$M$31)*38.5532</f>
        <v>38.553199999999997</v>
      </c>
      <c r="AI45" s="19">
        <v>0</v>
      </c>
      <c r="AJ45" s="19">
        <f ca="1">$N$64*(1-CUSTOS!$M$31)</f>
        <v>11.640086626431028</v>
      </c>
      <c r="AK45" s="19">
        <f t="shared" ca="1" si="0"/>
        <v>11.640086626431028</v>
      </c>
      <c r="AL45" s="19"/>
      <c r="AM45" s="19"/>
      <c r="AP45" s="19">
        <f>IF((1 - CUSTOS!$M$31)&lt;&gt;0,1/(1 - CUSTOS!$M$31),1)</f>
        <v>1</v>
      </c>
    </row>
    <row r="46" spans="1:42" ht="11.25" customHeight="1" x14ac:dyDescent="0.3">
      <c r="A46" s="120"/>
      <c r="B46" s="120"/>
      <c r="C46" s="120"/>
      <c r="D46" s="120"/>
      <c r="E46" s="120"/>
      <c r="F46" s="120"/>
      <c r="G46" s="21" t="s">
        <v>85</v>
      </c>
      <c r="H46" s="21" t="s">
        <v>72</v>
      </c>
      <c r="I46" s="21">
        <f>'MERCADO TUSD'!$U$43</f>
        <v>0.23799999999999999</v>
      </c>
      <c r="J46" s="17"/>
      <c r="L46" s="19">
        <f>1*(1 - CUSTOS!$M$31)</f>
        <v>1</v>
      </c>
      <c r="M46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3.0366048302705524</v>
      </c>
      <c r="N46" s="19">
        <f ca="1">(+M46+O46+R46+U46+V46+W46+X46+Y46+Z46+AA46+AC46+AH46+AI46+AJ46+AK46)*CUSTOS!$M$5</f>
        <v>5.5531077808313263E-12</v>
      </c>
      <c r="O46" s="19">
        <f>1 - CUSTOS!$M$31</f>
        <v>1</v>
      </c>
      <c r="P46" s="19">
        <f>1 - CUSTOS!$M$31</f>
        <v>1</v>
      </c>
      <c r="Q46" s="19">
        <f>1*(1 - CUSTOS!$M$31)</f>
        <v>1</v>
      </c>
      <c r="R46" s="19">
        <f>1 - CUSTOS!$M$31</f>
        <v>1</v>
      </c>
      <c r="S46" s="19">
        <f>1 - CUSTOS!$M$31</f>
        <v>1</v>
      </c>
      <c r="T46" s="19"/>
      <c r="U46" s="19">
        <f>TRANSICAO!$U$46*CUSTOS!$T$3</f>
        <v>0</v>
      </c>
      <c r="V46" s="19">
        <f>TRANSICAO!$V$46*CUSTOS!$T$3</f>
        <v>0</v>
      </c>
      <c r="W46" s="19">
        <f>TRANSICAO!$W$46*CUSTOS!$T$3</f>
        <v>0</v>
      </c>
      <c r="X46" s="19">
        <f>TRANSICAO!$X$46*CUSTOS!$T$3</f>
        <v>0</v>
      </c>
      <c r="Y46" s="19">
        <f>TRANSICAO!$Y$46*CUSTOS!$T$3</f>
        <v>32.224699999999999</v>
      </c>
      <c r="Z46" s="19">
        <f>TRANSICAO!$Z$46*CUSTOS!$T$3</f>
        <v>0</v>
      </c>
      <c r="AA46" s="19">
        <f>TRANSICAO!$AA$46*CUSTOS!$T$3</f>
        <v>0</v>
      </c>
      <c r="AB46" s="19">
        <f>TRANSICAO!$AB$46*CUSTOS!$T$3</f>
        <v>0</v>
      </c>
      <c r="AC46" s="19">
        <f>TRANSICAO!$AC$46*CUSTOS!$T$3</f>
        <v>456.21609999999998</v>
      </c>
      <c r="AD46" s="19">
        <f>TRANSICAO!$AD$46*CUSTOS!$T$3</f>
        <v>0</v>
      </c>
      <c r="AE46" s="19">
        <v>0</v>
      </c>
      <c r="AF46" s="19">
        <v>0</v>
      </c>
      <c r="AG46" s="19"/>
      <c r="AH46" s="19">
        <f>(1 - CUSTOS!$M$31)*38.5532</f>
        <v>38.553199999999997</v>
      </c>
      <c r="AI46" s="19">
        <v>0</v>
      </c>
      <c r="AJ46" s="19">
        <f ca="1">$N$64*(1-CUSTOS!$M$31)</f>
        <v>11.640086626431028</v>
      </c>
      <c r="AK46" s="19">
        <f t="shared" ca="1" si="0"/>
        <v>11.640086626431028</v>
      </c>
      <c r="AL46" s="19"/>
      <c r="AM46" s="19"/>
      <c r="AP46" s="19">
        <f>IF((1 - CUSTOS!$M$31)&lt;&gt;0,1/(1 - CUSTOS!$M$31),1)</f>
        <v>1</v>
      </c>
    </row>
    <row r="47" spans="1:42" ht="11.25" customHeight="1" x14ac:dyDescent="0.3">
      <c r="A47" s="120"/>
      <c r="B47" s="120"/>
      <c r="C47" s="120"/>
      <c r="D47" s="120"/>
      <c r="E47" s="120"/>
      <c r="F47" s="120"/>
      <c r="G47" s="21" t="s">
        <v>74</v>
      </c>
      <c r="H47" s="21" t="s">
        <v>72</v>
      </c>
      <c r="I47" s="21">
        <f>'MERCADO TUSD'!$U$44</f>
        <v>2.8279999999999998</v>
      </c>
      <c r="J47" s="17"/>
      <c r="L47" s="19">
        <f>1*(1 - CUSTOS!$M$31)</f>
        <v>1</v>
      </c>
      <c r="M47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3.0366048302705524</v>
      </c>
      <c r="N47" s="19">
        <f ca="1">(+M47+O47+R47+U47+V47+W47+X47+Y47+Z47+AA47+AC47+AH47+AI47+AJ47+AK47)*CUSTOS!$M$5</f>
        <v>2.2968357808313262E-12</v>
      </c>
      <c r="O47" s="19">
        <f>1 - CUSTOS!$M$31</f>
        <v>1</v>
      </c>
      <c r="P47" s="19">
        <f>1 - CUSTOS!$M$31</f>
        <v>1</v>
      </c>
      <c r="Q47" s="19">
        <f>1*(1 - CUSTOS!$M$31)</f>
        <v>1</v>
      </c>
      <c r="R47" s="19">
        <f>1 - CUSTOS!$M$31</f>
        <v>1</v>
      </c>
      <c r="S47" s="19">
        <f>1 - CUSTOS!$M$31</f>
        <v>1</v>
      </c>
      <c r="T47" s="19"/>
      <c r="U47" s="19">
        <f>TRANSICAO!$U$47*CUSTOS!$T$3</f>
        <v>0</v>
      </c>
      <c r="V47" s="19">
        <f>TRANSICAO!$V$47*CUSTOS!$T$3</f>
        <v>0</v>
      </c>
      <c r="W47" s="19">
        <f>TRANSICAO!$W$47*CUSTOS!$T$3</f>
        <v>0</v>
      </c>
      <c r="X47" s="19">
        <f>TRANSICAO!$X$47*CUSTOS!$T$3</f>
        <v>0</v>
      </c>
      <c r="Y47" s="19">
        <f>TRANSICAO!$Y$47*CUSTOS!$T$3</f>
        <v>10.7416</v>
      </c>
      <c r="Z47" s="19">
        <f>TRANSICAO!$Z$47*CUSTOS!$T$3</f>
        <v>0</v>
      </c>
      <c r="AA47" s="19">
        <f>TRANSICAO!$AA$47*CUSTOS!$T$3</f>
        <v>0</v>
      </c>
      <c r="AB47" s="19">
        <f>TRANSICAO!$AB$47*CUSTOS!$T$3</f>
        <v>0</v>
      </c>
      <c r="AC47" s="19">
        <f>TRANSICAO!$AC$47*CUSTOS!$T$3</f>
        <v>152.072</v>
      </c>
      <c r="AD47" s="19">
        <f>TRANSICAO!$AD$47*CUSTOS!$T$3</f>
        <v>0</v>
      </c>
      <c r="AE47" s="19">
        <v>0</v>
      </c>
      <c r="AF47" s="19">
        <v>0</v>
      </c>
      <c r="AG47" s="19"/>
      <c r="AH47" s="19">
        <f>(1 - CUSTOS!$M$31)*38.5532</f>
        <v>38.553199999999997</v>
      </c>
      <c r="AI47" s="19">
        <v>0</v>
      </c>
      <c r="AJ47" s="19">
        <f ca="1">$N$64*(1-CUSTOS!$M$31)</f>
        <v>11.640086626431028</v>
      </c>
      <c r="AK47" s="19">
        <f t="shared" ca="1" si="0"/>
        <v>11.640086626431028</v>
      </c>
      <c r="AL47" s="19"/>
      <c r="AM47" s="19"/>
      <c r="AP47" s="19">
        <f>IF((1 - CUSTOS!$M$31)&lt;&gt;0,1/(1 - CUSTOS!$M$31),1)</f>
        <v>1</v>
      </c>
    </row>
    <row r="48" spans="1:42" ht="11.25" customHeight="1" x14ac:dyDescent="0.3">
      <c r="A48" s="120"/>
      <c r="B48" s="22" t="s">
        <v>23</v>
      </c>
      <c r="C48" s="22" t="s">
        <v>25</v>
      </c>
      <c r="D48" s="22" t="s">
        <v>25</v>
      </c>
      <c r="E48" s="22" t="s">
        <v>25</v>
      </c>
      <c r="F48" s="22" t="s">
        <v>25</v>
      </c>
      <c r="G48" s="21" t="s">
        <v>76</v>
      </c>
      <c r="H48" s="21" t="s">
        <v>72</v>
      </c>
      <c r="I48" s="21">
        <f>'MERCADO TUSD'!$U$45</f>
        <v>1798.9960000000001</v>
      </c>
      <c r="J48" s="17"/>
      <c r="L48" s="19">
        <f>1*(1 - CUSTOS!$M$31)</f>
        <v>1</v>
      </c>
      <c r="M48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3.0366048302705524</v>
      </c>
      <c r="N48" s="19">
        <f ca="1">(+M48+O48+R48+U48+V48+W48+X48+Y48+Z48+AA48+AC48+AH48+AI48+AJ48+AK48)*CUSTOS!$M$5</f>
        <v>3.337775780831326E-12</v>
      </c>
      <c r="O48" s="19">
        <f>1 - CUSTOS!$M$31</f>
        <v>1</v>
      </c>
      <c r="P48" s="19">
        <f>1 - CUSTOS!$M$31</f>
        <v>1</v>
      </c>
      <c r="Q48" s="19">
        <f>1*(1 - CUSTOS!$M$31)</f>
        <v>1</v>
      </c>
      <c r="R48" s="19">
        <f>1 - CUSTOS!$M$31</f>
        <v>1</v>
      </c>
      <c r="S48" s="19">
        <f>1 - CUSTOS!$M$31</f>
        <v>1</v>
      </c>
      <c r="T48" s="19"/>
      <c r="U48" s="19">
        <f>TRANSICAO!$U$48*CUSTOS!$T$3</f>
        <v>0</v>
      </c>
      <c r="V48" s="19">
        <f>TRANSICAO!$V$48*CUSTOS!$T$3</f>
        <v>0</v>
      </c>
      <c r="W48" s="19">
        <f>TRANSICAO!$W$48*CUSTOS!$T$3</f>
        <v>0</v>
      </c>
      <c r="X48" s="19">
        <f>TRANSICAO!$X$48*CUSTOS!$T$3</f>
        <v>0</v>
      </c>
      <c r="Y48" s="19">
        <f>TRANSICAO!$Y$48*CUSTOS!$T$3</f>
        <v>17.609100000000002</v>
      </c>
      <c r="Z48" s="19">
        <f>TRANSICAO!$Z$48*CUSTOS!$T$3</f>
        <v>0</v>
      </c>
      <c r="AA48" s="19">
        <f>TRANSICAO!$AA$48*CUSTOS!$T$3</f>
        <v>0</v>
      </c>
      <c r="AB48" s="19">
        <f>TRANSICAO!$AB$48*CUSTOS!$T$3</f>
        <v>0</v>
      </c>
      <c r="AC48" s="19">
        <f>TRANSICAO!$AC$48*CUSTOS!$T$3</f>
        <v>249.29849999999999</v>
      </c>
      <c r="AD48" s="19">
        <f>TRANSICAO!$AD$48*CUSTOS!$T$3</f>
        <v>0</v>
      </c>
      <c r="AE48" s="19">
        <v>0</v>
      </c>
      <c r="AF48" s="19">
        <v>0</v>
      </c>
      <c r="AG48" s="19"/>
      <c r="AH48" s="19">
        <f>(1 - CUSTOS!$M$31)*38.5532</f>
        <v>38.553199999999997</v>
      </c>
      <c r="AI48" s="19">
        <v>0</v>
      </c>
      <c r="AJ48" s="19">
        <f ca="1">$N$64*(1-CUSTOS!$M$31)</f>
        <v>11.640086626431028</v>
      </c>
      <c r="AK48" s="19">
        <f t="shared" ca="1" si="0"/>
        <v>11.640086626431028</v>
      </c>
      <c r="AL48" s="19"/>
      <c r="AM48" s="19"/>
      <c r="AP48" s="19">
        <f>IF((1 - CUSTOS!$M$31)&lt;&gt;0,1/(1 - CUSTOS!$M$31),1)</f>
        <v>1</v>
      </c>
    </row>
    <row r="49" spans="1:42" ht="11.25" customHeight="1" x14ac:dyDescent="0.3">
      <c r="A49" s="120"/>
      <c r="B49" s="22" t="s">
        <v>87</v>
      </c>
      <c r="C49" s="22" t="s">
        <v>25</v>
      </c>
      <c r="D49" s="22" t="s">
        <v>25</v>
      </c>
      <c r="E49" s="22" t="s">
        <v>25</v>
      </c>
      <c r="F49" s="22" t="s">
        <v>25</v>
      </c>
      <c r="G49" s="21" t="s">
        <v>76</v>
      </c>
      <c r="H49" s="21" t="s">
        <v>72</v>
      </c>
      <c r="I49" s="21">
        <f>'MERCADO TUSD'!$U$46</f>
        <v>0</v>
      </c>
      <c r="J49" s="17"/>
      <c r="L49" s="19">
        <f>1*(1 - CUSTOS!$M$31)</f>
        <v>1</v>
      </c>
      <c r="M49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3.0366048302705524</v>
      </c>
      <c r="N49" s="19">
        <f ca="1">(+M49+O49+R49+U49+V49+W49+X49+Y49+Z49+AA49+AC49+AH49+AI49+AJ49+AK49)*CUSTOS!$M$5</f>
        <v>3.337775780831326E-12</v>
      </c>
      <c r="O49" s="19">
        <f>1 - CUSTOS!$M$31</f>
        <v>1</v>
      </c>
      <c r="P49" s="19">
        <f>1 - CUSTOS!$M$31</f>
        <v>1</v>
      </c>
      <c r="Q49" s="19">
        <f>1*(1 - CUSTOS!$M$31)</f>
        <v>1</v>
      </c>
      <c r="R49" s="19">
        <f>1 - CUSTOS!$M$31</f>
        <v>1</v>
      </c>
      <c r="S49" s="19">
        <f>1 - CUSTOS!$M$31</f>
        <v>1</v>
      </c>
      <c r="T49" s="19"/>
      <c r="U49" s="19">
        <f>TRANSICAO!$U$49*CUSTOS!$T$3</f>
        <v>0</v>
      </c>
      <c r="V49" s="19">
        <f>TRANSICAO!$V$49*CUSTOS!$T$3</f>
        <v>0</v>
      </c>
      <c r="W49" s="19">
        <f>TRANSICAO!$W$49*CUSTOS!$T$3</f>
        <v>0</v>
      </c>
      <c r="X49" s="19">
        <f>TRANSICAO!$X$49*CUSTOS!$T$3</f>
        <v>0</v>
      </c>
      <c r="Y49" s="19">
        <f>TRANSICAO!$Y$49*CUSTOS!$T$3</f>
        <v>17.609100000000002</v>
      </c>
      <c r="Z49" s="19">
        <f>TRANSICAO!$Z$49*CUSTOS!$T$3</f>
        <v>0</v>
      </c>
      <c r="AA49" s="19">
        <f>TRANSICAO!$AA$49*CUSTOS!$T$3</f>
        <v>0</v>
      </c>
      <c r="AB49" s="19">
        <f>TRANSICAO!$AB$49*CUSTOS!$T$3</f>
        <v>0</v>
      </c>
      <c r="AC49" s="19">
        <f>TRANSICAO!$AC$49*CUSTOS!$T$3</f>
        <v>249.29849999999999</v>
      </c>
      <c r="AD49" s="19">
        <f>TRANSICAO!$AD$49*CUSTOS!$T$3</f>
        <v>0</v>
      </c>
      <c r="AE49" s="19">
        <v>0</v>
      </c>
      <c r="AF49" s="19">
        <v>0</v>
      </c>
      <c r="AG49" s="19"/>
      <c r="AH49" s="19">
        <f>(1 - CUSTOS!$M$31)*38.5532</f>
        <v>38.553199999999997</v>
      </c>
      <c r="AI49" s="19">
        <v>0</v>
      </c>
      <c r="AJ49" s="19">
        <f ca="1">$N$64*(1-CUSTOS!$M$31)</f>
        <v>11.640086626431028</v>
      </c>
      <c r="AK49" s="19">
        <f t="shared" ca="1" si="0"/>
        <v>11.640086626431028</v>
      </c>
      <c r="AL49" s="19"/>
      <c r="AM49" s="19"/>
      <c r="AP49" s="19">
        <f>IF((1 - CUSTOS!$M$31)&lt;&gt;0,1/(1 - CUSTOS!$M$31),1)</f>
        <v>1</v>
      </c>
    </row>
    <row r="50" spans="1:42" ht="11.25" customHeight="1" x14ac:dyDescent="0.3">
      <c r="A50" s="120" t="s">
        <v>46</v>
      </c>
      <c r="B50" s="120" t="s">
        <v>23</v>
      </c>
      <c r="C50" s="120" t="s">
        <v>47</v>
      </c>
      <c r="D50" s="22" t="s">
        <v>48</v>
      </c>
      <c r="E50" s="22" t="s">
        <v>25</v>
      </c>
      <c r="F50" s="22" t="s">
        <v>25</v>
      </c>
      <c r="G50" s="21" t="s">
        <v>76</v>
      </c>
      <c r="H50" s="21" t="s">
        <v>72</v>
      </c>
      <c r="I50" s="21">
        <f>'MERCADO TUSD'!$U$47</f>
        <v>3164.4159999999997</v>
      </c>
      <c r="J50" s="17"/>
      <c r="L50" s="19">
        <f>1*(1 - CUSTOS!$M$32)</f>
        <v>0.55000000000000004</v>
      </c>
      <c r="M50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1.6701326566488039</v>
      </c>
      <c r="N50" s="19">
        <f ca="1">(+M50+O50+R50+U50+V50+W50+X50+Y50+Z50+AA50+AC50+AH50+AI50+AJ50+AK50)*CUSTOS!$M$5</f>
        <v>1.8357766794572298E-12</v>
      </c>
      <c r="O50" s="19">
        <f>1 - CUSTOS!$M$32</f>
        <v>0.55000000000000004</v>
      </c>
      <c r="P50" s="19">
        <f>1 - CUSTOS!$M$32</f>
        <v>0.55000000000000004</v>
      </c>
      <c r="Q50" s="19">
        <f>1*(1 - CUSTOS!$M$32)</f>
        <v>0.55000000000000004</v>
      </c>
      <c r="R50" s="19">
        <f>1 - CUSTOS!$M$32</f>
        <v>0.55000000000000004</v>
      </c>
      <c r="S50" s="19">
        <f>1 - CUSTOS!$M$32</f>
        <v>0.55000000000000004</v>
      </c>
      <c r="T50" s="19"/>
      <c r="U50" s="19">
        <f>TRANSICAO!$U$50*CUSTOS!$T$3</f>
        <v>0</v>
      </c>
      <c r="V50" s="19">
        <f>TRANSICAO!$V$50*CUSTOS!$T$3</f>
        <v>0</v>
      </c>
      <c r="W50" s="19">
        <f>TRANSICAO!$W$50*CUSTOS!$T$3</f>
        <v>0</v>
      </c>
      <c r="X50" s="19">
        <f>TRANSICAO!$X$50*CUSTOS!$T$3</f>
        <v>0</v>
      </c>
      <c r="Y50" s="19">
        <f>TRANSICAO!$Y$50*CUSTOS!$T$3</f>
        <v>9.6850050000000021</v>
      </c>
      <c r="Z50" s="19">
        <f>TRANSICAO!$Z$50*CUSTOS!$T$3</f>
        <v>0</v>
      </c>
      <c r="AA50" s="19">
        <f>TRANSICAO!$AA$50*CUSTOS!$T$3</f>
        <v>0</v>
      </c>
      <c r="AB50" s="19">
        <f>TRANSICAO!$AB$50*CUSTOS!$T$3</f>
        <v>0</v>
      </c>
      <c r="AC50" s="19">
        <f>TRANSICAO!$AC$50*CUSTOS!$T$3</f>
        <v>137.11417500000002</v>
      </c>
      <c r="AD50" s="19">
        <f>TRANSICAO!$AD$50*CUSTOS!$T$3</f>
        <v>0</v>
      </c>
      <c r="AE50" s="19">
        <v>0</v>
      </c>
      <c r="AF50" s="19">
        <v>0</v>
      </c>
      <c r="AG50" s="19"/>
      <c r="AH50" s="19">
        <f>(1 - CUSTOS!$M$32)*38.5532</f>
        <v>21.204260000000001</v>
      </c>
      <c r="AI50" s="19">
        <v>0</v>
      </c>
      <c r="AJ50" s="19">
        <f ca="1">$N$64*(1-CUSTOS!$M$32)</f>
        <v>6.402047644537066</v>
      </c>
      <c r="AK50" s="19">
        <f t="shared" ca="1" si="0"/>
        <v>6.402047644537066</v>
      </c>
      <c r="AL50" s="19"/>
      <c r="AM50" s="19"/>
      <c r="AP50" s="19">
        <f>IF((1 - CUSTOS!$M$32)&lt;&gt;0,1/(1 - CUSTOS!$M$32),1)</f>
        <v>1.8181818181818181</v>
      </c>
    </row>
    <row r="51" spans="1:42" ht="11.25" customHeight="1" x14ac:dyDescent="0.3">
      <c r="A51" s="120"/>
      <c r="B51" s="120"/>
      <c r="C51" s="120"/>
      <c r="D51" s="21" t="s">
        <v>90</v>
      </c>
      <c r="E51" s="21" t="s">
        <v>25</v>
      </c>
      <c r="F51" s="21" t="s">
        <v>25</v>
      </c>
      <c r="G51" s="21" t="s">
        <v>76</v>
      </c>
      <c r="H51" s="21" t="s">
        <v>72</v>
      </c>
      <c r="I51" s="21">
        <f>'MERCADO TUSD'!$U$48</f>
        <v>0</v>
      </c>
      <c r="J51" s="17"/>
      <c r="L51" s="19">
        <f>1*(1 - CUSTOS!$M$33)</f>
        <v>0.6</v>
      </c>
      <c r="M51" s="19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1.8219628981623313</v>
      </c>
      <c r="N51" s="19">
        <f ca="1">(+M51+O51+R51+U51+V51+W51+X51+Y51+Z51+AA51+AC51+AH51+AI51+AJ51+AK51)*CUSTOS!$M$5</f>
        <v>2.0026654684987956E-12</v>
      </c>
      <c r="O51" s="19">
        <f>1 - CUSTOS!$M$33</f>
        <v>0.6</v>
      </c>
      <c r="P51" s="19">
        <f>1 - CUSTOS!$M$33</f>
        <v>0.6</v>
      </c>
      <c r="Q51" s="19">
        <f>1*(1 - CUSTOS!$M$33)</f>
        <v>0.6</v>
      </c>
      <c r="R51" s="19">
        <f>1 - CUSTOS!$M$33</f>
        <v>0.6</v>
      </c>
      <c r="S51" s="19">
        <f>1 - CUSTOS!$M$33</f>
        <v>0.6</v>
      </c>
      <c r="T51" s="19"/>
      <c r="U51" s="19">
        <f>TRANSICAO!$U$51*CUSTOS!$T$3</f>
        <v>0</v>
      </c>
      <c r="V51" s="19">
        <f>TRANSICAO!$V$51*CUSTOS!$T$3</f>
        <v>0</v>
      </c>
      <c r="W51" s="19">
        <f>TRANSICAO!$W$51*CUSTOS!$T$3</f>
        <v>0</v>
      </c>
      <c r="X51" s="19">
        <f>TRANSICAO!$X$51*CUSTOS!$T$3</f>
        <v>0</v>
      </c>
      <c r="Y51" s="19">
        <f>TRANSICAO!$Y$51*CUSTOS!$T$3</f>
        <v>10.56546</v>
      </c>
      <c r="Z51" s="19">
        <f>TRANSICAO!$Z$51*CUSTOS!$T$3</f>
        <v>0</v>
      </c>
      <c r="AA51" s="19">
        <f>TRANSICAO!$AA$51*CUSTOS!$T$3</f>
        <v>0</v>
      </c>
      <c r="AB51" s="19">
        <f>TRANSICAO!$AB$51*CUSTOS!$T$3</f>
        <v>0</v>
      </c>
      <c r="AC51" s="19">
        <f>TRANSICAO!$AC$51*CUSTOS!$T$3</f>
        <v>149.57909999999998</v>
      </c>
      <c r="AD51" s="19">
        <f>TRANSICAO!$AD$51*CUSTOS!$T$3</f>
        <v>0</v>
      </c>
      <c r="AE51" s="19">
        <v>0</v>
      </c>
      <c r="AF51" s="19">
        <v>0</v>
      </c>
      <c r="AG51" s="19"/>
      <c r="AH51" s="19">
        <f>(1 - CUSTOS!$M$33)*38.5532</f>
        <v>23.131919999999997</v>
      </c>
      <c r="AI51" s="19">
        <v>0</v>
      </c>
      <c r="AJ51" s="19">
        <f ca="1">$N$64*(1-CUSTOS!$M$33)</f>
        <v>6.984051975858617</v>
      </c>
      <c r="AK51" s="19">
        <f t="shared" ca="1" si="0"/>
        <v>6.984051975858617</v>
      </c>
      <c r="AL51" s="19"/>
      <c r="AM51" s="19"/>
      <c r="AP51" s="19">
        <f>IF((1 - CUSTOS!$M$33)&lt;&gt;0,1/(1 - CUSTOS!$M$33),1)</f>
        <v>1.6666666666666667</v>
      </c>
    </row>
    <row r="53" spans="1:42" ht="11.25" customHeight="1" x14ac:dyDescent="0.3">
      <c r="K53" s="18" t="s">
        <v>573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</row>
    <row r="54" spans="1:42" ht="11.25" customHeight="1" x14ac:dyDescent="0.3">
      <c r="K54" s="18" t="s">
        <v>574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</row>
    <row r="55" spans="1:42" ht="11.25" customHeight="1" x14ac:dyDescent="0.3">
      <c r="K55" s="18" t="s">
        <v>575</v>
      </c>
      <c r="L55" s="19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16831.69224</v>
      </c>
      <c r="M55" s="19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49728.775302704293</v>
      </c>
      <c r="N55" s="19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5.0147854650508393E-8</v>
      </c>
      <c r="O55" s="19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17546.4908</v>
      </c>
      <c r="P55" s="19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17367.202800000003</v>
      </c>
      <c r="Q55" s="19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16831.69224</v>
      </c>
      <c r="R55" s="19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17367.202800000003</v>
      </c>
      <c r="S55" s="19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17546.4908</v>
      </c>
      <c r="T55" s="19"/>
      <c r="U55" s="19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9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9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9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9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313923.44762177998</v>
      </c>
      <c r="Z55" s="19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9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9"/>
      <c r="AC55" s="19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4082513.2198740398</v>
      </c>
      <c r="AD55" s="19"/>
      <c r="AE55" s="19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9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9"/>
      <c r="AH55" s="19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602425.31173245993</v>
      </c>
      <c r="AI55" s="19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0</v>
      </c>
      <c r="AJ55" s="19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197857.59090999825</v>
      </c>
      <c r="AK55" s="19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197857.59090999825</v>
      </c>
      <c r="AL55" s="19"/>
      <c r="AM55" s="19"/>
    </row>
    <row r="56" spans="1:42" ht="11.25" customHeight="1" x14ac:dyDescent="0.3">
      <c r="K56" s="18" t="s">
        <v>511</v>
      </c>
      <c r="L56" s="19">
        <f>CUSTOS!$D$2</f>
        <v>234949.90172849185</v>
      </c>
      <c r="M56" s="19">
        <f>CUSTOS!$D$3</f>
        <v>54052.861712467515</v>
      </c>
      <c r="N56" s="19">
        <f>CUSTOS!$D$4</f>
        <v>0</v>
      </c>
      <c r="O56" s="19">
        <f>CUSTOS!$D$5</f>
        <v>0</v>
      </c>
      <c r="P56" s="19">
        <f>CUSTOS!$D$6</f>
        <v>0</v>
      </c>
      <c r="Q56" s="19">
        <f>CUSTOS!$D$7</f>
        <v>1554108.6682800003</v>
      </c>
      <c r="R56" s="19">
        <f>CUSTOS!$D$8</f>
        <v>265519.51470000012</v>
      </c>
      <c r="S56" s="19">
        <f>CUSTOS!$D$9</f>
        <v>0</v>
      </c>
      <c r="T56" s="19">
        <f>CUSTOS!$D$10</f>
        <v>2108630.9464209597</v>
      </c>
      <c r="U56" s="19">
        <f>CUSTOS!$D$11</f>
        <v>0</v>
      </c>
      <c r="V56" s="19">
        <f>IF(SUM(V53:V55)&lt;&gt;0,CUSTOS!$D$12+CUSTOS!$D$16+CUSTOS!$D$17-'TR TUSD'!$Z$54-'TR TUSD'!$AA$54,0)</f>
        <v>0</v>
      </c>
      <c r="W56" s="19">
        <f>CUSTOS!$D$13</f>
        <v>0</v>
      </c>
      <c r="X56" s="19">
        <f>CUSTOS!$D$14</f>
        <v>0</v>
      </c>
      <c r="Y56" s="19">
        <f>IF(SUM(V53:V55)=0,CUSTOS!$D$15+CUSTOS!$D$16+CUSTOS!$D$17-'TR TUSD'!$Z$54-'TR TUSD'!$AA$54,CUSTOS!$D$15)</f>
        <v>3775885.0549178002</v>
      </c>
      <c r="Z56" s="19">
        <f>Z54</f>
        <v>0</v>
      </c>
      <c r="AA56" s="19">
        <f>AA54</f>
        <v>0</v>
      </c>
      <c r="AB56" s="19">
        <f>CUSTOS!$D$18</f>
        <v>3775885.0549178002</v>
      </c>
      <c r="AC56" s="19">
        <f>CUSTOS!$D$19</f>
        <v>11057461.609999999</v>
      </c>
      <c r="AD56" s="19">
        <f>CUSTOS!$D$20</f>
        <v>11057461.609999999</v>
      </c>
      <c r="AE56" s="19">
        <f>CUSTOS!$D$21</f>
        <v>0</v>
      </c>
      <c r="AF56" s="19">
        <f>CUSTOS!$D$22</f>
        <v>0</v>
      </c>
      <c r="AG56" s="19">
        <f>CUSTOS!$D$23</f>
        <v>0</v>
      </c>
      <c r="AH56" s="19">
        <f>CUSTOS!$D$24</f>
        <v>361375.49138598313</v>
      </c>
      <c r="AI56" s="19">
        <f>CUSTOS!$D$25</f>
        <v>0</v>
      </c>
      <c r="AJ56" s="19">
        <f>CUSTOS!$D$26</f>
        <v>214432.92527292715</v>
      </c>
      <c r="AK56" s="19">
        <f>CUSTOS!$D$27</f>
        <v>0</v>
      </c>
      <c r="AL56" s="19">
        <f>CUSTOS!$D$28</f>
        <v>575808.41665891022</v>
      </c>
      <c r="AM56" s="19">
        <f>CUSTOS!$D$29</f>
        <v>17517786.027997669</v>
      </c>
    </row>
    <row r="57" spans="1:42" ht="11.25" customHeight="1" x14ac:dyDescent="0.3">
      <c r="K57" s="18" t="s">
        <v>512</v>
      </c>
      <c r="L57" s="19">
        <f>CUSTOS!$E$2</f>
        <v>0</v>
      </c>
      <c r="M57" s="19">
        <f>CUSTOS!$E$3</f>
        <v>-431.13707121974284</v>
      </c>
      <c r="N57" s="19">
        <f>CUSTOS!$E$4</f>
        <v>0</v>
      </c>
      <c r="O57" s="19">
        <f>CUSTOS!$E$5</f>
        <v>0</v>
      </c>
      <c r="P57" s="19">
        <f>CUSTOS!$E$6</f>
        <v>0</v>
      </c>
      <c r="Q57" s="19">
        <f>CUSTOS!$E$7</f>
        <v>-2603.3615549570059</v>
      </c>
      <c r="R57" s="19">
        <f>CUSTOS!$E$8</f>
        <v>-119.12081097291502</v>
      </c>
      <c r="S57" s="19">
        <f>CUSTOS!$E$9</f>
        <v>0</v>
      </c>
      <c r="T57" s="19">
        <f>CUSTOS!$E$10</f>
        <v>-3153.6194371496636</v>
      </c>
      <c r="U57" s="19">
        <f>CUSTOS!$E$11</f>
        <v>0</v>
      </c>
      <c r="V57" s="19">
        <f>CUSTOS!$E$12</f>
        <v>0</v>
      </c>
      <c r="W57" s="19">
        <f>CUSTOS!$E$13</f>
        <v>0</v>
      </c>
      <c r="X57" s="19">
        <f>CUSTOS!$E$14</f>
        <v>0</v>
      </c>
      <c r="Y57" s="19">
        <f>CUSTOS!$E$15</f>
        <v>931940.46910175029</v>
      </c>
      <c r="Z57" s="19">
        <f>CUSTOS!$E$16</f>
        <v>0</v>
      </c>
      <c r="AA57" s="19">
        <f>CUSTOS!$E$17</f>
        <v>0</v>
      </c>
      <c r="AB57" s="19">
        <f>CUSTOS!$E$18</f>
        <v>931940.46910175029</v>
      </c>
      <c r="AC57" s="19">
        <f>CUSTOS!$E$19</f>
        <v>-2105190.4988346547</v>
      </c>
      <c r="AD57" s="19">
        <f>CUSTOS!$E$20</f>
        <v>-2105190.4988346547</v>
      </c>
      <c r="AE57" s="19">
        <f>CUSTOS!$E$21</f>
        <v>0</v>
      </c>
      <c r="AF57" s="19">
        <f>CUSTOS!$E$22</f>
        <v>0</v>
      </c>
      <c r="AG57" s="19">
        <f>CUSTOS!$E$23</f>
        <v>0</v>
      </c>
      <c r="AH57" s="19">
        <f>CUSTOS!$E$24</f>
        <v>109941.98773885565</v>
      </c>
      <c r="AI57" s="19">
        <f>CUSTOS!$E$25</f>
        <v>0</v>
      </c>
      <c r="AJ57" s="19">
        <f>CUSTOS!$E$26</f>
        <v>65237.357272750363</v>
      </c>
      <c r="AK57" s="19">
        <f>CUSTOS!$E$27</f>
        <v>0</v>
      </c>
      <c r="AL57" s="19">
        <f>CUSTOS!$E$28</f>
        <v>175179.345011606</v>
      </c>
      <c r="AM57" s="19">
        <f>CUSTOS!$E$29</f>
        <v>-1001224.3041584481</v>
      </c>
    </row>
    <row r="58" spans="1:42" ht="11.25" customHeight="1" x14ac:dyDescent="0.3">
      <c r="K58" s="18" t="s">
        <v>513</v>
      </c>
      <c r="L58" s="19">
        <f>CUSTOS!$F$2</f>
        <v>0</v>
      </c>
      <c r="M58" s="19">
        <f>CUSTOS!$F$3</f>
        <v>0</v>
      </c>
      <c r="N58" s="19">
        <f>CUSTOS!$F$4</f>
        <v>0</v>
      </c>
      <c r="O58" s="19">
        <f>CUSTOS!$F$5</f>
        <v>0</v>
      </c>
      <c r="P58" s="19">
        <f>CUSTOS!$F$6</f>
        <v>0</v>
      </c>
      <c r="Q58" s="19">
        <f>CUSTOS!$F$7</f>
        <v>0</v>
      </c>
      <c r="R58" s="19">
        <f>CUSTOS!$F$8</f>
        <v>0</v>
      </c>
      <c r="S58" s="19">
        <f>CUSTOS!$F$9</f>
        <v>0</v>
      </c>
      <c r="T58" s="19">
        <f>CUSTOS!$F$10</f>
        <v>0</v>
      </c>
      <c r="U58" s="19">
        <f>CUSTOS!$F$11</f>
        <v>0</v>
      </c>
      <c r="V58" s="19">
        <f>CUSTOS!$F$12</f>
        <v>0</v>
      </c>
      <c r="W58" s="19">
        <f>CUSTOS!$F$13</f>
        <v>0</v>
      </c>
      <c r="X58" s="19">
        <f>CUSTOS!$F$14</f>
        <v>0</v>
      </c>
      <c r="Y58" s="19">
        <f>CUSTOS!$F$15</f>
        <v>0</v>
      </c>
      <c r="Z58" s="19">
        <f>CUSTOS!$F$16</f>
        <v>0</v>
      </c>
      <c r="AA58" s="19">
        <f>CUSTOS!$F$17</f>
        <v>0</v>
      </c>
      <c r="AB58" s="19">
        <f>CUSTOS!$F$18</f>
        <v>0</v>
      </c>
      <c r="AC58" s="19">
        <f>CUSTOS!$F$19</f>
        <v>0</v>
      </c>
      <c r="AD58" s="19">
        <f>CUSTOS!$F$20</f>
        <v>0</v>
      </c>
      <c r="AE58" s="19">
        <f>CUSTOS!$F$21</f>
        <v>0</v>
      </c>
      <c r="AF58" s="19">
        <f>CUSTOS!$F$22</f>
        <v>0</v>
      </c>
      <c r="AG58" s="19">
        <f>CUSTOS!$F$23</f>
        <v>0</v>
      </c>
      <c r="AH58" s="19">
        <f>CUSTOS!$F$24</f>
        <v>0</v>
      </c>
      <c r="AI58" s="19">
        <f>CUSTOS!$F$25</f>
        <v>0</v>
      </c>
      <c r="AJ58" s="19">
        <f>CUSTOS!$F$26</f>
        <v>0</v>
      </c>
      <c r="AK58" s="19">
        <f>CUSTOS!$F$27</f>
        <v>0</v>
      </c>
      <c r="AL58" s="19">
        <f>CUSTOS!$F$28</f>
        <v>0</v>
      </c>
      <c r="AM58" s="19">
        <f>CUSTOS!$F$29</f>
        <v>0</v>
      </c>
    </row>
    <row r="59" spans="1:42" ht="11.25" customHeight="1" x14ac:dyDescent="0.3">
      <c r="K59" s="18" t="s">
        <v>576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/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/>
      <c r="AC59" s="19">
        <v>0</v>
      </c>
      <c r="AD59" s="19"/>
      <c r="AE59" s="19">
        <v>0</v>
      </c>
      <c r="AF59" s="19">
        <v>0</v>
      </c>
      <c r="AG59" s="19"/>
      <c r="AH59" s="19">
        <v>0</v>
      </c>
      <c r="AI59" s="19">
        <v>0</v>
      </c>
      <c r="AJ59" s="19">
        <v>0</v>
      </c>
      <c r="AK59" s="19">
        <v>0</v>
      </c>
      <c r="AL59" s="19"/>
      <c r="AM59" s="19"/>
    </row>
    <row r="60" spans="1:42" ht="11.25" customHeight="1" x14ac:dyDescent="0.3">
      <c r="K60" s="18" t="s">
        <v>577</v>
      </c>
      <c r="L60" s="19">
        <f t="shared" ref="L60:S60" si="1">IF((L55+L53)&lt;&gt;0,(L56-L54-L59)/(L55+L53),0)</f>
        <v>13.958780755873175</v>
      </c>
      <c r="M60" s="19">
        <f t="shared" si="1"/>
        <v>1.086953406421977</v>
      </c>
      <c r="N60" s="19">
        <f t="shared" ca="1" si="1"/>
        <v>0</v>
      </c>
      <c r="O60" s="19">
        <f t="shared" si="1"/>
        <v>0</v>
      </c>
      <c r="P60" s="19">
        <f t="shared" si="1"/>
        <v>0</v>
      </c>
      <c r="Q60" s="19">
        <f t="shared" si="1"/>
        <v>92.332288763378685</v>
      </c>
      <c r="R60" s="19">
        <f t="shared" si="1"/>
        <v>15.288559577366142</v>
      </c>
      <c r="S60" s="19">
        <f t="shared" si="1"/>
        <v>0</v>
      </c>
      <c r="T60" s="19"/>
      <c r="U60" s="19">
        <f>IF(U55&lt;&gt;0,(U56-U54-U53-U59)/U55,0)</f>
        <v>0</v>
      </c>
      <c r="V60" s="19">
        <f>IF(V55&lt;&gt;0,(V56-V54-V53-V59)/V55,0)</f>
        <v>0</v>
      </c>
      <c r="W60" s="19">
        <f>IF(W55&lt;&gt;0,(W56-W54-W53-W59)/W55,0)</f>
        <v>0</v>
      </c>
      <c r="X60" s="19">
        <f>IF(X55&lt;&gt;0,(X56-X54-X53-X59)/X55,0)</f>
        <v>0</v>
      </c>
      <c r="Y60" s="19">
        <f>IF(Y55&lt;&gt;0,(Y56-Y54-Y53-Y59)/Y55,0)</f>
        <v>12.028044045524906</v>
      </c>
      <c r="Z60" s="19"/>
      <c r="AA60" s="19"/>
      <c r="AB60" s="19"/>
      <c r="AC60" s="19">
        <f>IF(AC55&lt;&gt;0,(AC56-AC54-AC53-AC59)/AC55,0)</f>
        <v>2.7084937670676208</v>
      </c>
      <c r="AD60" s="19"/>
      <c r="AE60" s="19">
        <f>IF((AE55+AE53)&lt;&gt;0,(AE56-AE54-AE59)/(AE55+AE53),0)</f>
        <v>0</v>
      </c>
      <c r="AF60" s="19">
        <f>IF((AF55+AF53)&lt;&gt;0,(AF56-AF54-AF59)/(AF55+AF53),0)</f>
        <v>0</v>
      </c>
      <c r="AG60" s="19"/>
      <c r="AH60" s="19">
        <f>IF(AH55&lt;&gt;0,(AH56-AH54-AH53-AH59)/AH55,0)</f>
        <v>0.59986770865708872</v>
      </c>
      <c r="AI60" s="19">
        <f>IF(AI55&lt;&gt;0,(AI56-AI54-AI53-AI59)/AI55,0)</f>
        <v>0</v>
      </c>
      <c r="AJ60" s="19">
        <f ca="1">IF((AJ55+AJ53)&lt;&gt;0,(AJ56-AJ54-AJ59)/(AJ55+AJ53),0)</f>
        <v>1.0837740633892015</v>
      </c>
      <c r="AK60" s="19">
        <f ca="1">IF((AK55+AK53)&lt;&gt;0,(AK56-AK54-AK59)/(AK55+AK53),0)</f>
        <v>0</v>
      </c>
      <c r="AL60" s="19"/>
      <c r="AM60" s="19"/>
    </row>
    <row r="62" spans="1:42" ht="11.25" customHeight="1" x14ac:dyDescent="0.3">
      <c r="K62" s="29" t="s">
        <v>581</v>
      </c>
      <c r="L62" s="29" t="s">
        <v>582</v>
      </c>
      <c r="M62" s="29" t="s">
        <v>583</v>
      </c>
      <c r="N62" s="29" t="s">
        <v>584</v>
      </c>
      <c r="O62" s="29" t="s">
        <v>585</v>
      </c>
      <c r="P62" s="29" t="s">
        <v>586</v>
      </c>
    </row>
    <row r="63" spans="1:42" ht="11.25" customHeight="1" x14ac:dyDescent="0.3">
      <c r="K63" s="21" t="s">
        <v>37</v>
      </c>
      <c r="L63" s="21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2628479.382802295</v>
      </c>
      <c r="M63" s="21">
        <f>+'TUSD BE'!$I$7+'TUSD BE'!$I$8+'TUSD BE'!$I$11+'TUSD BE'!$I$12+'TUSD BE'!$I$13+'TUSD BE'!$I$14</f>
        <v>3346.9409999999998</v>
      </c>
      <c r="N63" s="21">
        <f ca="1">IF(AND($L$70&lt;&gt;0,M63&lt;&gt;0),(L63/$L$70*$AJ$56)/M63,0)</f>
        <v>9.7323499821708417</v>
      </c>
      <c r="O63" s="21"/>
      <c r="P63" s="21"/>
    </row>
    <row r="64" spans="1:42" ht="11.25" customHeight="1" x14ac:dyDescent="0.3">
      <c r="K64" s="21" t="s">
        <v>82</v>
      </c>
      <c r="L64" s="21">
        <f ca="1">+$L$65+$L$66+$L$67+$L$68+$L$69</f>
        <v>14674873.719922069</v>
      </c>
      <c r="M64" s="21">
        <f>+$M$65+$M$66+$M$67+$M$68+$M$69</f>
        <v>15623.536999999998</v>
      </c>
      <c r="N64" s="21">
        <f ca="1">IF(AND($L$70&lt;&gt;0,M64&lt;&gt;0),(L64/$L$70*$AJ$56)/M64,0)</f>
        <v>11.640086626431028</v>
      </c>
      <c r="O64" s="21"/>
      <c r="P64" s="21"/>
    </row>
    <row r="65" spans="11:16" ht="11.25" customHeight="1" x14ac:dyDescent="0.3">
      <c r="K65" s="21" t="s">
        <v>82</v>
      </c>
      <c r="L65" s="21"/>
      <c r="M65" s="21"/>
      <c r="N65" s="21">
        <f ca="1">IF(AND($L$70&lt;&gt;0,M65&lt;&gt;0),(L65/$L$70*$AJ$56)/M65,0)</f>
        <v>0</v>
      </c>
      <c r="O65" s="21"/>
      <c r="P65" s="21"/>
    </row>
    <row r="66" spans="11:16" ht="11.25" customHeight="1" x14ac:dyDescent="0.3">
      <c r="K66" s="21" t="s">
        <v>22</v>
      </c>
      <c r="L66" s="21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10386692.101891417</v>
      </c>
      <c r="M66" s="21">
        <f>+'TUSD BE'!$I$17+'TUSD BE'!$I$18+'TUSD BE'!$I$19+'TUSD BE'!$I$20+'TUSD BE'!$I$21+'TUSD BE'!$I$22+'TUSD BE'!$I$23+'TUSD BE'!$I$24+'TUSD BE'!$I$25+'TUSD BE'!$I$26+'TUSD BE'!$I$27+'TUSD BE'!$I$28+'TUSD BE'!$I$29</f>
        <v>10056.420999999998</v>
      </c>
      <c r="N66" s="21"/>
      <c r="O66" s="21"/>
      <c r="P66" s="21"/>
    </row>
    <row r="67" spans="11:16" ht="11.25" customHeight="1" x14ac:dyDescent="0.3">
      <c r="K67" s="21" t="s">
        <v>43</v>
      </c>
      <c r="L67" s="21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621277.85971514659</v>
      </c>
      <c r="M67" s="21">
        <f>+'TUSD BE'!$I$30+'TUSD BE'!$I$31+'TUSD BE'!$I$32+'TUSD BE'!$I$33+'TUSD BE'!$I$34+'TUSD BE'!$I$35+'TUSD BE'!$I$36+'TUSD BE'!$I$37+'TUSD BE'!$I$38+'TUSD BE'!$I$39+'TUSD BE'!$I$40+'TUSD BE'!$I$41+'TUSD BE'!$I$42+'TUSD BE'!$I$43+'TUSD BE'!$I$44</f>
        <v>600.24900000000002</v>
      </c>
      <c r="N67" s="21"/>
      <c r="O67" s="21"/>
      <c r="P67" s="21"/>
    </row>
    <row r="68" spans="11:16" ht="11.25" customHeight="1" x14ac:dyDescent="0.3">
      <c r="K68" s="21" t="s">
        <v>35</v>
      </c>
      <c r="L68" s="21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1865501.5404849024</v>
      </c>
      <c r="M68" s="21">
        <f>+'TUSD BE'!$I$45+'TUSD BE'!$I$46+'TUSD BE'!$I$47+'TUSD BE'!$I$48+'TUSD BE'!$I$49</f>
        <v>1802.451</v>
      </c>
      <c r="N68" s="21"/>
      <c r="O68" s="21"/>
      <c r="P68" s="21"/>
    </row>
    <row r="69" spans="11:16" ht="11.25" customHeight="1" x14ac:dyDescent="0.3">
      <c r="K69" s="21" t="s">
        <v>46</v>
      </c>
      <c r="L69" s="21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1801402.2178306021</v>
      </c>
      <c r="M69" s="21">
        <f>+'TUSD BE'!$I$50+'TUSD BE'!$I$51</f>
        <v>3164.4159999999997</v>
      </c>
      <c r="N69" s="21"/>
      <c r="O69" s="21"/>
      <c r="P69" s="21"/>
    </row>
    <row r="70" spans="11:16" ht="11.25" customHeight="1" x14ac:dyDescent="0.3">
      <c r="K70" s="21"/>
      <c r="L70" s="21">
        <f ca="1">SUM($L$63:$L$69,-$L$64)</f>
        <v>17303353.102724362</v>
      </c>
      <c r="M70" s="21">
        <f>SUM($M$63:$M$69,-$M$64)</f>
        <v>18970.478000000003</v>
      </c>
      <c r="N70" s="21"/>
      <c r="O70" s="21"/>
      <c r="P70" s="21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8B2E-9E3B-491D-9B4B-551E8A216C73}">
  <dimension ref="A1:AP58"/>
  <sheetViews>
    <sheetView showGridLines="0" topLeftCell="X35" workbookViewId="0">
      <selection activeCell="AM53" sqref="AM53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7.88671875" style="9" bestFit="1" customWidth="1"/>
    <col min="14" max="15" width="4.109375" style="9" bestFit="1" customWidth="1"/>
    <col min="16" max="16" width="4.44140625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.88671875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1" width="9.109375" style="9"/>
    <col min="42" max="42" width="7.88671875" style="9" bestFit="1" customWidth="1"/>
    <col min="43" max="16384" width="9.109375" style="9"/>
  </cols>
  <sheetData>
    <row r="1" spans="1:42" ht="11.25" customHeight="1" x14ac:dyDescent="0.3">
      <c r="A1" s="121" t="s">
        <v>62</v>
      </c>
      <c r="B1" s="121" t="s">
        <v>63</v>
      </c>
      <c r="C1" s="121" t="s">
        <v>64</v>
      </c>
      <c r="D1" s="121" t="s">
        <v>65</v>
      </c>
      <c r="E1" s="121" t="s">
        <v>66</v>
      </c>
      <c r="F1" s="121" t="s">
        <v>15</v>
      </c>
      <c r="G1" s="121" t="s">
        <v>68</v>
      </c>
      <c r="H1" s="121" t="s">
        <v>69</v>
      </c>
      <c r="I1" s="121" t="s">
        <v>570</v>
      </c>
      <c r="J1" s="118"/>
      <c r="L1" s="122" t="s">
        <v>578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P1" s="122" t="s">
        <v>572</v>
      </c>
    </row>
    <row r="2" spans="1:42" ht="11.25" customHeight="1" x14ac:dyDescent="0.3">
      <c r="A2" s="121"/>
      <c r="B2" s="121"/>
      <c r="C2" s="121"/>
      <c r="D2" s="121"/>
      <c r="E2" s="121"/>
      <c r="F2" s="121"/>
      <c r="G2" s="121"/>
      <c r="H2" s="121"/>
      <c r="I2" s="121"/>
      <c r="J2" s="118"/>
      <c r="L2" s="122" t="s">
        <v>470</v>
      </c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P2" s="123"/>
    </row>
    <row r="3" spans="1:42" ht="11.25" customHeight="1" x14ac:dyDescent="0.3">
      <c r="A3" s="121"/>
      <c r="B3" s="121"/>
      <c r="C3" s="121"/>
      <c r="D3" s="121"/>
      <c r="E3" s="121"/>
      <c r="F3" s="121"/>
      <c r="G3" s="121"/>
      <c r="H3" s="121"/>
      <c r="I3" s="121"/>
      <c r="J3" s="118"/>
      <c r="L3" s="122" t="s">
        <v>471</v>
      </c>
      <c r="M3" s="122"/>
      <c r="N3" s="122"/>
      <c r="O3" s="122"/>
      <c r="P3" s="122"/>
      <c r="Q3" s="122"/>
      <c r="R3" s="122"/>
      <c r="S3" s="122"/>
      <c r="T3" s="122"/>
      <c r="U3" s="122" t="s">
        <v>480</v>
      </c>
      <c r="V3" s="122"/>
      <c r="W3" s="122"/>
      <c r="X3" s="122"/>
      <c r="Y3" s="122"/>
      <c r="Z3" s="122"/>
      <c r="AA3" s="122"/>
      <c r="AB3" s="122"/>
      <c r="AC3" s="122" t="s">
        <v>488</v>
      </c>
      <c r="AD3" s="122"/>
      <c r="AE3" s="122" t="s">
        <v>490</v>
      </c>
      <c r="AF3" s="122"/>
      <c r="AG3" s="122"/>
      <c r="AH3" s="122" t="s">
        <v>493</v>
      </c>
      <c r="AI3" s="122"/>
      <c r="AJ3" s="122"/>
      <c r="AK3" s="122"/>
      <c r="AL3" s="122"/>
      <c r="AM3" s="122" t="s">
        <v>479</v>
      </c>
      <c r="AP3" s="123"/>
    </row>
    <row r="4" spans="1:42" ht="11.25" customHeight="1" x14ac:dyDescent="0.3">
      <c r="A4" s="121"/>
      <c r="B4" s="121"/>
      <c r="C4" s="121"/>
      <c r="D4" s="121"/>
      <c r="E4" s="121"/>
      <c r="F4" s="121"/>
      <c r="G4" s="121"/>
      <c r="H4" s="121"/>
      <c r="I4" s="121"/>
      <c r="J4" s="118"/>
      <c r="L4" s="23" t="s">
        <v>555</v>
      </c>
      <c r="M4" s="23" t="s">
        <v>472</v>
      </c>
      <c r="N4" s="23" t="s">
        <v>473</v>
      </c>
      <c r="O4" s="23" t="s">
        <v>474</v>
      </c>
      <c r="P4" s="23" t="s">
        <v>475</v>
      </c>
      <c r="Q4" s="23" t="s">
        <v>476</v>
      </c>
      <c r="R4" s="23" t="s">
        <v>477</v>
      </c>
      <c r="S4" s="23" t="s">
        <v>478</v>
      </c>
      <c r="T4" s="23" t="s">
        <v>479</v>
      </c>
      <c r="U4" s="23" t="s">
        <v>481</v>
      </c>
      <c r="V4" s="23" t="s">
        <v>482</v>
      </c>
      <c r="W4" s="23" t="s">
        <v>483</v>
      </c>
      <c r="X4" s="23" t="s">
        <v>484</v>
      </c>
      <c r="Y4" s="23" t="s">
        <v>485</v>
      </c>
      <c r="Z4" s="23" t="s">
        <v>486</v>
      </c>
      <c r="AA4" s="23" t="s">
        <v>487</v>
      </c>
      <c r="AB4" s="23" t="s">
        <v>479</v>
      </c>
      <c r="AC4" s="23" t="s">
        <v>489</v>
      </c>
      <c r="AD4" s="23" t="s">
        <v>479</v>
      </c>
      <c r="AE4" s="23" t="s">
        <v>491</v>
      </c>
      <c r="AF4" s="23" t="s">
        <v>492</v>
      </c>
      <c r="AG4" s="23" t="s">
        <v>479</v>
      </c>
      <c r="AH4" s="23" t="s">
        <v>494</v>
      </c>
      <c r="AI4" s="23" t="s">
        <v>495</v>
      </c>
      <c r="AJ4" s="23" t="s">
        <v>496</v>
      </c>
      <c r="AK4" s="23" t="s">
        <v>497</v>
      </c>
      <c r="AL4" s="23" t="s">
        <v>479</v>
      </c>
      <c r="AM4" s="124"/>
      <c r="AP4" s="123"/>
    </row>
    <row r="5" spans="1:42" ht="11.25" customHeight="1" x14ac:dyDescent="0.3">
      <c r="A5" s="120" t="s">
        <v>37</v>
      </c>
      <c r="B5" s="120" t="s">
        <v>41</v>
      </c>
      <c r="C5" s="120" t="s">
        <v>25</v>
      </c>
      <c r="D5" s="120" t="s">
        <v>25</v>
      </c>
      <c r="E5" s="120" t="s">
        <v>25</v>
      </c>
      <c r="F5" s="120" t="s">
        <v>25</v>
      </c>
      <c r="G5" s="21" t="s">
        <v>78</v>
      </c>
      <c r="H5" s="21" t="s">
        <v>77</v>
      </c>
      <c r="I5" s="21">
        <f>'MERCADO TUSD'!$U$2</f>
        <v>1200</v>
      </c>
      <c r="J5" s="17"/>
      <c r="L5" s="20">
        <f>'TR TUSD'!$L$5*'TR TUSD'!$L$60</f>
        <v>0</v>
      </c>
      <c r="M5" s="20">
        <f>'TR TUSD'!$M$5*'TR TUSD'!$M$60</f>
        <v>0</v>
      </c>
      <c r="N5" s="20">
        <f ca="1">'TR TUSD'!$N$5*'TR TUSD'!$N$60</f>
        <v>0</v>
      </c>
      <c r="O5" s="20">
        <f>'TR TUSD'!$O$5*'TR TUSD'!$O$60</f>
        <v>0</v>
      </c>
      <c r="P5" s="20">
        <f>'TR TUSD'!$P$5*'TR TUSD'!$P$60</f>
        <v>0</v>
      </c>
      <c r="Q5" s="20">
        <f>'TR TUSD'!$Q$5*'TR TUSD'!$Q$60</f>
        <v>0</v>
      </c>
      <c r="R5" s="20">
        <f>'TR TUSD'!$R$5*'TR TUSD'!$R$60</f>
        <v>0</v>
      </c>
      <c r="S5" s="20">
        <f>'TR TUSD'!$S$5*'TR TUSD'!$S$60</f>
        <v>0</v>
      </c>
      <c r="T5" s="20">
        <f ca="1">SUM($L$5:$S$5)</f>
        <v>0</v>
      </c>
      <c r="U5" s="20">
        <f>'TR TUSD'!$U$5*'TR TUSD'!$U$60</f>
        <v>0</v>
      </c>
      <c r="V5" s="20">
        <f>'TR TUSD'!$V$5*'TR TUSD'!$V$60</f>
        <v>0</v>
      </c>
      <c r="W5" s="20">
        <f>'TR TUSD'!$W$5*'TR TUSD'!$W$60</f>
        <v>0</v>
      </c>
      <c r="X5" s="20">
        <f>'TR TUSD'!$X$5*'TR TUSD'!$X$60</f>
        <v>0</v>
      </c>
      <c r="Y5" s="20">
        <f>'TR TUSD'!$Y$5*'TR TUSD'!$Y$60</f>
        <v>56.814466049036888</v>
      </c>
      <c r="Z5" s="20">
        <f>'TR TUSD'!$Z$5</f>
        <v>0</v>
      </c>
      <c r="AA5" s="20">
        <f>'TR TUSD'!$AA$5</f>
        <v>0</v>
      </c>
      <c r="AB5" s="20">
        <f>SUM($U$5:$AA$5)</f>
        <v>56.814466049036888</v>
      </c>
      <c r="AC5" s="20">
        <f>'TR TUSD'!$AC$5*'TR TUSD'!$AC$60</f>
        <v>164.89093374406309</v>
      </c>
      <c r="AD5" s="20">
        <f>SUM($AC$5:$AC$5)</f>
        <v>164.89093374406309</v>
      </c>
      <c r="AE5" s="20">
        <v>0</v>
      </c>
      <c r="AF5" s="20">
        <v>0</v>
      </c>
      <c r="AG5" s="20">
        <f>SUM($AE$5:$AF$5)</f>
        <v>0</v>
      </c>
      <c r="AH5" s="20">
        <f>'TR TUSD'!$AH$5*'TR TUSD'!$AH$60</f>
        <v>0</v>
      </c>
      <c r="AI5" s="20">
        <f>'TR TUSD'!$AI$5*'TR TUSD'!$AI$60</f>
        <v>0</v>
      </c>
      <c r="AJ5" s="20">
        <f ca="1">'TR TUSD'!$AJ$5*'TR TUSD'!$AJ$60</f>
        <v>0</v>
      </c>
      <c r="AK5" s="20">
        <f ca="1">'TR TUSD'!$AK$5*'TR TUSD'!$AK$60</f>
        <v>0</v>
      </c>
      <c r="AL5" s="20">
        <f ca="1">SUM($AH$5:$AK$5)</f>
        <v>0</v>
      </c>
      <c r="AM5" s="20">
        <f ca="1">SUMIF($L$4:$AL$4,"SUBTOTAL",$L$5:$AL$5)</f>
        <v>221.70539979309999</v>
      </c>
      <c r="AP5" s="20">
        <v>1</v>
      </c>
    </row>
    <row r="6" spans="1:42" ht="11.25" customHeight="1" x14ac:dyDescent="0.3">
      <c r="A6" s="120"/>
      <c r="B6" s="120"/>
      <c r="C6" s="120"/>
      <c r="D6" s="120"/>
      <c r="E6" s="120"/>
      <c r="F6" s="120"/>
      <c r="G6" s="21" t="s">
        <v>79</v>
      </c>
      <c r="H6" s="21" t="s">
        <v>77</v>
      </c>
      <c r="I6" s="21">
        <f>'MERCADO TUSD'!$U$3</f>
        <v>1209</v>
      </c>
      <c r="J6" s="17"/>
      <c r="L6" s="20">
        <f>'TR TUSD'!$L$6*'TR TUSD'!$L$60</f>
        <v>0</v>
      </c>
      <c r="M6" s="20">
        <f>'TR TUSD'!$M$6*'TR TUSD'!$M$60</f>
        <v>0</v>
      </c>
      <c r="N6" s="20">
        <f ca="1">'TR TUSD'!$N$6*'TR TUSD'!$N$60</f>
        <v>0</v>
      </c>
      <c r="O6" s="20">
        <f>'TR TUSD'!$O$6*'TR TUSD'!$O$60</f>
        <v>0</v>
      </c>
      <c r="P6" s="20">
        <f>'TR TUSD'!$P$6*'TR TUSD'!$P$60</f>
        <v>0</v>
      </c>
      <c r="Q6" s="20">
        <f>'TR TUSD'!$Q$6*'TR TUSD'!$Q$60</f>
        <v>0</v>
      </c>
      <c r="R6" s="20">
        <f>'TR TUSD'!$R$6*'TR TUSD'!$R$60</f>
        <v>0</v>
      </c>
      <c r="S6" s="20">
        <f>'TR TUSD'!$S$6*'TR TUSD'!$S$60</f>
        <v>0</v>
      </c>
      <c r="T6" s="20">
        <f ca="1">SUM($L$6:$S$6)</f>
        <v>0</v>
      </c>
      <c r="U6" s="20">
        <f>'TR TUSD'!$U$6*'TR TUSD'!$U$60</f>
        <v>0</v>
      </c>
      <c r="V6" s="20">
        <f>'TR TUSD'!$V$6*'TR TUSD'!$V$60</f>
        <v>0</v>
      </c>
      <c r="W6" s="20">
        <f>'TR TUSD'!$W$6*'TR TUSD'!$W$60</f>
        <v>0</v>
      </c>
      <c r="X6" s="20">
        <f>'TR TUSD'!$X$6*'TR TUSD'!$X$60</f>
        <v>0</v>
      </c>
      <c r="Y6" s="20">
        <f>'TR TUSD'!$Y$6*'TR TUSD'!$Y$60</f>
        <v>30.842310541534964</v>
      </c>
      <c r="Z6" s="20">
        <f>'TR TUSD'!$Z$6</f>
        <v>0</v>
      </c>
      <c r="AA6" s="20">
        <f>'TR TUSD'!$AA$6</f>
        <v>0</v>
      </c>
      <c r="AB6" s="20">
        <f>SUM($U$6:$AA$6)</f>
        <v>30.842310541534964</v>
      </c>
      <c r="AC6" s="20">
        <f>'TR TUSD'!$AC$6*'TR TUSD'!$AC$60</f>
        <v>52.600844902090145</v>
      </c>
      <c r="AD6" s="20">
        <f>SUM($AC$6:$AC$6)</f>
        <v>52.600844902090145</v>
      </c>
      <c r="AE6" s="20">
        <v>0</v>
      </c>
      <c r="AF6" s="20">
        <v>0</v>
      </c>
      <c r="AG6" s="20">
        <f>SUM($AE$6:$AF$6)</f>
        <v>0</v>
      </c>
      <c r="AH6" s="20">
        <f>'TR TUSD'!$AH$6*'TR TUSD'!$AH$60</f>
        <v>0</v>
      </c>
      <c r="AI6" s="20">
        <f>'TR TUSD'!$AI$6*'TR TUSD'!$AI$60</f>
        <v>0</v>
      </c>
      <c r="AJ6" s="20">
        <f ca="1">'TR TUSD'!$AJ$6*'TR TUSD'!$AJ$60</f>
        <v>0</v>
      </c>
      <c r="AK6" s="20">
        <f ca="1">'TR TUSD'!$AK$6*'TR TUSD'!$AK$60</f>
        <v>0</v>
      </c>
      <c r="AL6" s="20">
        <f ca="1">SUM($AH$6:$AK$6)</f>
        <v>0</v>
      </c>
      <c r="AM6" s="20">
        <f ca="1">SUMIF($L$4:$AL$4,"SUBTOTAL",$L$6:$AL$6)</f>
        <v>83.443155443625102</v>
      </c>
      <c r="AP6" s="20">
        <v>1</v>
      </c>
    </row>
    <row r="7" spans="1:42" ht="11.25" customHeight="1" x14ac:dyDescent="0.3">
      <c r="A7" s="120"/>
      <c r="B7" s="120"/>
      <c r="C7" s="120"/>
      <c r="D7" s="120"/>
      <c r="E7" s="120"/>
      <c r="F7" s="120"/>
      <c r="G7" s="21" t="s">
        <v>76</v>
      </c>
      <c r="H7" s="21" t="s">
        <v>72</v>
      </c>
      <c r="I7" s="21">
        <f>'MERCADO TUSD'!$U$4</f>
        <v>431.03100000000001</v>
      </c>
      <c r="J7" s="17"/>
      <c r="L7" s="20">
        <f>'TR TUSD'!$L$7*'TR TUSD'!$L$60</f>
        <v>11.725375834933466</v>
      </c>
      <c r="M7" s="20">
        <f>'TR TUSD'!$M$7*'TR TUSD'!$M$60</f>
        <v>2.1467801709849965</v>
      </c>
      <c r="N7" s="20">
        <f ca="1">'TR TUSD'!$N$7*'TR TUSD'!$N$60</f>
        <v>0</v>
      </c>
      <c r="O7" s="20">
        <f>'TR TUSD'!$O$7*'TR TUSD'!$O$60</f>
        <v>0</v>
      </c>
      <c r="P7" s="20">
        <f>'TR TUSD'!$P$7*'TR TUSD'!$P$60</f>
        <v>0</v>
      </c>
      <c r="Q7" s="20">
        <f>'TR TUSD'!$Q$7*'TR TUSD'!$Q$60</f>
        <v>77.559122561238098</v>
      </c>
      <c r="R7" s="20">
        <f>'TR TUSD'!$R$7*'TR TUSD'!$R$60</f>
        <v>15.288559577366142</v>
      </c>
      <c r="S7" s="20">
        <f>'TR TUSD'!$S$7*'TR TUSD'!$S$60</f>
        <v>0</v>
      </c>
      <c r="T7" s="20">
        <f ca="1">SUM($L$7:$S$7)</f>
        <v>106.71983814452271</v>
      </c>
      <c r="U7" s="20">
        <f>'TR TUSD'!$U$7*'TR TUSD'!$U$60</f>
        <v>0</v>
      </c>
      <c r="V7" s="20">
        <f>'TR TUSD'!$V$7*'TR TUSD'!$V$60</f>
        <v>0</v>
      </c>
      <c r="W7" s="20">
        <f>'TR TUSD'!$W$7*'TR TUSD'!$W$60</f>
        <v>0</v>
      </c>
      <c r="X7" s="20">
        <f>'TR TUSD'!$X$7*'TR TUSD'!$X$60</f>
        <v>0</v>
      </c>
      <c r="Y7" s="20">
        <f>'TR TUSD'!$Y$7*'TR TUSD'!$Y$60</f>
        <v>0</v>
      </c>
      <c r="Z7" s="20">
        <f>'TR TUSD'!$Z$7</f>
        <v>0</v>
      </c>
      <c r="AA7" s="20">
        <f>'TR TUSD'!$AA$7</f>
        <v>0</v>
      </c>
      <c r="AB7" s="20">
        <f>SUM($U$7:$AA$7)</f>
        <v>0</v>
      </c>
      <c r="AC7" s="20">
        <f>'TR TUSD'!$AC$7*'TR TUSD'!$AC$60</f>
        <v>0</v>
      </c>
      <c r="AD7" s="20">
        <f>SUM($AC$7:$AC$7)</f>
        <v>0</v>
      </c>
      <c r="AE7" s="20">
        <v>0</v>
      </c>
      <c r="AF7" s="20">
        <v>0</v>
      </c>
      <c r="AG7" s="20">
        <f>SUM($AE$7:$AF$7)</f>
        <v>0</v>
      </c>
      <c r="AH7" s="20">
        <f>'TR TUSD'!$AH$7*'TR TUSD'!$AH$60</f>
        <v>9.8552865722981746</v>
      </c>
      <c r="AI7" s="20">
        <f>'TR TUSD'!$AI$7*'TR TUSD'!$AI$60</f>
        <v>0</v>
      </c>
      <c r="AJ7" s="20">
        <f ca="1">'TR TUSD'!$AJ$7*'TR TUSD'!$AJ$60</f>
        <v>10.547668486503115</v>
      </c>
      <c r="AK7" s="20">
        <f ca="1">'TR TUSD'!$AK$7*'TR TUSD'!$AK$60</f>
        <v>0</v>
      </c>
      <c r="AL7" s="20">
        <f ca="1">SUM($AH$7:$AK$7)</f>
        <v>20.40295505880129</v>
      </c>
      <c r="AM7" s="20">
        <f ca="1">SUMIF($L$4:$AL$4,"SUBTOTAL",$L$7:$AL$7)</f>
        <v>127.12279320332399</v>
      </c>
      <c r="AP7" s="20">
        <v>1</v>
      </c>
    </row>
    <row r="8" spans="1:42" ht="11.25" customHeight="1" x14ac:dyDescent="0.3">
      <c r="A8" s="120"/>
      <c r="B8" s="120"/>
      <c r="C8" s="120"/>
      <c r="D8" s="120"/>
      <c r="E8" s="22" t="s">
        <v>80</v>
      </c>
      <c r="F8" s="22" t="s">
        <v>25</v>
      </c>
      <c r="G8" s="21" t="s">
        <v>76</v>
      </c>
      <c r="H8" s="21" t="s">
        <v>72</v>
      </c>
      <c r="I8" s="21">
        <f>'MERCADO TUSD'!$U$5</f>
        <v>0</v>
      </c>
      <c r="J8" s="17"/>
      <c r="L8" s="20">
        <f>'TR TUSD'!$L$8*'TR TUSD'!$L$60</f>
        <v>0</v>
      </c>
      <c r="M8" s="20">
        <f>'TR TUSD'!$M$8*'TR TUSD'!$M$60</f>
        <v>2.1467801709849965</v>
      </c>
      <c r="N8" s="20">
        <f ca="1">'TR TUSD'!$N$8*'TR TUSD'!$N$60</f>
        <v>0</v>
      </c>
      <c r="O8" s="20">
        <f>'TR TUSD'!$O$8*'TR TUSD'!$O$60</f>
        <v>0</v>
      </c>
      <c r="P8" s="20">
        <f>'TR TUSD'!$P$8*'TR TUSD'!$P$60</f>
        <v>0</v>
      </c>
      <c r="Q8" s="20">
        <f>'TR TUSD'!$Q$8*'TR TUSD'!$Q$60</f>
        <v>0</v>
      </c>
      <c r="R8" s="20">
        <f>'TR TUSD'!$R$8*'TR TUSD'!$R$60</f>
        <v>0</v>
      </c>
      <c r="S8" s="20">
        <f>'TR TUSD'!$S$8*'TR TUSD'!$S$60</f>
        <v>0</v>
      </c>
      <c r="T8" s="20">
        <f ca="1">SUM($L$8:$S$8)</f>
        <v>2.1467801709849965</v>
      </c>
      <c r="U8" s="20">
        <f>'TR TUSD'!$U$8*'TR TUSD'!$U$60</f>
        <v>0</v>
      </c>
      <c r="V8" s="20">
        <f>'TR TUSD'!$V$8*'TR TUSD'!$V$60</f>
        <v>0</v>
      </c>
      <c r="W8" s="20">
        <f>'TR TUSD'!$W$8*'TR TUSD'!$W$60</f>
        <v>0</v>
      </c>
      <c r="X8" s="20">
        <f>'TR TUSD'!$X$8*'TR TUSD'!$X$60</f>
        <v>0</v>
      </c>
      <c r="Y8" s="20">
        <f>'TR TUSD'!$Y$8*'TR TUSD'!$Y$60</f>
        <v>0</v>
      </c>
      <c r="Z8" s="20">
        <f>'TR TUSD'!$Z$8</f>
        <v>0</v>
      </c>
      <c r="AA8" s="20">
        <f>'TR TUSD'!$AA$8</f>
        <v>0</v>
      </c>
      <c r="AB8" s="20">
        <f>SUM($U$8:$AA$8)</f>
        <v>0</v>
      </c>
      <c r="AC8" s="20">
        <f>'TR TUSD'!$AC$8*'TR TUSD'!$AC$60</f>
        <v>0</v>
      </c>
      <c r="AD8" s="20">
        <f>SUM($AC$8:$AC$8)</f>
        <v>0</v>
      </c>
      <c r="AE8" s="20">
        <v>0</v>
      </c>
      <c r="AF8" s="20">
        <v>0</v>
      </c>
      <c r="AG8" s="20">
        <f>SUM($AE$8:$AF$8)</f>
        <v>0</v>
      </c>
      <c r="AH8" s="20">
        <f>'TR TUSD'!$AH$8*'TR TUSD'!$AH$60</f>
        <v>9.8552865722981746</v>
      </c>
      <c r="AI8" s="20">
        <f>'TR TUSD'!$AI$8*'TR TUSD'!$AI$60</f>
        <v>0</v>
      </c>
      <c r="AJ8" s="20">
        <f ca="1">'TR TUSD'!$AJ$8*'TR TUSD'!$AJ$60</f>
        <v>10.547668486503115</v>
      </c>
      <c r="AK8" s="20">
        <f ca="1">'TR TUSD'!$AK$8*'TR TUSD'!$AK$60</f>
        <v>0</v>
      </c>
      <c r="AL8" s="20">
        <f ca="1">SUM($AH$8:$AK$8)</f>
        <v>20.40295505880129</v>
      </c>
      <c r="AM8" s="20">
        <f ca="1">SUMIF($L$4:$AL$4,"SUBTOTAL",$L$8:$AL$8)</f>
        <v>22.549735229786286</v>
      </c>
      <c r="AP8" s="20">
        <v>1</v>
      </c>
    </row>
    <row r="9" spans="1:42" ht="11.25" customHeight="1" x14ac:dyDescent="0.3">
      <c r="A9" s="120"/>
      <c r="B9" s="22" t="s">
        <v>81</v>
      </c>
      <c r="C9" s="22" t="s">
        <v>25</v>
      </c>
      <c r="D9" s="22" t="s">
        <v>25</v>
      </c>
      <c r="E9" s="22" t="s">
        <v>25</v>
      </c>
      <c r="F9" s="22" t="s">
        <v>25</v>
      </c>
      <c r="G9" s="21" t="s">
        <v>9</v>
      </c>
      <c r="H9" s="21" t="s">
        <v>77</v>
      </c>
      <c r="I9" s="21">
        <f>'MERCADO TUSD'!$U$6</f>
        <v>0</v>
      </c>
      <c r="J9" s="17"/>
      <c r="L9" s="20">
        <f>'TR TUSD'!$L$9*'TR TUSD'!$L$60</f>
        <v>0</v>
      </c>
      <c r="M9" s="20">
        <f>'TR TUSD'!$M$9*'TR TUSD'!$M$60</f>
        <v>2.8912960610824587E-2</v>
      </c>
      <c r="N9" s="20">
        <f ca="1">'TR TUSD'!$N$9*'TR TUSD'!$N$60</f>
        <v>0</v>
      </c>
      <c r="O9" s="20">
        <f>'TR TUSD'!$O$9*'TR TUSD'!$O$60</f>
        <v>0</v>
      </c>
      <c r="P9" s="20">
        <f>'TR TUSD'!$P$9*'TR TUSD'!$P$60</f>
        <v>0</v>
      </c>
      <c r="Q9" s="20">
        <f>'TR TUSD'!$Q$9*'TR TUSD'!$Q$60</f>
        <v>0</v>
      </c>
      <c r="R9" s="20">
        <f>'TR TUSD'!$R$9*'TR TUSD'!$R$60</f>
        <v>0</v>
      </c>
      <c r="S9" s="20">
        <f>'TR TUSD'!$S$9*'TR TUSD'!$S$60</f>
        <v>0</v>
      </c>
      <c r="T9" s="20">
        <f ca="1">SUM($L$9:$S$9)</f>
        <v>2.8912960610824587E-2</v>
      </c>
      <c r="U9" s="20">
        <f>'TR TUSD'!$U$9*'TR TUSD'!$U$60</f>
        <v>0</v>
      </c>
      <c r="V9" s="20">
        <f>'TR TUSD'!$V$9*'TR TUSD'!$V$60</f>
        <v>0</v>
      </c>
      <c r="W9" s="20">
        <f>'TR TUSD'!$W$9*'TR TUSD'!$W$60</f>
        <v>0</v>
      </c>
      <c r="X9" s="20">
        <f>'TR TUSD'!$X$9*'TR TUSD'!$X$60</f>
        <v>0</v>
      </c>
      <c r="Y9" s="20">
        <f>'TR TUSD'!$Y$9*'TR TUSD'!$Y$60</f>
        <v>0</v>
      </c>
      <c r="Z9" s="20">
        <f>'TR TUSD'!$Z$9*'TR TUSD'!$Z$60</f>
        <v>0</v>
      </c>
      <c r="AA9" s="20">
        <f>'TR TUSD'!$AA$9*'TR TUSD'!$AA$60</f>
        <v>0</v>
      </c>
      <c r="AB9" s="20">
        <f>SUM($U$9:$AA$9)</f>
        <v>0</v>
      </c>
      <c r="AC9" s="20">
        <f>'TR TUSD'!$AC$9*'TR TUSD'!$AC$60</f>
        <v>22.768952852853953</v>
      </c>
      <c r="AD9" s="20">
        <f>SUM($AC$9:$AC$9)</f>
        <v>22.768952852853953</v>
      </c>
      <c r="AE9" s="20">
        <v>0</v>
      </c>
      <c r="AF9" s="20">
        <v>0</v>
      </c>
      <c r="AG9" s="20">
        <f>SUM($AE$9:$AF$9)</f>
        <v>0</v>
      </c>
      <c r="AH9" s="20">
        <f>'TR TUSD'!$AH$9*'TR TUSD'!$AH$60</f>
        <v>0</v>
      </c>
      <c r="AI9" s="20">
        <f>'TR TUSD'!$AI$9*'TR TUSD'!$AI$60</f>
        <v>0</v>
      </c>
      <c r="AJ9" s="20">
        <f ca="1">'TR TUSD'!$AJ$9*'TR TUSD'!$AJ$60</f>
        <v>0</v>
      </c>
      <c r="AK9" s="20">
        <f ca="1">'TR TUSD'!$AK$9*'TR TUSD'!$AK$60</f>
        <v>0</v>
      </c>
      <c r="AL9" s="20">
        <f ca="1">SUM($AH$9:$AK$9)</f>
        <v>0</v>
      </c>
      <c r="AM9" s="20">
        <f ca="1">SUMIF($L$4:$AL$4,"SUBTOTAL",$L$9:$AL$9)</f>
        <v>22.797865813464778</v>
      </c>
      <c r="AP9" s="20"/>
    </row>
    <row r="10" spans="1:42" ht="11.25" customHeight="1" x14ac:dyDescent="0.3">
      <c r="A10" s="120"/>
      <c r="B10" s="120" t="s">
        <v>38</v>
      </c>
      <c r="C10" s="120" t="s">
        <v>25</v>
      </c>
      <c r="D10" s="120" t="s">
        <v>25</v>
      </c>
      <c r="E10" s="120" t="s">
        <v>25</v>
      </c>
      <c r="F10" s="120" t="s">
        <v>25</v>
      </c>
      <c r="G10" s="21" t="s">
        <v>9</v>
      </c>
      <c r="H10" s="21" t="s">
        <v>77</v>
      </c>
      <c r="I10" s="21">
        <f>'MERCADO TUSD'!$U$7</f>
        <v>19392</v>
      </c>
      <c r="J10" s="17"/>
      <c r="L10" s="20">
        <f>'TR TUSD'!$L$10*'TR TUSD'!$L$60</f>
        <v>0</v>
      </c>
      <c r="M10" s="20">
        <f>'TR TUSD'!$M$10*'TR TUSD'!$M$60</f>
        <v>0</v>
      </c>
      <c r="N10" s="20">
        <f ca="1">'TR TUSD'!$N$10*'TR TUSD'!$N$60</f>
        <v>0</v>
      </c>
      <c r="O10" s="20">
        <f>'TR TUSD'!$O$10*'TR TUSD'!$O$60</f>
        <v>0</v>
      </c>
      <c r="P10" s="20">
        <f>'TR TUSD'!$P$10*'TR TUSD'!$P$60</f>
        <v>0</v>
      </c>
      <c r="Q10" s="20">
        <f>'TR TUSD'!$Q$10*'TR TUSD'!$Q$60</f>
        <v>0</v>
      </c>
      <c r="R10" s="20">
        <f>'TR TUSD'!$R$10*'TR TUSD'!$R$60</f>
        <v>0</v>
      </c>
      <c r="S10" s="20">
        <f>'TR TUSD'!$S$10*'TR TUSD'!$S$60</f>
        <v>0</v>
      </c>
      <c r="T10" s="20">
        <f ca="1">SUM($L$10:$S$10)</f>
        <v>0</v>
      </c>
      <c r="U10" s="20">
        <f>'TR TUSD'!$U$10*'TR TUSD'!$U$60</f>
        <v>0</v>
      </c>
      <c r="V10" s="20">
        <f>'TR TUSD'!$V$10*'TR TUSD'!$V$60</f>
        <v>0</v>
      </c>
      <c r="W10" s="20">
        <f>'TR TUSD'!$W$10*'TR TUSD'!$W$60</f>
        <v>0</v>
      </c>
      <c r="X10" s="20">
        <f>'TR TUSD'!$X$10*'TR TUSD'!$X$60</f>
        <v>0</v>
      </c>
      <c r="Y10" s="20">
        <f>'TR TUSD'!$Y$10*'TR TUSD'!$Y$60</f>
        <v>30.842310541534964</v>
      </c>
      <c r="Z10" s="20">
        <f>'TR TUSD'!$Z$10</f>
        <v>0</v>
      </c>
      <c r="AA10" s="20">
        <f>'TR TUSD'!$AA$10</f>
        <v>0</v>
      </c>
      <c r="AB10" s="20">
        <f>SUM($U$10:$AA$10)</f>
        <v>30.842310541534964</v>
      </c>
      <c r="AC10" s="20">
        <f>'TR TUSD'!$AC$10*'TR TUSD'!$AC$60</f>
        <v>52.600844902090145</v>
      </c>
      <c r="AD10" s="20">
        <f>SUM($AC$10:$AC$10)</f>
        <v>52.600844902090145</v>
      </c>
      <c r="AE10" s="20">
        <v>0</v>
      </c>
      <c r="AF10" s="20">
        <v>0</v>
      </c>
      <c r="AG10" s="20">
        <f>SUM($AE$10:$AF$10)</f>
        <v>0</v>
      </c>
      <c r="AH10" s="20">
        <f>'TR TUSD'!$AH$10*'TR TUSD'!$AH$60</f>
        <v>0</v>
      </c>
      <c r="AI10" s="20">
        <f>'TR TUSD'!$AI$10*'TR TUSD'!$AI$60</f>
        <v>0</v>
      </c>
      <c r="AJ10" s="20">
        <f ca="1">'TR TUSD'!$AJ$10*'TR TUSD'!$AJ$60</f>
        <v>0</v>
      </c>
      <c r="AK10" s="20">
        <f ca="1">'TR TUSD'!$AK$10*'TR TUSD'!$AK$60</f>
        <v>0</v>
      </c>
      <c r="AL10" s="20">
        <f ca="1">SUM($AH$10:$AK$10)</f>
        <v>0</v>
      </c>
      <c r="AM10" s="20">
        <f ca="1">SUMIF($L$4:$AL$4,"SUBTOTAL",$L$10:$AL$10)</f>
        <v>83.443155443625102</v>
      </c>
      <c r="AP10" s="20">
        <v>1</v>
      </c>
    </row>
    <row r="11" spans="1:42" ht="11.25" customHeight="1" x14ac:dyDescent="0.3">
      <c r="A11" s="120"/>
      <c r="B11" s="120"/>
      <c r="C11" s="120"/>
      <c r="D11" s="120"/>
      <c r="E11" s="120"/>
      <c r="F11" s="120"/>
      <c r="G11" s="21" t="s">
        <v>73</v>
      </c>
      <c r="H11" s="21" t="s">
        <v>72</v>
      </c>
      <c r="I11" s="21">
        <f>'MERCADO TUSD'!$U$8</f>
        <v>47.495999999999995</v>
      </c>
      <c r="J11" s="17"/>
      <c r="L11" s="20">
        <f>'TR TUSD'!$L$11*'TR TUSD'!$L$60</f>
        <v>11.725375834933466</v>
      </c>
      <c r="M11" s="20">
        <f>'TR TUSD'!$M$11*'TR TUSD'!$M$60</f>
        <v>2.1467801709849965</v>
      </c>
      <c r="N11" s="20">
        <f ca="1">'TR TUSD'!$N$11*'TR TUSD'!$N$60</f>
        <v>0</v>
      </c>
      <c r="O11" s="20">
        <f>'TR TUSD'!$O$11*'TR TUSD'!$O$60</f>
        <v>0</v>
      </c>
      <c r="P11" s="20">
        <f>'TR TUSD'!$P$11*'TR TUSD'!$P$60</f>
        <v>0</v>
      </c>
      <c r="Q11" s="20">
        <f>'TR TUSD'!$Q$11*'TR TUSD'!$Q$60</f>
        <v>77.559122561238098</v>
      </c>
      <c r="R11" s="20">
        <f>'TR TUSD'!$R$11*'TR TUSD'!$R$60</f>
        <v>15.288559577366142</v>
      </c>
      <c r="S11" s="20">
        <f>'TR TUSD'!$S$11*'TR TUSD'!$S$60</f>
        <v>0</v>
      </c>
      <c r="T11" s="20">
        <f ca="1">SUM($L$11:$S$11)</f>
        <v>106.71983814452271</v>
      </c>
      <c r="U11" s="20">
        <f>'TR TUSD'!$U$11*'TR TUSD'!$U$60</f>
        <v>0</v>
      </c>
      <c r="V11" s="20">
        <f>'TR TUSD'!$V$11*'TR TUSD'!$V$60</f>
        <v>0</v>
      </c>
      <c r="W11" s="20">
        <f>'TR TUSD'!$W$11*'TR TUSD'!$W$60</f>
        <v>0</v>
      </c>
      <c r="X11" s="20">
        <f>'TR TUSD'!$X$11*'TR TUSD'!$X$60</f>
        <v>0</v>
      </c>
      <c r="Y11" s="20">
        <f>'TR TUSD'!$Y$11*'TR TUSD'!$Y$60</f>
        <v>1366.400237224484</v>
      </c>
      <c r="Z11" s="20">
        <f>'TR TUSD'!$Z$11</f>
        <v>0</v>
      </c>
      <c r="AA11" s="20">
        <f>'TR TUSD'!$AA$11</f>
        <v>0</v>
      </c>
      <c r="AB11" s="20">
        <f>SUM($U$11:$AA$11)</f>
        <v>1366.400237224484</v>
      </c>
      <c r="AC11" s="20">
        <f>'TR TUSD'!$AC$11*'TR TUSD'!$AC$60</f>
        <v>3965.6360029139</v>
      </c>
      <c r="AD11" s="20">
        <f>SUM($AC$11:$AC$11)</f>
        <v>3965.6360029139</v>
      </c>
      <c r="AE11" s="20">
        <v>0</v>
      </c>
      <c r="AF11" s="20">
        <v>0</v>
      </c>
      <c r="AG11" s="20">
        <f>SUM($AE$11:$AF$11)</f>
        <v>0</v>
      </c>
      <c r="AH11" s="20">
        <f>'TR TUSD'!$AH$11*'TR TUSD'!$AH$60</f>
        <v>9.8552865722981746</v>
      </c>
      <c r="AI11" s="20">
        <f>'TR TUSD'!$AI$11*'TR TUSD'!$AI$60</f>
        <v>0</v>
      </c>
      <c r="AJ11" s="20">
        <f ca="1">'TR TUSD'!$AJ$11*'TR TUSD'!$AJ$60</f>
        <v>10.547668486503115</v>
      </c>
      <c r="AK11" s="20">
        <f ca="1">'TR TUSD'!$AK$11*'TR TUSD'!$AK$60</f>
        <v>0</v>
      </c>
      <c r="AL11" s="20">
        <f ca="1">SUM($AH$11:$AK$11)</f>
        <v>20.40295505880129</v>
      </c>
      <c r="AM11" s="20">
        <f ca="1">SUMIF($L$4:$AL$4,"SUBTOTAL",$L$11:$AL$11)</f>
        <v>5459.159033341708</v>
      </c>
      <c r="AP11" s="20">
        <v>1</v>
      </c>
    </row>
    <row r="12" spans="1:42" ht="11.25" customHeight="1" x14ac:dyDescent="0.3">
      <c r="A12" s="120"/>
      <c r="B12" s="120"/>
      <c r="C12" s="120"/>
      <c r="D12" s="120"/>
      <c r="E12" s="120"/>
      <c r="F12" s="120"/>
      <c r="G12" s="21" t="s">
        <v>74</v>
      </c>
      <c r="H12" s="21" t="s">
        <v>72</v>
      </c>
      <c r="I12" s="21">
        <f>'MERCADO TUSD'!$U$9</f>
        <v>2868.4139999999998</v>
      </c>
      <c r="J12" s="17"/>
      <c r="L12" s="20">
        <f>'TR TUSD'!$L$12*'TR TUSD'!$L$60</f>
        <v>11.725375834933466</v>
      </c>
      <c r="M12" s="20">
        <f>'TR TUSD'!$M$12*'TR TUSD'!$M$60</f>
        <v>2.1467801709849965</v>
      </c>
      <c r="N12" s="20">
        <f ca="1">'TR TUSD'!$N$12*'TR TUSD'!$N$60</f>
        <v>0</v>
      </c>
      <c r="O12" s="20">
        <f>'TR TUSD'!$O$12*'TR TUSD'!$O$60</f>
        <v>0</v>
      </c>
      <c r="P12" s="20">
        <f>'TR TUSD'!$P$12*'TR TUSD'!$P$60</f>
        <v>0</v>
      </c>
      <c r="Q12" s="20">
        <f>'TR TUSD'!$Q$12*'TR TUSD'!$Q$60</f>
        <v>77.559122561238098</v>
      </c>
      <c r="R12" s="20">
        <f>'TR TUSD'!$R$12*'TR TUSD'!$R$60</f>
        <v>15.288559577366142</v>
      </c>
      <c r="S12" s="20">
        <f>'TR TUSD'!$S$12*'TR TUSD'!$S$60</f>
        <v>0</v>
      </c>
      <c r="T12" s="20">
        <f ca="1">SUM($L$12:$S$12)</f>
        <v>106.71983814452271</v>
      </c>
      <c r="U12" s="20">
        <f>'TR TUSD'!$U$12*'TR TUSD'!$U$60</f>
        <v>0</v>
      </c>
      <c r="V12" s="20">
        <f>'TR TUSD'!$V$12*'TR TUSD'!$V$60</f>
        <v>0</v>
      </c>
      <c r="W12" s="20">
        <f>'TR TUSD'!$W$12*'TR TUSD'!$W$60</f>
        <v>0</v>
      </c>
      <c r="X12" s="20">
        <f>'TR TUSD'!$X$12*'TR TUSD'!$X$60</f>
        <v>0</v>
      </c>
      <c r="Y12" s="20">
        <f>'TR TUSD'!$Y$12*'TR TUSD'!$Y$60</f>
        <v>0</v>
      </c>
      <c r="Z12" s="20">
        <f>'TR TUSD'!$Z$12</f>
        <v>0</v>
      </c>
      <c r="AA12" s="20">
        <f>'TR TUSD'!$AA$12</f>
        <v>0</v>
      </c>
      <c r="AB12" s="20">
        <f>SUM($U$12:$AA$12)</f>
        <v>0</v>
      </c>
      <c r="AC12" s="20">
        <f>'TR TUSD'!$AC$12*'TR TUSD'!$AC$60</f>
        <v>0</v>
      </c>
      <c r="AD12" s="20">
        <f>SUM($AC$12:$AC$12)</f>
        <v>0</v>
      </c>
      <c r="AE12" s="20">
        <v>0</v>
      </c>
      <c r="AF12" s="20">
        <v>0</v>
      </c>
      <c r="AG12" s="20">
        <f>SUM($AE$12:$AF$12)</f>
        <v>0</v>
      </c>
      <c r="AH12" s="20">
        <f>'TR TUSD'!$AH$12*'TR TUSD'!$AH$60</f>
        <v>9.8552865722981746</v>
      </c>
      <c r="AI12" s="20">
        <f>'TR TUSD'!$AI$12*'TR TUSD'!$AI$60</f>
        <v>0</v>
      </c>
      <c r="AJ12" s="20">
        <f ca="1">'TR TUSD'!$AJ$12*'TR TUSD'!$AJ$60</f>
        <v>10.547668486503115</v>
      </c>
      <c r="AK12" s="20">
        <f ca="1">'TR TUSD'!$AK$12*'TR TUSD'!$AK$60</f>
        <v>0</v>
      </c>
      <c r="AL12" s="20">
        <f ca="1">SUM($AH$12:$AK$12)</f>
        <v>20.40295505880129</v>
      </c>
      <c r="AM12" s="20">
        <f ca="1">SUMIF($L$4:$AL$4,"SUBTOTAL",$L$12:$AL$12)</f>
        <v>127.12279320332399</v>
      </c>
      <c r="AP12" s="20">
        <v>1</v>
      </c>
    </row>
    <row r="13" spans="1:42" ht="11.25" customHeight="1" x14ac:dyDescent="0.3">
      <c r="A13" s="120"/>
      <c r="B13" s="120"/>
      <c r="C13" s="120"/>
      <c r="D13" s="120"/>
      <c r="E13" s="120" t="s">
        <v>80</v>
      </c>
      <c r="F13" s="120" t="s">
        <v>25</v>
      </c>
      <c r="G13" s="21" t="s">
        <v>73</v>
      </c>
      <c r="H13" s="21" t="s">
        <v>72</v>
      </c>
      <c r="I13" s="21">
        <f>'MERCADO TUSD'!$U$10</f>
        <v>0</v>
      </c>
      <c r="J13" s="17"/>
      <c r="L13" s="20">
        <f>'TR TUSD'!$L$13*'TR TUSD'!$L$60</f>
        <v>0</v>
      </c>
      <c r="M13" s="20">
        <f>'TR TUSD'!$M$13*'TR TUSD'!$M$60</f>
        <v>2.1467801709849965</v>
      </c>
      <c r="N13" s="20">
        <f ca="1">'TR TUSD'!$N$13*'TR TUSD'!$N$60</f>
        <v>0</v>
      </c>
      <c r="O13" s="20">
        <f>'TR TUSD'!$O$13*'TR TUSD'!$O$60</f>
        <v>0</v>
      </c>
      <c r="P13" s="20">
        <f>'TR TUSD'!$P$13*'TR TUSD'!$P$60</f>
        <v>0</v>
      </c>
      <c r="Q13" s="20">
        <f>'TR TUSD'!$Q$13*'TR TUSD'!$Q$60</f>
        <v>0</v>
      </c>
      <c r="R13" s="20">
        <f>'TR TUSD'!$R$13*'TR TUSD'!$R$60</f>
        <v>0</v>
      </c>
      <c r="S13" s="20">
        <f>'TR TUSD'!$S$13*'TR TUSD'!$S$60</f>
        <v>0</v>
      </c>
      <c r="T13" s="20">
        <f ca="1">SUM($L$13:$S$13)</f>
        <v>2.1467801709849965</v>
      </c>
      <c r="U13" s="20">
        <f>'TR TUSD'!$U$13*'TR TUSD'!$U$60</f>
        <v>0</v>
      </c>
      <c r="V13" s="20">
        <f>'TR TUSD'!$V$13*'TR TUSD'!$V$60</f>
        <v>0</v>
      </c>
      <c r="W13" s="20">
        <f>'TR TUSD'!$W$13*'TR TUSD'!$W$60</f>
        <v>0</v>
      </c>
      <c r="X13" s="20">
        <f>'TR TUSD'!$X$13*'TR TUSD'!$X$60</f>
        <v>0</v>
      </c>
      <c r="Y13" s="20">
        <f>'TR TUSD'!$Y$13*'TR TUSD'!$Y$60</f>
        <v>1366.400237224484</v>
      </c>
      <c r="Z13" s="20">
        <f>'TR TUSD'!$Z$13</f>
        <v>0</v>
      </c>
      <c r="AA13" s="20">
        <f>'TR TUSD'!$AA$13</f>
        <v>0</v>
      </c>
      <c r="AB13" s="20">
        <f>SUM($U$13:$AA$13)</f>
        <v>1366.400237224484</v>
      </c>
      <c r="AC13" s="20">
        <f>'TR TUSD'!$AC$13*'TR TUSD'!$AC$60</f>
        <v>3965.6360029139</v>
      </c>
      <c r="AD13" s="20">
        <f>SUM($AC$13:$AC$13)</f>
        <v>3965.6360029139</v>
      </c>
      <c r="AE13" s="20">
        <v>0</v>
      </c>
      <c r="AF13" s="20">
        <v>0</v>
      </c>
      <c r="AG13" s="20">
        <f>SUM($AE$13:$AF$13)</f>
        <v>0</v>
      </c>
      <c r="AH13" s="20">
        <f>'TR TUSD'!$AH$13*'TR TUSD'!$AH$60</f>
        <v>9.8552865722981746</v>
      </c>
      <c r="AI13" s="20">
        <f>'TR TUSD'!$AI$13*'TR TUSD'!$AI$60</f>
        <v>0</v>
      </c>
      <c r="AJ13" s="20">
        <f ca="1">'TR TUSD'!$AJ$13*'TR TUSD'!$AJ$60</f>
        <v>10.547668486503115</v>
      </c>
      <c r="AK13" s="20">
        <f ca="1">'TR TUSD'!$AK$13*'TR TUSD'!$AK$60</f>
        <v>0</v>
      </c>
      <c r="AL13" s="20">
        <f ca="1">SUM($AH$13:$AK$13)</f>
        <v>20.40295505880129</v>
      </c>
      <c r="AM13" s="20">
        <f ca="1">SUMIF($L$4:$AL$4,"SUBTOTAL",$L$13:$AL$13)</f>
        <v>5354.5859753681698</v>
      </c>
      <c r="AP13" s="20">
        <v>1</v>
      </c>
    </row>
    <row r="14" spans="1:42" ht="11.25" customHeight="1" x14ac:dyDescent="0.3">
      <c r="A14" s="120"/>
      <c r="B14" s="120"/>
      <c r="C14" s="120"/>
      <c r="D14" s="120"/>
      <c r="E14" s="120"/>
      <c r="F14" s="120"/>
      <c r="G14" s="21" t="s">
        <v>74</v>
      </c>
      <c r="H14" s="21" t="s">
        <v>72</v>
      </c>
      <c r="I14" s="21">
        <f>'MERCADO TUSD'!$U$11</f>
        <v>0</v>
      </c>
      <c r="J14" s="17"/>
      <c r="L14" s="20">
        <f>'TR TUSD'!$L$14*'TR TUSD'!$L$60</f>
        <v>0</v>
      </c>
      <c r="M14" s="20">
        <f>'TR TUSD'!$M$14*'TR TUSD'!$M$60</f>
        <v>2.1467801709849965</v>
      </c>
      <c r="N14" s="20">
        <f ca="1">'TR TUSD'!$N$14*'TR TUSD'!$N$60</f>
        <v>0</v>
      </c>
      <c r="O14" s="20">
        <f>'TR TUSD'!$O$14*'TR TUSD'!$O$60</f>
        <v>0</v>
      </c>
      <c r="P14" s="20">
        <f>'TR TUSD'!$P$14*'TR TUSD'!$P$60</f>
        <v>0</v>
      </c>
      <c r="Q14" s="20">
        <f>'TR TUSD'!$Q$14*'TR TUSD'!$Q$60</f>
        <v>0</v>
      </c>
      <c r="R14" s="20">
        <f>'TR TUSD'!$R$14*'TR TUSD'!$R$60</f>
        <v>0</v>
      </c>
      <c r="S14" s="20">
        <f>'TR TUSD'!$S$14*'TR TUSD'!$S$60</f>
        <v>0</v>
      </c>
      <c r="T14" s="20">
        <f ca="1">SUM($L$14:$S$14)</f>
        <v>2.1467801709849965</v>
      </c>
      <c r="U14" s="20">
        <f>'TR TUSD'!$U$14*'TR TUSD'!$U$60</f>
        <v>0</v>
      </c>
      <c r="V14" s="20">
        <f>'TR TUSD'!$V$14*'TR TUSD'!$V$60</f>
        <v>0</v>
      </c>
      <c r="W14" s="20">
        <f>'TR TUSD'!$W$14*'TR TUSD'!$W$60</f>
        <v>0</v>
      </c>
      <c r="X14" s="20">
        <f>'TR TUSD'!$X$14*'TR TUSD'!$X$60</f>
        <v>0</v>
      </c>
      <c r="Y14" s="20">
        <f>'TR TUSD'!$Y$14*'TR TUSD'!$Y$60</f>
        <v>0</v>
      </c>
      <c r="Z14" s="20">
        <f>'TR TUSD'!$Z$14</f>
        <v>0</v>
      </c>
      <c r="AA14" s="20">
        <f>'TR TUSD'!$AA$14</f>
        <v>0</v>
      </c>
      <c r="AB14" s="20">
        <f>SUM($U$14:$AA$14)</f>
        <v>0</v>
      </c>
      <c r="AC14" s="20">
        <f>'TR TUSD'!$AC$14*'TR TUSD'!$AC$60</f>
        <v>0</v>
      </c>
      <c r="AD14" s="20">
        <f>SUM($AC$14:$AC$14)</f>
        <v>0</v>
      </c>
      <c r="AE14" s="20">
        <v>0</v>
      </c>
      <c r="AF14" s="20">
        <v>0</v>
      </c>
      <c r="AG14" s="20">
        <f>SUM($AE$14:$AF$14)</f>
        <v>0</v>
      </c>
      <c r="AH14" s="20">
        <f>'TR TUSD'!$AH$14*'TR TUSD'!$AH$60</f>
        <v>9.8552865722981746</v>
      </c>
      <c r="AI14" s="20">
        <f>'TR TUSD'!$AI$14*'TR TUSD'!$AI$60</f>
        <v>0</v>
      </c>
      <c r="AJ14" s="20">
        <f ca="1">'TR TUSD'!$AJ$14*'TR TUSD'!$AJ$60</f>
        <v>10.547668486503115</v>
      </c>
      <c r="AK14" s="20">
        <f ca="1">'TR TUSD'!$AK$14*'TR TUSD'!$AK$60</f>
        <v>0</v>
      </c>
      <c r="AL14" s="20">
        <f ca="1">SUM($AH$14:$AK$14)</f>
        <v>20.40295505880129</v>
      </c>
      <c r="AM14" s="20">
        <f ca="1">SUMIF($L$4:$AL$4,"SUBTOTAL",$L$14:$AL$14)</f>
        <v>22.549735229786286</v>
      </c>
      <c r="AP14" s="20">
        <v>1</v>
      </c>
    </row>
    <row r="15" spans="1:42" ht="11.25" customHeight="1" x14ac:dyDescent="0.3">
      <c r="A15" s="120" t="s">
        <v>82</v>
      </c>
      <c r="B15" s="120" t="s">
        <v>81</v>
      </c>
      <c r="C15" s="120" t="s">
        <v>25</v>
      </c>
      <c r="D15" s="120" t="s">
        <v>25</v>
      </c>
      <c r="E15" s="22" t="s">
        <v>83</v>
      </c>
      <c r="F15" s="22" t="s">
        <v>25</v>
      </c>
      <c r="G15" s="21" t="s">
        <v>9</v>
      </c>
      <c r="H15" s="21" t="s">
        <v>77</v>
      </c>
      <c r="I15" s="21">
        <f>'MERCADO TUSD'!$U$12+0.00000001</f>
        <v>1E-8</v>
      </c>
      <c r="J15" s="17"/>
      <c r="L15" s="20">
        <f>'TR TUSD'!$L$15*'TR TUSD'!$L$60</f>
        <v>0</v>
      </c>
      <c r="M15" s="20">
        <f>'TR TUSD'!$M$15*'TR TUSD'!$M$60</f>
        <v>1.1521706108072956E-2</v>
      </c>
      <c r="N15" s="20">
        <f ca="1">'TR TUSD'!$N$15*'TR TUSD'!$N$60</f>
        <v>0</v>
      </c>
      <c r="O15" s="20">
        <f>'TR TUSD'!$O$15*'TR TUSD'!$O$60</f>
        <v>0</v>
      </c>
      <c r="P15" s="20">
        <f>'TR TUSD'!$P$15*'TR TUSD'!$P$60</f>
        <v>0</v>
      </c>
      <c r="Q15" s="20">
        <f>'TR TUSD'!$Q$15*'TR TUSD'!$Q$60</f>
        <v>0</v>
      </c>
      <c r="R15" s="20">
        <f>'TR TUSD'!$R$15*'TR TUSD'!$R$60</f>
        <v>0</v>
      </c>
      <c r="S15" s="20">
        <f>'TR TUSD'!$S$15*'TR TUSD'!$S$60</f>
        <v>0</v>
      </c>
      <c r="T15" s="20">
        <f ca="1">SUM($L$15:$S$15)</f>
        <v>1.1521706108072956E-2</v>
      </c>
      <c r="U15" s="20">
        <f>'TR TUSD'!$U$15*'TR TUSD'!$U$60</f>
        <v>0</v>
      </c>
      <c r="V15" s="20">
        <f>'TR TUSD'!$V$15*'TR TUSD'!$V$60</f>
        <v>0</v>
      </c>
      <c r="W15" s="20">
        <f>'TR TUSD'!$W$15*'TR TUSD'!$W$60</f>
        <v>0</v>
      </c>
      <c r="X15" s="20">
        <f>'TR TUSD'!$X$15*'TR TUSD'!$X$60</f>
        <v>0</v>
      </c>
      <c r="Y15" s="20">
        <f>'TR TUSD'!$Y$15*'TR TUSD'!$Y$60</f>
        <v>0</v>
      </c>
      <c r="Z15" s="20">
        <f>'TR TUSD'!$Z$15*'TR TUSD'!$Z$60</f>
        <v>0</v>
      </c>
      <c r="AA15" s="20">
        <f>'TR TUSD'!$AA$15*'TR TUSD'!$AA$60</f>
        <v>0</v>
      </c>
      <c r="AB15" s="20">
        <f>SUM($U$15:$AA$15)</f>
        <v>0</v>
      </c>
      <c r="AC15" s="20">
        <f>'TR TUSD'!$AC$15*'TR TUSD'!$AC$60</f>
        <v>8.9827195784797649</v>
      </c>
      <c r="AD15" s="20">
        <f>SUM($AC$15:$AC$15)</f>
        <v>8.9827195784797649</v>
      </c>
      <c r="AE15" s="20">
        <v>0</v>
      </c>
      <c r="AF15" s="20">
        <v>0</v>
      </c>
      <c r="AG15" s="20">
        <f>SUM($AE$15:$AF$15)</f>
        <v>0</v>
      </c>
      <c r="AH15" s="20">
        <f>'TR TUSD'!$AH$15*'TR TUSD'!$AH$60</f>
        <v>0</v>
      </c>
      <c r="AI15" s="20">
        <f>'TR TUSD'!$AI$15*'TR TUSD'!$AI$60</f>
        <v>0</v>
      </c>
      <c r="AJ15" s="20">
        <f ca="1">'TR TUSD'!$AJ$15*'TR TUSD'!$AJ$60</f>
        <v>0</v>
      </c>
      <c r="AK15" s="20">
        <f ca="1">'TR TUSD'!$AK$15*'TR TUSD'!$AK$60</f>
        <v>0</v>
      </c>
      <c r="AL15" s="20">
        <f ca="1">SUM($AH$15:$AK$15)</f>
        <v>0</v>
      </c>
      <c r="AM15" s="20">
        <f ca="1">SUMIF($L$4:$AL$4,"SUBTOTAL",$L$15:$AL$15)</f>
        <v>8.9942412845878383</v>
      </c>
      <c r="AP15" s="20"/>
    </row>
    <row r="16" spans="1:42" ht="11.25" customHeight="1" x14ac:dyDescent="0.3">
      <c r="A16" s="120"/>
      <c r="B16" s="120"/>
      <c r="C16" s="120"/>
      <c r="D16" s="120"/>
      <c r="E16" s="22" t="s">
        <v>84</v>
      </c>
      <c r="F16" s="22" t="s">
        <v>25</v>
      </c>
      <c r="G16" s="21" t="s">
        <v>9</v>
      </c>
      <c r="H16" s="21" t="s">
        <v>77</v>
      </c>
      <c r="I16" s="21">
        <f>'MERCADO TUSD'!$U$13+0.00000001</f>
        <v>1E-8</v>
      </c>
      <c r="J16" s="17"/>
      <c r="L16" s="20">
        <f>'TR TUSD'!$L$16*'TR TUSD'!$L$60</f>
        <v>0</v>
      </c>
      <c r="M16" s="20">
        <f>'TR TUSD'!$M$16*'TR TUSD'!$M$60</f>
        <v>1.1521706108072956E-2</v>
      </c>
      <c r="N16" s="20">
        <f ca="1">'TR TUSD'!$N$16*'TR TUSD'!$N$60</f>
        <v>0</v>
      </c>
      <c r="O16" s="20">
        <f>'TR TUSD'!$O$16*'TR TUSD'!$O$60</f>
        <v>0</v>
      </c>
      <c r="P16" s="20">
        <f>'TR TUSD'!$P$16*'TR TUSD'!$P$60</f>
        <v>0</v>
      </c>
      <c r="Q16" s="20">
        <f>'TR TUSD'!$Q$16*'TR TUSD'!$Q$60</f>
        <v>0</v>
      </c>
      <c r="R16" s="20">
        <f>'TR TUSD'!$R$16*'TR TUSD'!$R$60</f>
        <v>0</v>
      </c>
      <c r="S16" s="20">
        <f>'TR TUSD'!$S$16*'TR TUSD'!$S$60</f>
        <v>0</v>
      </c>
      <c r="T16" s="20">
        <f ca="1">SUM($L$16:$S$16)</f>
        <v>1.1521706108072956E-2</v>
      </c>
      <c r="U16" s="20">
        <f>'TR TUSD'!$U$16*'TR TUSD'!$U$60</f>
        <v>0</v>
      </c>
      <c r="V16" s="20">
        <f>'TR TUSD'!$V$16*'TR TUSD'!$V$60</f>
        <v>0</v>
      </c>
      <c r="W16" s="20">
        <f>'TR TUSD'!$W$16*'TR TUSD'!$W$60</f>
        <v>0</v>
      </c>
      <c r="X16" s="20">
        <f>'TR TUSD'!$X$16*'TR TUSD'!$X$60</f>
        <v>0</v>
      </c>
      <c r="Y16" s="20">
        <f>'TR TUSD'!$Y$16*'TR TUSD'!$Y$60</f>
        <v>0</v>
      </c>
      <c r="Z16" s="20">
        <f>'TR TUSD'!$Z$16*'TR TUSD'!$Z$60</f>
        <v>0</v>
      </c>
      <c r="AA16" s="20">
        <f>'TR TUSD'!$AA$16*'TR TUSD'!$AA$60</f>
        <v>0</v>
      </c>
      <c r="AB16" s="20">
        <f>SUM($U$16:$AA$16)</f>
        <v>0</v>
      </c>
      <c r="AC16" s="20">
        <f>'TR TUSD'!$AC$16*'TR TUSD'!$AC$60</f>
        <v>28.951360725562505</v>
      </c>
      <c r="AD16" s="20">
        <f>SUM($AC$16:$AC$16)</f>
        <v>28.951360725562505</v>
      </c>
      <c r="AE16" s="20">
        <v>0</v>
      </c>
      <c r="AF16" s="20">
        <v>0</v>
      </c>
      <c r="AG16" s="20">
        <f>SUM($AE$16:$AF$16)</f>
        <v>0</v>
      </c>
      <c r="AH16" s="20">
        <f>'TR TUSD'!$AH$16*'TR TUSD'!$AH$60</f>
        <v>0</v>
      </c>
      <c r="AI16" s="20">
        <f>'TR TUSD'!$AI$16*'TR TUSD'!$AI$60</f>
        <v>0</v>
      </c>
      <c r="AJ16" s="20">
        <f ca="1">'TR TUSD'!$AJ$16*'TR TUSD'!$AJ$60</f>
        <v>0</v>
      </c>
      <c r="AK16" s="20">
        <f ca="1">'TR TUSD'!$AK$16*'TR TUSD'!$AK$60</f>
        <v>0</v>
      </c>
      <c r="AL16" s="20">
        <f ca="1">SUM($AH$16:$AK$16)</f>
        <v>0</v>
      </c>
      <c r="AM16" s="20">
        <f ca="1">SUMIF($L$4:$AL$4,"SUBTOTAL",$L$16:$AL$16)</f>
        <v>28.962882431670579</v>
      </c>
      <c r="AP16" s="20"/>
    </row>
    <row r="17" spans="1:42" ht="11.25" customHeight="1" x14ac:dyDescent="0.3">
      <c r="A17" s="120" t="s">
        <v>22</v>
      </c>
      <c r="B17" s="120" t="s">
        <v>33</v>
      </c>
      <c r="C17" s="120" t="s">
        <v>24</v>
      </c>
      <c r="D17" s="120" t="s">
        <v>24</v>
      </c>
      <c r="E17" s="120" t="s">
        <v>25</v>
      </c>
      <c r="F17" s="120" t="s">
        <v>25</v>
      </c>
      <c r="G17" s="21" t="s">
        <v>73</v>
      </c>
      <c r="H17" s="21" t="s">
        <v>72</v>
      </c>
      <c r="I17" s="21">
        <f>'MERCADO TUSD'!$U$14</f>
        <v>3.1E-2</v>
      </c>
      <c r="J17" s="17"/>
      <c r="L17" s="20">
        <f>'TR TUSD'!$L$17*'TR TUSD'!$L$60</f>
        <v>13.958780755873175</v>
      </c>
      <c r="M17" s="20">
        <f>'TR TUSD'!$M$17*'TR TUSD'!$M$60</f>
        <v>3.3006479642200062</v>
      </c>
      <c r="N17" s="20">
        <f ca="1">'TR TUSD'!$N$17*'TR TUSD'!$N$60</f>
        <v>0</v>
      </c>
      <c r="O17" s="20">
        <f>'TR TUSD'!$O$17*'TR TUSD'!$O$60</f>
        <v>0</v>
      </c>
      <c r="P17" s="20">
        <f>'TR TUSD'!$P$17*'TR TUSD'!$P$60</f>
        <v>0</v>
      </c>
      <c r="Q17" s="20">
        <f>'TR TUSD'!$Q$17*'TR TUSD'!$Q$60</f>
        <v>92.332288763378685</v>
      </c>
      <c r="R17" s="20">
        <f>'TR TUSD'!$R$17*'TR TUSD'!$R$60</f>
        <v>15.288559577366142</v>
      </c>
      <c r="S17" s="20">
        <f>'TR TUSD'!$S$17*'TR TUSD'!$S$60</f>
        <v>0</v>
      </c>
      <c r="T17" s="20">
        <f ca="1">SUM($L$17:$S$17)</f>
        <v>124.88027706083801</v>
      </c>
      <c r="U17" s="20">
        <f>'TR TUSD'!$U$17*'TR TUSD'!$U$60</f>
        <v>0</v>
      </c>
      <c r="V17" s="20">
        <f>'TR TUSD'!$V$17*'TR TUSD'!$V$60</f>
        <v>0</v>
      </c>
      <c r="W17" s="20">
        <f>'TR TUSD'!$W$17*'TR TUSD'!$W$60</f>
        <v>0</v>
      </c>
      <c r="X17" s="20">
        <f>'TR TUSD'!$X$17*'TR TUSD'!$X$60</f>
        <v>0</v>
      </c>
      <c r="Y17" s="20">
        <f>'TR TUSD'!$Y$17*'TR TUSD'!$Y$60</f>
        <v>571.86734012245893</v>
      </c>
      <c r="Z17" s="20">
        <f>'TR TUSD'!$Z$17</f>
        <v>0</v>
      </c>
      <c r="AA17" s="20">
        <f>'TR TUSD'!$AA$17</f>
        <v>0</v>
      </c>
      <c r="AB17" s="20">
        <f>SUM($U$17:$AA$17)</f>
        <v>571.86734012245893</v>
      </c>
      <c r="AC17" s="20">
        <f>'TR TUSD'!$AC$17*'TR TUSD'!$AC$60</f>
        <v>1823.1025930276878</v>
      </c>
      <c r="AD17" s="20">
        <f>SUM($AC$17:$AC$17)</f>
        <v>1823.1025930276878</v>
      </c>
      <c r="AE17" s="20">
        <v>0</v>
      </c>
      <c r="AF17" s="20">
        <v>0</v>
      </c>
      <c r="AG17" s="20">
        <f>SUM($AE$17:$AF$17)</f>
        <v>0</v>
      </c>
      <c r="AH17" s="20">
        <f>'TR TUSD'!$AH$17*'TR TUSD'!$AH$60</f>
        <v>23.126819745398471</v>
      </c>
      <c r="AI17" s="20">
        <f>'TR TUSD'!$AI$17*'TR TUSD'!$AI$60</f>
        <v>0</v>
      </c>
      <c r="AJ17" s="20">
        <f ca="1">'TR TUSD'!$AJ$17*'TR TUSD'!$AJ$60</f>
        <v>12.615223981329457</v>
      </c>
      <c r="AK17" s="20">
        <f ca="1">'TR TUSD'!$AK$17*'TR TUSD'!$AK$60</f>
        <v>0</v>
      </c>
      <c r="AL17" s="20">
        <f ca="1">SUM($AH$17:$AK$17)</f>
        <v>35.742043726727928</v>
      </c>
      <c r="AM17" s="20">
        <f ca="1">SUMIF($L$4:$AL$4,"SUBTOTAL",$L$17:$AL$17)</f>
        <v>2555.5922539377125</v>
      </c>
      <c r="AP17" s="20">
        <v>1</v>
      </c>
    </row>
    <row r="18" spans="1:42" ht="11.25" customHeight="1" x14ac:dyDescent="0.3">
      <c r="A18" s="120"/>
      <c r="B18" s="120"/>
      <c r="C18" s="120"/>
      <c r="D18" s="120"/>
      <c r="E18" s="120"/>
      <c r="F18" s="120"/>
      <c r="G18" s="21" t="s">
        <v>85</v>
      </c>
      <c r="H18" s="21" t="s">
        <v>72</v>
      </c>
      <c r="I18" s="21">
        <f>'MERCADO TUSD'!$U$15</f>
        <v>0</v>
      </c>
      <c r="J18" s="17"/>
      <c r="L18" s="20">
        <f>'TR TUSD'!$L$18*'TR TUSD'!$L$60</f>
        <v>13.958780755873175</v>
      </c>
      <c r="M18" s="20">
        <f>'TR TUSD'!$M$18*'TR TUSD'!$M$60</f>
        <v>3.3006479642200062</v>
      </c>
      <c r="N18" s="20">
        <f ca="1">'TR TUSD'!$N$18*'TR TUSD'!$N$60</f>
        <v>0</v>
      </c>
      <c r="O18" s="20">
        <f>'TR TUSD'!$O$18*'TR TUSD'!$O$60</f>
        <v>0</v>
      </c>
      <c r="P18" s="20">
        <f>'TR TUSD'!$P$18*'TR TUSD'!$P$60</f>
        <v>0</v>
      </c>
      <c r="Q18" s="20">
        <f>'TR TUSD'!$Q$18*'TR TUSD'!$Q$60</f>
        <v>92.332288763378685</v>
      </c>
      <c r="R18" s="20">
        <f>'TR TUSD'!$R$18*'TR TUSD'!$R$60</f>
        <v>15.288559577366142</v>
      </c>
      <c r="S18" s="20">
        <f>'TR TUSD'!$S$18*'TR TUSD'!$S$60</f>
        <v>0</v>
      </c>
      <c r="T18" s="20">
        <f ca="1">SUM($L$18:$S$18)</f>
        <v>124.88027706083801</v>
      </c>
      <c r="U18" s="20">
        <f>'TR TUSD'!$U$18*'TR TUSD'!$U$60</f>
        <v>0</v>
      </c>
      <c r="V18" s="20">
        <f>'TR TUSD'!$V$18*'TR TUSD'!$V$60</f>
        <v>0</v>
      </c>
      <c r="W18" s="20">
        <f>'TR TUSD'!$W$18*'TR TUSD'!$W$60</f>
        <v>0</v>
      </c>
      <c r="X18" s="20">
        <f>'TR TUSD'!$X$18*'TR TUSD'!$X$60</f>
        <v>0</v>
      </c>
      <c r="Y18" s="20">
        <f>'TR TUSD'!$Y$18*'TR TUSD'!$Y$60</f>
        <v>343.12040407347536</v>
      </c>
      <c r="Z18" s="20">
        <f>'TR TUSD'!$Z$18</f>
        <v>0</v>
      </c>
      <c r="AA18" s="20">
        <f>'TR TUSD'!$AA$18</f>
        <v>0</v>
      </c>
      <c r="AB18" s="20">
        <f>SUM($U$18:$AA$18)</f>
        <v>343.12040407347536</v>
      </c>
      <c r="AC18" s="20">
        <f>'TR TUSD'!$AC$18*'TR TUSD'!$AC$60</f>
        <v>1093.8617724961141</v>
      </c>
      <c r="AD18" s="20">
        <f>SUM($AC$18:$AC$18)</f>
        <v>1093.8617724961141</v>
      </c>
      <c r="AE18" s="20">
        <v>0</v>
      </c>
      <c r="AF18" s="20">
        <v>0</v>
      </c>
      <c r="AG18" s="20">
        <f>SUM($AE$18:$AF$18)</f>
        <v>0</v>
      </c>
      <c r="AH18" s="20">
        <f>'TR TUSD'!$AH$18*'TR TUSD'!$AH$60</f>
        <v>23.126819745398471</v>
      </c>
      <c r="AI18" s="20">
        <f>'TR TUSD'!$AI$18*'TR TUSD'!$AI$60</f>
        <v>0</v>
      </c>
      <c r="AJ18" s="20">
        <f ca="1">'TR TUSD'!$AJ$18*'TR TUSD'!$AJ$60</f>
        <v>12.615223981329457</v>
      </c>
      <c r="AK18" s="20">
        <f ca="1">'TR TUSD'!$AK$18*'TR TUSD'!$AK$60</f>
        <v>0</v>
      </c>
      <c r="AL18" s="20">
        <f ca="1">SUM($AH$18:$AK$18)</f>
        <v>35.742043726727928</v>
      </c>
      <c r="AM18" s="20">
        <f ca="1">SUMIF($L$4:$AL$4,"SUBTOTAL",$L$18:$AL$18)</f>
        <v>1597.6044973571552</v>
      </c>
      <c r="AP18" s="20">
        <v>1</v>
      </c>
    </row>
    <row r="19" spans="1:42" ht="11.25" customHeight="1" x14ac:dyDescent="0.3">
      <c r="A19" s="120"/>
      <c r="B19" s="120"/>
      <c r="C19" s="120"/>
      <c r="D19" s="120"/>
      <c r="E19" s="120"/>
      <c r="F19" s="120"/>
      <c r="G19" s="21" t="s">
        <v>74</v>
      </c>
      <c r="H19" s="21" t="s">
        <v>72</v>
      </c>
      <c r="I19" s="21">
        <f>'MERCADO TUSD'!$U$16</f>
        <v>0.71099999999999985</v>
      </c>
      <c r="J19" s="17"/>
      <c r="L19" s="20">
        <f>'TR TUSD'!$L$19*'TR TUSD'!$L$60</f>
        <v>13.958780755873175</v>
      </c>
      <c r="M19" s="20">
        <f>'TR TUSD'!$M$19*'TR TUSD'!$M$60</f>
        <v>3.3006479642200062</v>
      </c>
      <c r="N19" s="20">
        <f ca="1">'TR TUSD'!$N$19*'TR TUSD'!$N$60</f>
        <v>0</v>
      </c>
      <c r="O19" s="20">
        <f>'TR TUSD'!$O$19*'TR TUSD'!$O$60</f>
        <v>0</v>
      </c>
      <c r="P19" s="20">
        <f>'TR TUSD'!$P$19*'TR TUSD'!$P$60</f>
        <v>0</v>
      </c>
      <c r="Q19" s="20">
        <f>'TR TUSD'!$Q$19*'TR TUSD'!$Q$60</f>
        <v>92.332288763378685</v>
      </c>
      <c r="R19" s="20">
        <f>'TR TUSD'!$R$19*'TR TUSD'!$R$60</f>
        <v>15.288559577366142</v>
      </c>
      <c r="S19" s="20">
        <f>'TR TUSD'!$S$19*'TR TUSD'!$S$60</f>
        <v>0</v>
      </c>
      <c r="T19" s="20">
        <f ca="1">SUM($L$19:$S$19)</f>
        <v>124.88027706083801</v>
      </c>
      <c r="U19" s="20">
        <f>'TR TUSD'!$U$19*'TR TUSD'!$U$60</f>
        <v>0</v>
      </c>
      <c r="V19" s="20">
        <f>'TR TUSD'!$V$19*'TR TUSD'!$V$60</f>
        <v>0</v>
      </c>
      <c r="W19" s="20">
        <f>'TR TUSD'!$W$19*'TR TUSD'!$W$60</f>
        <v>0</v>
      </c>
      <c r="X19" s="20">
        <f>'TR TUSD'!$X$19*'TR TUSD'!$X$60</f>
        <v>0</v>
      </c>
      <c r="Y19" s="20">
        <f>'TR TUSD'!$Y$19*'TR TUSD'!$Y$60</f>
        <v>114.37467082889634</v>
      </c>
      <c r="Z19" s="20">
        <f>'TR TUSD'!$Z$19</f>
        <v>0</v>
      </c>
      <c r="AA19" s="20">
        <f>'TR TUSD'!$AA$19</f>
        <v>0</v>
      </c>
      <c r="AB19" s="20">
        <f>SUM($U$19:$AA$19)</f>
        <v>114.37467082889634</v>
      </c>
      <c r="AC19" s="20">
        <f>'TR TUSD'!$AC$19*'TR TUSD'!$AC$60</f>
        <v>364.62041026578692</v>
      </c>
      <c r="AD19" s="20">
        <f>SUM($AC$19:$AC$19)</f>
        <v>364.62041026578692</v>
      </c>
      <c r="AE19" s="20">
        <v>0</v>
      </c>
      <c r="AF19" s="20">
        <v>0</v>
      </c>
      <c r="AG19" s="20">
        <f>SUM($AE$19:$AF$19)</f>
        <v>0</v>
      </c>
      <c r="AH19" s="20">
        <f>'TR TUSD'!$AH$19*'TR TUSD'!$AH$60</f>
        <v>23.126819745398471</v>
      </c>
      <c r="AI19" s="20">
        <f>'TR TUSD'!$AI$19*'TR TUSD'!$AI$60</f>
        <v>0</v>
      </c>
      <c r="AJ19" s="20">
        <f ca="1">'TR TUSD'!$AJ$19*'TR TUSD'!$AJ$60</f>
        <v>12.615223981329457</v>
      </c>
      <c r="AK19" s="20">
        <f ca="1">'TR TUSD'!$AK$19*'TR TUSD'!$AK$60</f>
        <v>0</v>
      </c>
      <c r="AL19" s="20">
        <f ca="1">SUM($AH$19:$AK$19)</f>
        <v>35.742043726727928</v>
      </c>
      <c r="AM19" s="20">
        <f ca="1">SUMIF($L$4:$AL$4,"SUBTOTAL",$L$19:$AL$19)</f>
        <v>639.61740188224928</v>
      </c>
      <c r="AP19" s="20">
        <v>1</v>
      </c>
    </row>
    <row r="20" spans="1:42" ht="11.25" customHeight="1" x14ac:dyDescent="0.3">
      <c r="A20" s="120"/>
      <c r="B20" s="120" t="s">
        <v>23</v>
      </c>
      <c r="C20" s="120" t="s">
        <v>24</v>
      </c>
      <c r="D20" s="22" t="s">
        <v>24</v>
      </c>
      <c r="E20" s="22" t="s">
        <v>25</v>
      </c>
      <c r="F20" s="22" t="s">
        <v>25</v>
      </c>
      <c r="G20" s="21" t="s">
        <v>76</v>
      </c>
      <c r="H20" s="21" t="s">
        <v>72</v>
      </c>
      <c r="I20" s="21">
        <f>'MERCADO TUSD'!$U$17</f>
        <v>9876.3909999999996</v>
      </c>
      <c r="J20" s="17"/>
      <c r="L20" s="20">
        <f>'TR TUSD'!$L$20*'TR TUSD'!$L$60</f>
        <v>13.958780755873175</v>
      </c>
      <c r="M20" s="20">
        <f>'TR TUSD'!$M$20*'TR TUSD'!$M$60</f>
        <v>3.3006479642200062</v>
      </c>
      <c r="N20" s="20">
        <f ca="1">'TR TUSD'!$N$20*'TR TUSD'!$N$60</f>
        <v>0</v>
      </c>
      <c r="O20" s="20">
        <f>'TR TUSD'!$O$20*'TR TUSD'!$O$60</f>
        <v>0</v>
      </c>
      <c r="P20" s="20">
        <f>'TR TUSD'!$P$20*'TR TUSD'!$P$60</f>
        <v>0</v>
      </c>
      <c r="Q20" s="20">
        <f>'TR TUSD'!$Q$20*'TR TUSD'!$Q$60</f>
        <v>92.332288763378685</v>
      </c>
      <c r="R20" s="20">
        <f>'TR TUSD'!$R$20*'TR TUSD'!$R$60</f>
        <v>15.288559577366142</v>
      </c>
      <c r="S20" s="20">
        <f>'TR TUSD'!$S$20*'TR TUSD'!$S$60</f>
        <v>0</v>
      </c>
      <c r="T20" s="20">
        <f ca="1">SUM($L$20:$S$20)</f>
        <v>124.88027706083801</v>
      </c>
      <c r="U20" s="20">
        <f>'TR TUSD'!$U$20*'TR TUSD'!$U$60</f>
        <v>0</v>
      </c>
      <c r="V20" s="20">
        <f>'TR TUSD'!$V$20*'TR TUSD'!$V$60</f>
        <v>0</v>
      </c>
      <c r="W20" s="20">
        <f>'TR TUSD'!$W$20*'TR TUSD'!$W$60</f>
        <v>0</v>
      </c>
      <c r="X20" s="20">
        <f>'TR TUSD'!$X$20*'TR TUSD'!$X$60</f>
        <v>0</v>
      </c>
      <c r="Y20" s="20">
        <f>'TR TUSD'!$Y$20*'TR TUSD'!$Y$60</f>
        <v>211.80303040205263</v>
      </c>
      <c r="Z20" s="20">
        <f>'TR TUSD'!$Z$20</f>
        <v>0</v>
      </c>
      <c r="AA20" s="20">
        <f>'TR TUSD'!$AA$20</f>
        <v>0</v>
      </c>
      <c r="AB20" s="20">
        <f>SUM($U$20:$AA$20)</f>
        <v>211.80303040205263</v>
      </c>
      <c r="AC20" s="20">
        <f>'TR TUSD'!$AC$20*'TR TUSD'!$AC$60</f>
        <v>675.22343338930727</v>
      </c>
      <c r="AD20" s="20">
        <f>SUM($AC$20:$AC$20)</f>
        <v>675.22343338930727</v>
      </c>
      <c r="AE20" s="20">
        <v>0</v>
      </c>
      <c r="AF20" s="20">
        <v>0</v>
      </c>
      <c r="AG20" s="20">
        <f>SUM($AE$20:$AF$20)</f>
        <v>0</v>
      </c>
      <c r="AH20" s="20">
        <f>'TR TUSD'!$AH$20*'TR TUSD'!$AH$60</f>
        <v>23.126819745398471</v>
      </c>
      <c r="AI20" s="20">
        <f>'TR TUSD'!$AI$20*'TR TUSD'!$AI$60</f>
        <v>0</v>
      </c>
      <c r="AJ20" s="20">
        <f ca="1">'TR TUSD'!$AJ$20*'TR TUSD'!$AJ$60</f>
        <v>12.615223981329457</v>
      </c>
      <c r="AK20" s="20">
        <f ca="1">'TR TUSD'!$AK$20*'TR TUSD'!$AK$60</f>
        <v>0</v>
      </c>
      <c r="AL20" s="20">
        <f ca="1">SUM($AH$20:$AK$20)</f>
        <v>35.742043726727928</v>
      </c>
      <c r="AM20" s="20">
        <f ca="1">SUMIF($L$4:$AL$4,"SUBTOTAL",$L$20:$AL$20)</f>
        <v>1047.6487845789259</v>
      </c>
      <c r="AP20" s="20">
        <v>1</v>
      </c>
    </row>
    <row r="21" spans="1:42" ht="11.25" customHeight="1" x14ac:dyDescent="0.3">
      <c r="A21" s="120"/>
      <c r="B21" s="120"/>
      <c r="C21" s="120"/>
      <c r="D21" s="22" t="s">
        <v>29</v>
      </c>
      <c r="E21" s="22" t="s">
        <v>25</v>
      </c>
      <c r="F21" s="22" t="s">
        <v>25</v>
      </c>
      <c r="G21" s="21" t="s">
        <v>76</v>
      </c>
      <c r="H21" s="21" t="s">
        <v>72</v>
      </c>
      <c r="I21" s="21">
        <f>'MERCADO TUSD'!$U$18</f>
        <v>38.58</v>
      </c>
      <c r="J21" s="17"/>
      <c r="L21" s="20">
        <f>'TR TUSD'!$L$21*'TR TUSD'!$L$60</f>
        <v>0</v>
      </c>
      <c r="M21" s="20">
        <f>'TR TUSD'!$M$21*'TR TUSD'!$M$60</f>
        <v>3.3006479642200062</v>
      </c>
      <c r="N21" s="20">
        <f ca="1">'TR TUSD'!$N$21*'TR TUSD'!$N$60</f>
        <v>0</v>
      </c>
      <c r="O21" s="20">
        <f>'TR TUSD'!$O$21*'TR TUSD'!$O$60</f>
        <v>0</v>
      </c>
      <c r="P21" s="20">
        <f>'TR TUSD'!$P$21*'TR TUSD'!$P$60</f>
        <v>0</v>
      </c>
      <c r="Q21" s="20">
        <f>'TR TUSD'!$Q$21*'TR TUSD'!$Q$60</f>
        <v>0</v>
      </c>
      <c r="R21" s="20">
        <f>'TR TUSD'!$R$21*'TR TUSD'!$R$60</f>
        <v>0</v>
      </c>
      <c r="S21" s="20">
        <f>'TR TUSD'!$S$21*'TR TUSD'!$S$60</f>
        <v>0</v>
      </c>
      <c r="T21" s="20">
        <f ca="1">SUM($L$21:$S$21)</f>
        <v>3.3006479642200062</v>
      </c>
      <c r="U21" s="20">
        <f>'TR TUSD'!$U$21*'TR TUSD'!$U$60</f>
        <v>0</v>
      </c>
      <c r="V21" s="20">
        <f>'TR TUSD'!$V$21*'TR TUSD'!$V$60</f>
        <v>0</v>
      </c>
      <c r="W21" s="20">
        <f>'TR TUSD'!$W$21*'TR TUSD'!$W$60</f>
        <v>0</v>
      </c>
      <c r="X21" s="20">
        <f>'TR TUSD'!$X$21*'TR TUSD'!$X$60</f>
        <v>0</v>
      </c>
      <c r="Y21" s="20">
        <f>'TR TUSD'!$Y$21*'TR TUSD'!$Y$60</f>
        <v>211.80303040205263</v>
      </c>
      <c r="Z21" s="20">
        <f>'TR TUSD'!$Z$21</f>
        <v>0</v>
      </c>
      <c r="AA21" s="20">
        <f>'TR TUSD'!$AA$21</f>
        <v>0</v>
      </c>
      <c r="AB21" s="20">
        <f>SUM($U$21:$AA$21)</f>
        <v>211.80303040205263</v>
      </c>
      <c r="AC21" s="20">
        <f>'TR TUSD'!$AC$21*'TR TUSD'!$AC$60</f>
        <v>675.22343338930727</v>
      </c>
      <c r="AD21" s="20">
        <f>SUM($AC$21:$AC$21)</f>
        <v>675.22343338930727</v>
      </c>
      <c r="AE21" s="20">
        <v>0</v>
      </c>
      <c r="AF21" s="20">
        <v>0</v>
      </c>
      <c r="AG21" s="20">
        <f>SUM($AE$21:$AF$21)</f>
        <v>0</v>
      </c>
      <c r="AH21" s="20">
        <f>'TR TUSD'!$AH$21*'TR TUSD'!$AH$60</f>
        <v>23.126819745398471</v>
      </c>
      <c r="AI21" s="20">
        <f>'TR TUSD'!$AI$21*'TR TUSD'!$AI$60</f>
        <v>0</v>
      </c>
      <c r="AJ21" s="20">
        <f ca="1">'TR TUSD'!$AJ$21*'TR TUSD'!$AJ$60</f>
        <v>12.615223981329457</v>
      </c>
      <c r="AK21" s="20">
        <f ca="1">'TR TUSD'!$AK$21*'TR TUSD'!$AK$60</f>
        <v>0</v>
      </c>
      <c r="AL21" s="20">
        <f ca="1">SUM($AH$21:$AK$21)</f>
        <v>35.742043726727928</v>
      </c>
      <c r="AM21" s="20">
        <f ca="1">SUMIF($L$4:$AL$4,"SUBTOTAL",$L$21:$AL$21)</f>
        <v>926.06915548230791</v>
      </c>
      <c r="AP21" s="20">
        <f>IF((1 - CUSTOS!$M$24)&lt;&gt;0,1/(1 - CUSTOS!$M$24),1)</f>
        <v>1</v>
      </c>
    </row>
    <row r="22" spans="1:42" ht="11.25" customHeight="1" x14ac:dyDescent="0.3">
      <c r="A22" s="120"/>
      <c r="B22" s="120"/>
      <c r="C22" s="120"/>
      <c r="D22" s="22" t="s">
        <v>30</v>
      </c>
      <c r="E22" s="22" t="s">
        <v>25</v>
      </c>
      <c r="F22" s="22" t="s">
        <v>25</v>
      </c>
      <c r="G22" s="21" t="s">
        <v>76</v>
      </c>
      <c r="H22" s="21" t="s">
        <v>72</v>
      </c>
      <c r="I22" s="21">
        <f>'MERCADO TUSD'!$U$19</f>
        <v>77.120999999999995</v>
      </c>
      <c r="J22" s="17"/>
      <c r="L22" s="20">
        <f>'TR TUSD'!$L$22*'TR TUSD'!$L$60</f>
        <v>0</v>
      </c>
      <c r="M22" s="20">
        <f>'TR TUSD'!$M$22*'TR TUSD'!$M$60</f>
        <v>3.3006479642200062</v>
      </c>
      <c r="N22" s="20">
        <f ca="1">'TR TUSD'!$N$22*'TR TUSD'!$N$60</f>
        <v>0</v>
      </c>
      <c r="O22" s="20">
        <f>'TR TUSD'!$O$22*'TR TUSD'!$O$60</f>
        <v>0</v>
      </c>
      <c r="P22" s="20">
        <f>'TR TUSD'!$P$22*'TR TUSD'!$P$60</f>
        <v>0</v>
      </c>
      <c r="Q22" s="20">
        <f>'TR TUSD'!$Q$22*'TR TUSD'!$Q$60</f>
        <v>0</v>
      </c>
      <c r="R22" s="20">
        <f>'TR TUSD'!$R$22*'TR TUSD'!$R$60</f>
        <v>0</v>
      </c>
      <c r="S22" s="20">
        <f>'TR TUSD'!$S$22*'TR TUSD'!$S$60</f>
        <v>0</v>
      </c>
      <c r="T22" s="20">
        <f ca="1">SUM($L$22:$S$22)</f>
        <v>3.3006479642200062</v>
      </c>
      <c r="U22" s="20">
        <f>'TR TUSD'!$U$22*'TR TUSD'!$U$60</f>
        <v>0</v>
      </c>
      <c r="V22" s="20">
        <f>'TR TUSD'!$V$22*'TR TUSD'!$V$60</f>
        <v>0</v>
      </c>
      <c r="W22" s="20">
        <f>'TR TUSD'!$W$22*'TR TUSD'!$W$60</f>
        <v>0</v>
      </c>
      <c r="X22" s="20">
        <f>'TR TUSD'!$X$22*'TR TUSD'!$X$60</f>
        <v>0</v>
      </c>
      <c r="Y22" s="20">
        <f>'TR TUSD'!$Y$22*'TR TUSD'!$Y$60</f>
        <v>211.80303040205263</v>
      </c>
      <c r="Z22" s="20">
        <f>'TR TUSD'!$Z$22</f>
        <v>0</v>
      </c>
      <c r="AA22" s="20">
        <f>'TR TUSD'!$AA$22</f>
        <v>0</v>
      </c>
      <c r="AB22" s="20">
        <f>SUM($U$22:$AA$22)</f>
        <v>211.80303040205263</v>
      </c>
      <c r="AC22" s="20">
        <f>'TR TUSD'!$AC$22*'TR TUSD'!$AC$60</f>
        <v>675.22343338930727</v>
      </c>
      <c r="AD22" s="20">
        <f>SUM($AC$22:$AC$22)</f>
        <v>675.22343338930727</v>
      </c>
      <c r="AE22" s="20">
        <v>0</v>
      </c>
      <c r="AF22" s="20">
        <v>0</v>
      </c>
      <c r="AG22" s="20">
        <f>SUM($AE$22:$AF$22)</f>
        <v>0</v>
      </c>
      <c r="AH22" s="20">
        <f>'TR TUSD'!$AH$22*'TR TUSD'!$AH$60</f>
        <v>23.126819745398471</v>
      </c>
      <c r="AI22" s="20">
        <f>'TR TUSD'!$AI$22*'TR TUSD'!$AI$60</f>
        <v>0</v>
      </c>
      <c r="AJ22" s="20">
        <f ca="1">'TR TUSD'!$AJ$22*'TR TUSD'!$AJ$60</f>
        <v>12.615223981329457</v>
      </c>
      <c r="AK22" s="20">
        <f ca="1">'TR TUSD'!$AK$22*'TR TUSD'!$AK$60</f>
        <v>0</v>
      </c>
      <c r="AL22" s="20">
        <f ca="1">SUM($AH$22:$AK$22)</f>
        <v>35.742043726727928</v>
      </c>
      <c r="AM22" s="20">
        <f ca="1">SUMIF($L$4:$AL$4,"SUBTOTAL",$L$22:$AL$22)</f>
        <v>926.06915548230791</v>
      </c>
      <c r="AP22" s="20">
        <f>IF((1 - CUSTOS!$M$25)&lt;&gt;0,1/(1 - CUSTOS!$M$25),1)</f>
        <v>1</v>
      </c>
    </row>
    <row r="23" spans="1:42" ht="11.25" customHeight="1" x14ac:dyDescent="0.3">
      <c r="A23" s="120"/>
      <c r="B23" s="120"/>
      <c r="C23" s="120"/>
      <c r="D23" s="22" t="s">
        <v>31</v>
      </c>
      <c r="E23" s="22" t="s">
        <v>25</v>
      </c>
      <c r="F23" s="22" t="s">
        <v>25</v>
      </c>
      <c r="G23" s="21" t="s">
        <v>76</v>
      </c>
      <c r="H23" s="21" t="s">
        <v>72</v>
      </c>
      <c r="I23" s="21">
        <f>'MERCADO TUSD'!$U$20</f>
        <v>54.47</v>
      </c>
      <c r="J23" s="17"/>
      <c r="L23" s="20">
        <f>'TR TUSD'!$L$23*'TR TUSD'!$L$60</f>
        <v>0</v>
      </c>
      <c r="M23" s="20">
        <f>'TR TUSD'!$M$23*'TR TUSD'!$M$60</f>
        <v>3.3006479642200062</v>
      </c>
      <c r="N23" s="20">
        <f ca="1">'TR TUSD'!$N$23*'TR TUSD'!$N$60</f>
        <v>0</v>
      </c>
      <c r="O23" s="20">
        <f>'TR TUSD'!$O$23*'TR TUSD'!$O$60</f>
        <v>0</v>
      </c>
      <c r="P23" s="20">
        <f>'TR TUSD'!$P$23*'TR TUSD'!$P$60</f>
        <v>0</v>
      </c>
      <c r="Q23" s="20">
        <f>'TR TUSD'!$Q$23*'TR TUSD'!$Q$60</f>
        <v>0</v>
      </c>
      <c r="R23" s="20">
        <f>'TR TUSD'!$R$23*'TR TUSD'!$R$60</f>
        <v>0</v>
      </c>
      <c r="S23" s="20">
        <f>'TR TUSD'!$S$23*'TR TUSD'!$S$60</f>
        <v>0</v>
      </c>
      <c r="T23" s="20">
        <f ca="1">SUM($L$23:$S$23)</f>
        <v>3.3006479642200062</v>
      </c>
      <c r="U23" s="20">
        <f>'TR TUSD'!$U$23*'TR TUSD'!$U$60</f>
        <v>0</v>
      </c>
      <c r="V23" s="20">
        <f>'TR TUSD'!$V$23*'TR TUSD'!$V$60</f>
        <v>0</v>
      </c>
      <c r="W23" s="20">
        <f>'TR TUSD'!$W$23*'TR TUSD'!$W$60</f>
        <v>0</v>
      </c>
      <c r="X23" s="20">
        <f>'TR TUSD'!$X$23*'TR TUSD'!$X$60</f>
        <v>0</v>
      </c>
      <c r="Y23" s="20">
        <f>'TR TUSD'!$Y$23*'TR TUSD'!$Y$60</f>
        <v>211.80303040205263</v>
      </c>
      <c r="Z23" s="20">
        <f>'TR TUSD'!$Z$23</f>
        <v>0</v>
      </c>
      <c r="AA23" s="20">
        <f>'TR TUSD'!$AA$23</f>
        <v>0</v>
      </c>
      <c r="AB23" s="20">
        <f>SUM($U$23:$AA$23)</f>
        <v>211.80303040205263</v>
      </c>
      <c r="AC23" s="20">
        <f>'TR TUSD'!$AC$23*'TR TUSD'!$AC$60</f>
        <v>675.22343338930727</v>
      </c>
      <c r="AD23" s="20">
        <f>SUM($AC$23:$AC$23)</f>
        <v>675.22343338930727</v>
      </c>
      <c r="AE23" s="20">
        <v>0</v>
      </c>
      <c r="AF23" s="20">
        <v>0</v>
      </c>
      <c r="AG23" s="20">
        <f>SUM($AE$23:$AF$23)</f>
        <v>0</v>
      </c>
      <c r="AH23" s="20">
        <f>'TR TUSD'!$AH$23*'TR TUSD'!$AH$60</f>
        <v>23.126819745398471</v>
      </c>
      <c r="AI23" s="20">
        <f>'TR TUSD'!$AI$23*'TR TUSD'!$AI$60</f>
        <v>0</v>
      </c>
      <c r="AJ23" s="20">
        <f ca="1">'TR TUSD'!$AJ$23*'TR TUSD'!$AJ$60</f>
        <v>12.615223981329457</v>
      </c>
      <c r="AK23" s="20">
        <f ca="1">'TR TUSD'!$AK$23*'TR TUSD'!$AK$60</f>
        <v>0</v>
      </c>
      <c r="AL23" s="20">
        <f ca="1">SUM($AH$23:$AK$23)</f>
        <v>35.742043726727928</v>
      </c>
      <c r="AM23" s="20">
        <f ca="1">SUMIF($L$4:$AL$4,"SUBTOTAL",$L$23:$AL$23)</f>
        <v>926.06915548230791</v>
      </c>
      <c r="AP23" s="20">
        <f>IF((1 - CUSTOS!$M$26)&lt;&gt;0,1/(1 - CUSTOS!$M$26),1)</f>
        <v>1</v>
      </c>
    </row>
    <row r="24" spans="1:42" ht="11.25" customHeight="1" x14ac:dyDescent="0.3">
      <c r="A24" s="120"/>
      <c r="B24" s="120"/>
      <c r="C24" s="120"/>
      <c r="D24" s="22" t="s">
        <v>32</v>
      </c>
      <c r="E24" s="22" t="s">
        <v>25</v>
      </c>
      <c r="F24" s="22" t="s">
        <v>25</v>
      </c>
      <c r="G24" s="21" t="s">
        <v>76</v>
      </c>
      <c r="H24" s="21" t="s">
        <v>72</v>
      </c>
      <c r="I24" s="21">
        <f>'MERCADO TUSD'!$U$21</f>
        <v>9.1170000000000009</v>
      </c>
      <c r="J24" s="17"/>
      <c r="L24" s="20">
        <f>'TR TUSD'!$L$24*'TR TUSD'!$L$60</f>
        <v>0</v>
      </c>
      <c r="M24" s="20">
        <f>'TR TUSD'!$M$24*'TR TUSD'!$M$60</f>
        <v>3.3006479642200062</v>
      </c>
      <c r="N24" s="20">
        <f ca="1">'TR TUSD'!$N$24*'TR TUSD'!$N$60</f>
        <v>0</v>
      </c>
      <c r="O24" s="20">
        <f>'TR TUSD'!$O$24*'TR TUSD'!$O$60</f>
        <v>0</v>
      </c>
      <c r="P24" s="20">
        <f>'TR TUSD'!$P$24*'TR TUSD'!$P$60</f>
        <v>0</v>
      </c>
      <c r="Q24" s="20">
        <f>'TR TUSD'!$Q$24*'TR TUSD'!$Q$60</f>
        <v>0</v>
      </c>
      <c r="R24" s="20">
        <f>'TR TUSD'!$R$24*'TR TUSD'!$R$60</f>
        <v>0</v>
      </c>
      <c r="S24" s="20">
        <f>'TR TUSD'!$S$24*'TR TUSD'!$S$60</f>
        <v>0</v>
      </c>
      <c r="T24" s="20">
        <f ca="1">SUM($L$24:$S$24)</f>
        <v>3.3006479642200062</v>
      </c>
      <c r="U24" s="20">
        <f>'TR TUSD'!$U$24*'TR TUSD'!$U$60</f>
        <v>0</v>
      </c>
      <c r="V24" s="20">
        <f>'TR TUSD'!$V$24*'TR TUSD'!$V$60</f>
        <v>0</v>
      </c>
      <c r="W24" s="20">
        <f>'TR TUSD'!$W$24*'TR TUSD'!$W$60</f>
        <v>0</v>
      </c>
      <c r="X24" s="20">
        <f>'TR TUSD'!$X$24*'TR TUSD'!$X$60</f>
        <v>0</v>
      </c>
      <c r="Y24" s="20">
        <f>'TR TUSD'!$Y$24*'TR TUSD'!$Y$60</f>
        <v>211.80303040205263</v>
      </c>
      <c r="Z24" s="20">
        <f>'TR TUSD'!$Z$24</f>
        <v>0</v>
      </c>
      <c r="AA24" s="20">
        <f>'TR TUSD'!$AA$24</f>
        <v>0</v>
      </c>
      <c r="AB24" s="20">
        <f>SUM($U$24:$AA$24)</f>
        <v>211.80303040205263</v>
      </c>
      <c r="AC24" s="20">
        <f>'TR TUSD'!$AC$24*'TR TUSD'!$AC$60</f>
        <v>675.22343338930727</v>
      </c>
      <c r="AD24" s="20">
        <f>SUM($AC$24:$AC$24)</f>
        <v>675.22343338930727</v>
      </c>
      <c r="AE24" s="20">
        <v>0</v>
      </c>
      <c r="AF24" s="20">
        <v>0</v>
      </c>
      <c r="AG24" s="20">
        <f>SUM($AE$24:$AF$24)</f>
        <v>0</v>
      </c>
      <c r="AH24" s="20">
        <f>'TR TUSD'!$AH$24*'TR TUSD'!$AH$60</f>
        <v>23.126819745398471</v>
      </c>
      <c r="AI24" s="20">
        <f>'TR TUSD'!$AI$24*'TR TUSD'!$AI$60</f>
        <v>0</v>
      </c>
      <c r="AJ24" s="20">
        <f ca="1">'TR TUSD'!$AJ$24*'TR TUSD'!$AJ$60</f>
        <v>12.615223981329457</v>
      </c>
      <c r="AK24" s="20">
        <f ca="1">'TR TUSD'!$AK$24*'TR TUSD'!$AK$60</f>
        <v>0</v>
      </c>
      <c r="AL24" s="20">
        <f ca="1">SUM($AH$24:$AK$24)</f>
        <v>35.742043726727928</v>
      </c>
      <c r="AM24" s="20">
        <f ca="1">SUMIF($L$4:$AL$4,"SUBTOTAL",$L$24:$AL$24)</f>
        <v>926.06915548230791</v>
      </c>
      <c r="AP24" s="20">
        <f>IF((1 - CUSTOS!$M$27)&lt;&gt;0,1/(1 - CUSTOS!$M$27),1)</f>
        <v>1</v>
      </c>
    </row>
    <row r="25" spans="1:42" ht="11.25" customHeight="1" x14ac:dyDescent="0.3">
      <c r="A25" s="120"/>
      <c r="B25" s="120" t="s">
        <v>87</v>
      </c>
      <c r="C25" s="120" t="s">
        <v>24</v>
      </c>
      <c r="D25" s="22" t="s">
        <v>24</v>
      </c>
      <c r="E25" s="22" t="s">
        <v>25</v>
      </c>
      <c r="F25" s="22" t="s">
        <v>25</v>
      </c>
      <c r="G25" s="21" t="s">
        <v>76</v>
      </c>
      <c r="H25" s="21" t="s">
        <v>72</v>
      </c>
      <c r="I25" s="21">
        <f>'MERCADO TUSD'!$U$22</f>
        <v>0</v>
      </c>
      <c r="J25" s="17"/>
      <c r="L25" s="20">
        <f>'TR TUSD'!$L$25*'TR TUSD'!$L$60</f>
        <v>13.958780755873175</v>
      </c>
      <c r="M25" s="20">
        <f>'TR TUSD'!$M$25*'TR TUSD'!$M$60</f>
        <v>3.3006479642200062</v>
      </c>
      <c r="N25" s="20">
        <f ca="1">'TR TUSD'!$N$25*'TR TUSD'!$N$60</f>
        <v>0</v>
      </c>
      <c r="O25" s="20">
        <f>'TR TUSD'!$O$25*'TR TUSD'!$O$60</f>
        <v>0</v>
      </c>
      <c r="P25" s="20">
        <f>'TR TUSD'!$P$25*'TR TUSD'!$P$60</f>
        <v>0</v>
      </c>
      <c r="Q25" s="20">
        <f>'TR TUSD'!$Q$25*'TR TUSD'!$Q$60</f>
        <v>92.332288763378685</v>
      </c>
      <c r="R25" s="20">
        <f>'TR TUSD'!$R$25*'TR TUSD'!$R$60</f>
        <v>15.288559577366142</v>
      </c>
      <c r="S25" s="20">
        <f>'TR TUSD'!$S$25*'TR TUSD'!$S$60</f>
        <v>0</v>
      </c>
      <c r="T25" s="20">
        <f ca="1">SUM($L$25:$S$25)</f>
        <v>124.88027706083801</v>
      </c>
      <c r="U25" s="20">
        <f>'TR TUSD'!$U$25*'TR TUSD'!$U$60</f>
        <v>0</v>
      </c>
      <c r="V25" s="20">
        <f>'TR TUSD'!$V$25*'TR TUSD'!$V$60</f>
        <v>0</v>
      </c>
      <c r="W25" s="20">
        <f>'TR TUSD'!$W$25*'TR TUSD'!$W$60</f>
        <v>0</v>
      </c>
      <c r="X25" s="20">
        <f>'TR TUSD'!$X$25*'TR TUSD'!$X$60</f>
        <v>0</v>
      </c>
      <c r="Y25" s="20">
        <f>'TR TUSD'!$Y$25*'TR TUSD'!$Y$60</f>
        <v>211.80303040205263</v>
      </c>
      <c r="Z25" s="20">
        <f>'TR TUSD'!$Z$25</f>
        <v>0</v>
      </c>
      <c r="AA25" s="20">
        <f>'TR TUSD'!$AA$25</f>
        <v>0</v>
      </c>
      <c r="AB25" s="20">
        <f>SUM($U$25:$AA$25)</f>
        <v>211.80303040205263</v>
      </c>
      <c r="AC25" s="20">
        <f>'TR TUSD'!$AC$25*'TR TUSD'!$AC$60</f>
        <v>675.22343338930727</v>
      </c>
      <c r="AD25" s="20">
        <f>SUM($AC$25:$AC$25)</f>
        <v>675.22343338930727</v>
      </c>
      <c r="AE25" s="20">
        <v>0</v>
      </c>
      <c r="AF25" s="20">
        <v>0</v>
      </c>
      <c r="AG25" s="20">
        <f>SUM($AE$25:$AF$25)</f>
        <v>0</v>
      </c>
      <c r="AH25" s="20">
        <f>'TR TUSD'!$AH$25*'TR TUSD'!$AH$60</f>
        <v>23.126819745398471</v>
      </c>
      <c r="AI25" s="20">
        <f>'TR TUSD'!$AI$25*'TR TUSD'!$AI$60</f>
        <v>0</v>
      </c>
      <c r="AJ25" s="20">
        <f ca="1">'TR TUSD'!$AJ$25*'TR TUSD'!$AJ$60</f>
        <v>12.615223981329457</v>
      </c>
      <c r="AK25" s="20">
        <f ca="1">'TR TUSD'!$AK$25*'TR TUSD'!$AK$60</f>
        <v>0</v>
      </c>
      <c r="AL25" s="20">
        <f ca="1">SUM($AH$25:$AK$25)</f>
        <v>35.742043726727928</v>
      </c>
      <c r="AM25" s="20">
        <f ca="1">SUMIF($L$4:$AL$4,"SUBTOTAL",$L$25:$AL$25)</f>
        <v>1047.6487845789259</v>
      </c>
      <c r="AP25" s="20">
        <v>1</v>
      </c>
    </row>
    <row r="26" spans="1:42" ht="11.25" customHeight="1" x14ac:dyDescent="0.3">
      <c r="A26" s="120"/>
      <c r="B26" s="120"/>
      <c r="C26" s="120"/>
      <c r="D26" s="22" t="s">
        <v>29</v>
      </c>
      <c r="E26" s="22" t="s">
        <v>25</v>
      </c>
      <c r="F26" s="22" t="s">
        <v>25</v>
      </c>
      <c r="G26" s="21" t="s">
        <v>76</v>
      </c>
      <c r="H26" s="21" t="s">
        <v>72</v>
      </c>
      <c r="I26" s="21">
        <f>'MERCADO TUSD'!$U$23</f>
        <v>0</v>
      </c>
      <c r="J26" s="17"/>
      <c r="L26" s="20">
        <f>'TR TUSD'!$L$26*'TR TUSD'!$L$60</f>
        <v>0</v>
      </c>
      <c r="M26" s="20">
        <f>'TR TUSD'!$M$26*'TR TUSD'!$M$60</f>
        <v>3.3006479642200062</v>
      </c>
      <c r="N26" s="20">
        <f ca="1">'TR TUSD'!$N$26*'TR TUSD'!$N$60</f>
        <v>0</v>
      </c>
      <c r="O26" s="20">
        <f>'TR TUSD'!$O$26*'TR TUSD'!$O$60</f>
        <v>0</v>
      </c>
      <c r="P26" s="20">
        <f>'TR TUSD'!$P$26*'TR TUSD'!$P$60</f>
        <v>0</v>
      </c>
      <c r="Q26" s="20">
        <f>'TR TUSD'!$Q$26*'TR TUSD'!$Q$60</f>
        <v>0</v>
      </c>
      <c r="R26" s="20">
        <f>'TR TUSD'!$R$26*'TR TUSD'!$R$60</f>
        <v>0</v>
      </c>
      <c r="S26" s="20">
        <f>'TR TUSD'!$S$26*'TR TUSD'!$S$60</f>
        <v>0</v>
      </c>
      <c r="T26" s="20">
        <f ca="1">SUM($L$26:$S$26)</f>
        <v>3.3006479642200062</v>
      </c>
      <c r="U26" s="20">
        <f>'TR TUSD'!$U$26*'TR TUSD'!$U$60</f>
        <v>0</v>
      </c>
      <c r="V26" s="20">
        <f>'TR TUSD'!$V$26*'TR TUSD'!$V$60</f>
        <v>0</v>
      </c>
      <c r="W26" s="20">
        <f>'TR TUSD'!$W$26*'TR TUSD'!$W$60</f>
        <v>0</v>
      </c>
      <c r="X26" s="20">
        <f>'TR TUSD'!$X$26*'TR TUSD'!$X$60</f>
        <v>0</v>
      </c>
      <c r="Y26" s="20">
        <f>'TR TUSD'!$Y$26*'TR TUSD'!$Y$60</f>
        <v>211.80303040205263</v>
      </c>
      <c r="Z26" s="20">
        <f>'TR TUSD'!$Z$26</f>
        <v>0</v>
      </c>
      <c r="AA26" s="20">
        <f>'TR TUSD'!$AA$26</f>
        <v>0</v>
      </c>
      <c r="AB26" s="20">
        <f>SUM($U$26:$AA$26)</f>
        <v>211.80303040205263</v>
      </c>
      <c r="AC26" s="20">
        <f>'TR TUSD'!$AC$26*'TR TUSD'!$AC$60</f>
        <v>675.22343338930727</v>
      </c>
      <c r="AD26" s="20">
        <f>SUM($AC$26:$AC$26)</f>
        <v>675.22343338930727</v>
      </c>
      <c r="AE26" s="20">
        <v>0</v>
      </c>
      <c r="AF26" s="20">
        <v>0</v>
      </c>
      <c r="AG26" s="20">
        <f>SUM($AE$26:$AF$26)</f>
        <v>0</v>
      </c>
      <c r="AH26" s="20">
        <f>'TR TUSD'!$AH$26*'TR TUSD'!$AH$60</f>
        <v>23.126819745398471</v>
      </c>
      <c r="AI26" s="20">
        <f>'TR TUSD'!$AI$26*'TR TUSD'!$AI$60</f>
        <v>0</v>
      </c>
      <c r="AJ26" s="20">
        <f ca="1">'TR TUSD'!$AJ$26*'TR TUSD'!$AJ$60</f>
        <v>12.615223981329457</v>
      </c>
      <c r="AK26" s="20">
        <f ca="1">'TR TUSD'!$AK$26*'TR TUSD'!$AK$60</f>
        <v>0</v>
      </c>
      <c r="AL26" s="20">
        <f ca="1">SUM($AH$26:$AK$26)</f>
        <v>35.742043726727928</v>
      </c>
      <c r="AM26" s="20">
        <f ca="1">SUMIF($L$4:$AL$4,"SUBTOTAL",$L$26:$AL$26)</f>
        <v>926.06915548230791</v>
      </c>
      <c r="AP26" s="20">
        <f>IF((1 - CUSTOS!$M$24)&lt;&gt;0,1/(1 - CUSTOS!$M$24),1)</f>
        <v>1</v>
      </c>
    </row>
    <row r="27" spans="1:42" ht="11.25" customHeight="1" x14ac:dyDescent="0.3">
      <c r="A27" s="120"/>
      <c r="B27" s="120"/>
      <c r="C27" s="120"/>
      <c r="D27" s="22" t="s">
        <v>30</v>
      </c>
      <c r="E27" s="22" t="s">
        <v>25</v>
      </c>
      <c r="F27" s="22" t="s">
        <v>25</v>
      </c>
      <c r="G27" s="21" t="s">
        <v>76</v>
      </c>
      <c r="H27" s="21" t="s">
        <v>72</v>
      </c>
      <c r="I27" s="21">
        <f>'MERCADO TUSD'!$U$24</f>
        <v>0</v>
      </c>
      <c r="J27" s="17"/>
      <c r="L27" s="20">
        <f>'TR TUSD'!$L$27*'TR TUSD'!$L$60</f>
        <v>0</v>
      </c>
      <c r="M27" s="20">
        <f>'TR TUSD'!$M$27*'TR TUSD'!$M$60</f>
        <v>3.3006479642200062</v>
      </c>
      <c r="N27" s="20">
        <f ca="1">'TR TUSD'!$N$27*'TR TUSD'!$N$60</f>
        <v>0</v>
      </c>
      <c r="O27" s="20">
        <f>'TR TUSD'!$O$27*'TR TUSD'!$O$60</f>
        <v>0</v>
      </c>
      <c r="P27" s="20">
        <f>'TR TUSD'!$P$27*'TR TUSD'!$P$60</f>
        <v>0</v>
      </c>
      <c r="Q27" s="20">
        <f>'TR TUSD'!$Q$27*'TR TUSD'!$Q$60</f>
        <v>0</v>
      </c>
      <c r="R27" s="20">
        <f>'TR TUSD'!$R$27*'TR TUSD'!$R$60</f>
        <v>0</v>
      </c>
      <c r="S27" s="20">
        <f>'TR TUSD'!$S$27*'TR TUSD'!$S$60</f>
        <v>0</v>
      </c>
      <c r="T27" s="20">
        <f ca="1">SUM($L$27:$S$27)</f>
        <v>3.3006479642200062</v>
      </c>
      <c r="U27" s="20">
        <f>'TR TUSD'!$U$27*'TR TUSD'!$U$60</f>
        <v>0</v>
      </c>
      <c r="V27" s="20">
        <f>'TR TUSD'!$V$27*'TR TUSD'!$V$60</f>
        <v>0</v>
      </c>
      <c r="W27" s="20">
        <f>'TR TUSD'!$W$27*'TR TUSD'!$W$60</f>
        <v>0</v>
      </c>
      <c r="X27" s="20">
        <f>'TR TUSD'!$X$27*'TR TUSD'!$X$60</f>
        <v>0</v>
      </c>
      <c r="Y27" s="20">
        <f>'TR TUSD'!$Y$27*'TR TUSD'!$Y$60</f>
        <v>211.80303040205263</v>
      </c>
      <c r="Z27" s="20">
        <f>'TR TUSD'!$Z$27</f>
        <v>0</v>
      </c>
      <c r="AA27" s="20">
        <f>'TR TUSD'!$AA$27</f>
        <v>0</v>
      </c>
      <c r="AB27" s="20">
        <f>SUM($U$27:$AA$27)</f>
        <v>211.80303040205263</v>
      </c>
      <c r="AC27" s="20">
        <f>'TR TUSD'!$AC$27*'TR TUSD'!$AC$60</f>
        <v>675.22343338930727</v>
      </c>
      <c r="AD27" s="20">
        <f>SUM($AC$27:$AC$27)</f>
        <v>675.22343338930727</v>
      </c>
      <c r="AE27" s="20">
        <v>0</v>
      </c>
      <c r="AF27" s="20">
        <v>0</v>
      </c>
      <c r="AG27" s="20">
        <f>SUM($AE$27:$AF$27)</f>
        <v>0</v>
      </c>
      <c r="AH27" s="20">
        <f>'TR TUSD'!$AH$27*'TR TUSD'!$AH$60</f>
        <v>23.126819745398471</v>
      </c>
      <c r="AI27" s="20">
        <f>'TR TUSD'!$AI$27*'TR TUSD'!$AI$60</f>
        <v>0</v>
      </c>
      <c r="AJ27" s="20">
        <f ca="1">'TR TUSD'!$AJ$27*'TR TUSD'!$AJ$60</f>
        <v>12.615223981329457</v>
      </c>
      <c r="AK27" s="20">
        <f ca="1">'TR TUSD'!$AK$27*'TR TUSD'!$AK$60</f>
        <v>0</v>
      </c>
      <c r="AL27" s="20">
        <f ca="1">SUM($AH$27:$AK$27)</f>
        <v>35.742043726727928</v>
      </c>
      <c r="AM27" s="20">
        <f ca="1">SUMIF($L$4:$AL$4,"SUBTOTAL",$L$27:$AL$27)</f>
        <v>926.06915548230791</v>
      </c>
      <c r="AP27" s="20">
        <f>IF((1 - CUSTOS!$M$25)&lt;&gt;0,1/(1 - CUSTOS!$M$25),1)</f>
        <v>1</v>
      </c>
    </row>
    <row r="28" spans="1:42" ht="11.25" customHeight="1" x14ac:dyDescent="0.3">
      <c r="A28" s="120"/>
      <c r="B28" s="120"/>
      <c r="C28" s="120"/>
      <c r="D28" s="22" t="s">
        <v>31</v>
      </c>
      <c r="E28" s="22" t="s">
        <v>25</v>
      </c>
      <c r="F28" s="22" t="s">
        <v>25</v>
      </c>
      <c r="G28" s="21" t="s">
        <v>76</v>
      </c>
      <c r="H28" s="21" t="s">
        <v>72</v>
      </c>
      <c r="I28" s="21">
        <f>'MERCADO TUSD'!$U$25</f>
        <v>0</v>
      </c>
      <c r="J28" s="17"/>
      <c r="L28" s="20">
        <f>'TR TUSD'!$L$28*'TR TUSD'!$L$60</f>
        <v>0</v>
      </c>
      <c r="M28" s="20">
        <f>'TR TUSD'!$M$28*'TR TUSD'!$M$60</f>
        <v>3.3006479642200062</v>
      </c>
      <c r="N28" s="20">
        <f ca="1">'TR TUSD'!$N$28*'TR TUSD'!$N$60</f>
        <v>0</v>
      </c>
      <c r="O28" s="20">
        <f>'TR TUSD'!$O$28*'TR TUSD'!$O$60</f>
        <v>0</v>
      </c>
      <c r="P28" s="20">
        <f>'TR TUSD'!$P$28*'TR TUSD'!$P$60</f>
        <v>0</v>
      </c>
      <c r="Q28" s="20">
        <f>'TR TUSD'!$Q$28*'TR TUSD'!$Q$60</f>
        <v>0</v>
      </c>
      <c r="R28" s="20">
        <f>'TR TUSD'!$R$28*'TR TUSD'!$R$60</f>
        <v>0</v>
      </c>
      <c r="S28" s="20">
        <f>'TR TUSD'!$S$28*'TR TUSD'!$S$60</f>
        <v>0</v>
      </c>
      <c r="T28" s="20">
        <f ca="1">SUM($L$28:$S$28)</f>
        <v>3.3006479642200062</v>
      </c>
      <c r="U28" s="20">
        <f>'TR TUSD'!$U$28*'TR TUSD'!$U$60</f>
        <v>0</v>
      </c>
      <c r="V28" s="20">
        <f>'TR TUSD'!$V$28*'TR TUSD'!$V$60</f>
        <v>0</v>
      </c>
      <c r="W28" s="20">
        <f>'TR TUSD'!$W$28*'TR TUSD'!$W$60</f>
        <v>0</v>
      </c>
      <c r="X28" s="20">
        <f>'TR TUSD'!$X$28*'TR TUSD'!$X$60</f>
        <v>0</v>
      </c>
      <c r="Y28" s="20">
        <f>'TR TUSD'!$Y$28*'TR TUSD'!$Y$60</f>
        <v>211.80303040205263</v>
      </c>
      <c r="Z28" s="20">
        <f>'TR TUSD'!$Z$28</f>
        <v>0</v>
      </c>
      <c r="AA28" s="20">
        <f>'TR TUSD'!$AA$28</f>
        <v>0</v>
      </c>
      <c r="AB28" s="20">
        <f>SUM($U$28:$AA$28)</f>
        <v>211.80303040205263</v>
      </c>
      <c r="AC28" s="20">
        <f>'TR TUSD'!$AC$28*'TR TUSD'!$AC$60</f>
        <v>675.22343338930727</v>
      </c>
      <c r="AD28" s="20">
        <f>SUM($AC$28:$AC$28)</f>
        <v>675.22343338930727</v>
      </c>
      <c r="AE28" s="20">
        <v>0</v>
      </c>
      <c r="AF28" s="20">
        <v>0</v>
      </c>
      <c r="AG28" s="20">
        <f>SUM($AE$28:$AF$28)</f>
        <v>0</v>
      </c>
      <c r="AH28" s="20">
        <f>'TR TUSD'!$AH$28*'TR TUSD'!$AH$60</f>
        <v>23.126819745398471</v>
      </c>
      <c r="AI28" s="20">
        <f>'TR TUSD'!$AI$28*'TR TUSD'!$AI$60</f>
        <v>0</v>
      </c>
      <c r="AJ28" s="20">
        <f ca="1">'TR TUSD'!$AJ$28*'TR TUSD'!$AJ$60</f>
        <v>12.615223981329457</v>
      </c>
      <c r="AK28" s="20">
        <f ca="1">'TR TUSD'!$AK$28*'TR TUSD'!$AK$60</f>
        <v>0</v>
      </c>
      <c r="AL28" s="20">
        <f ca="1">SUM($AH$28:$AK$28)</f>
        <v>35.742043726727928</v>
      </c>
      <c r="AM28" s="20">
        <f ca="1">SUMIF($L$4:$AL$4,"SUBTOTAL",$L$28:$AL$28)</f>
        <v>926.06915548230791</v>
      </c>
      <c r="AP28" s="20">
        <f>IF((1 - CUSTOS!$M$26)&lt;&gt;0,1/(1 - CUSTOS!$M$26),1)</f>
        <v>1</v>
      </c>
    </row>
    <row r="29" spans="1:42" ht="11.25" customHeight="1" x14ac:dyDescent="0.3">
      <c r="A29" s="120"/>
      <c r="B29" s="120"/>
      <c r="C29" s="120"/>
      <c r="D29" s="22" t="s">
        <v>32</v>
      </c>
      <c r="E29" s="22" t="s">
        <v>25</v>
      </c>
      <c r="F29" s="22" t="s">
        <v>25</v>
      </c>
      <c r="G29" s="21" t="s">
        <v>76</v>
      </c>
      <c r="H29" s="21" t="s">
        <v>72</v>
      </c>
      <c r="I29" s="21">
        <f>'MERCADO TUSD'!$U$26</f>
        <v>0</v>
      </c>
      <c r="J29" s="17"/>
      <c r="L29" s="20">
        <f>'TR TUSD'!$L$29*'TR TUSD'!$L$60</f>
        <v>0</v>
      </c>
      <c r="M29" s="20">
        <f>'TR TUSD'!$M$29*'TR TUSD'!$M$60</f>
        <v>3.3006479642200062</v>
      </c>
      <c r="N29" s="20">
        <f ca="1">'TR TUSD'!$N$29*'TR TUSD'!$N$60</f>
        <v>0</v>
      </c>
      <c r="O29" s="20">
        <f>'TR TUSD'!$O$29*'TR TUSD'!$O$60</f>
        <v>0</v>
      </c>
      <c r="P29" s="20">
        <f>'TR TUSD'!$P$29*'TR TUSD'!$P$60</f>
        <v>0</v>
      </c>
      <c r="Q29" s="20">
        <f>'TR TUSD'!$Q$29*'TR TUSD'!$Q$60</f>
        <v>0</v>
      </c>
      <c r="R29" s="20">
        <f>'TR TUSD'!$R$29*'TR TUSD'!$R$60</f>
        <v>0</v>
      </c>
      <c r="S29" s="20">
        <f>'TR TUSD'!$S$29*'TR TUSD'!$S$60</f>
        <v>0</v>
      </c>
      <c r="T29" s="20">
        <f ca="1">SUM($L$29:$S$29)</f>
        <v>3.3006479642200062</v>
      </c>
      <c r="U29" s="20">
        <f>'TR TUSD'!$U$29*'TR TUSD'!$U$60</f>
        <v>0</v>
      </c>
      <c r="V29" s="20">
        <f>'TR TUSD'!$V$29*'TR TUSD'!$V$60</f>
        <v>0</v>
      </c>
      <c r="W29" s="20">
        <f>'TR TUSD'!$W$29*'TR TUSD'!$W$60</f>
        <v>0</v>
      </c>
      <c r="X29" s="20">
        <f>'TR TUSD'!$X$29*'TR TUSD'!$X$60</f>
        <v>0</v>
      </c>
      <c r="Y29" s="20">
        <f>'TR TUSD'!$Y$29*'TR TUSD'!$Y$60</f>
        <v>211.80303040205263</v>
      </c>
      <c r="Z29" s="20">
        <f>'TR TUSD'!$Z$29</f>
        <v>0</v>
      </c>
      <c r="AA29" s="20">
        <f>'TR TUSD'!$AA$29</f>
        <v>0</v>
      </c>
      <c r="AB29" s="20">
        <f>SUM($U$29:$AA$29)</f>
        <v>211.80303040205263</v>
      </c>
      <c r="AC29" s="20">
        <f>'TR TUSD'!$AC$29*'TR TUSD'!$AC$60</f>
        <v>675.22343338930727</v>
      </c>
      <c r="AD29" s="20">
        <f>SUM($AC$29:$AC$29)</f>
        <v>675.22343338930727</v>
      </c>
      <c r="AE29" s="20">
        <v>0</v>
      </c>
      <c r="AF29" s="20">
        <v>0</v>
      </c>
      <c r="AG29" s="20">
        <f>SUM($AE$29:$AF$29)</f>
        <v>0</v>
      </c>
      <c r="AH29" s="20">
        <f>'TR TUSD'!$AH$29*'TR TUSD'!$AH$60</f>
        <v>23.126819745398471</v>
      </c>
      <c r="AI29" s="20">
        <f>'TR TUSD'!$AI$29*'TR TUSD'!$AI$60</f>
        <v>0</v>
      </c>
      <c r="AJ29" s="20">
        <f ca="1">'TR TUSD'!$AJ$29*'TR TUSD'!$AJ$60</f>
        <v>12.615223981329457</v>
      </c>
      <c r="AK29" s="20">
        <f ca="1">'TR TUSD'!$AK$29*'TR TUSD'!$AK$60</f>
        <v>0</v>
      </c>
      <c r="AL29" s="20">
        <f ca="1">SUM($AH$29:$AK$29)</f>
        <v>35.742043726727928</v>
      </c>
      <c r="AM29" s="20">
        <f ca="1">SUMIF($L$4:$AL$4,"SUBTOTAL",$L$29:$AL$29)</f>
        <v>926.06915548230791</v>
      </c>
      <c r="AP29" s="20">
        <f>IF((1 - CUSTOS!$M$27)&lt;&gt;0,1/(1 - CUSTOS!$M$27),1)</f>
        <v>1</v>
      </c>
    </row>
    <row r="30" spans="1:42" ht="11.25" customHeight="1" x14ac:dyDescent="0.3">
      <c r="A30" s="120" t="s">
        <v>43</v>
      </c>
      <c r="B30" s="120" t="s">
        <v>33</v>
      </c>
      <c r="C30" s="120" t="s">
        <v>44</v>
      </c>
      <c r="D30" s="120" t="s">
        <v>25</v>
      </c>
      <c r="E30" s="120" t="s">
        <v>25</v>
      </c>
      <c r="F30" s="120" t="s">
        <v>25</v>
      </c>
      <c r="G30" s="21" t="s">
        <v>73</v>
      </c>
      <c r="H30" s="21" t="s">
        <v>72</v>
      </c>
      <c r="I30" s="21">
        <f>'MERCADO TUSD'!$U$27</f>
        <v>0</v>
      </c>
      <c r="J30" s="17"/>
      <c r="L30" s="20">
        <f>'TR TUSD'!$L$30*'TR TUSD'!$L$60</f>
        <v>13.958780755873175</v>
      </c>
      <c r="M30" s="20">
        <f>'TR TUSD'!$M$30*'TR TUSD'!$M$60</f>
        <v>3.3006479642200062</v>
      </c>
      <c r="N30" s="20">
        <f ca="1">'TR TUSD'!$N$30*'TR TUSD'!$N$60</f>
        <v>0</v>
      </c>
      <c r="O30" s="20">
        <f>'TR TUSD'!$O$30*'TR TUSD'!$O$60</f>
        <v>0</v>
      </c>
      <c r="P30" s="20">
        <f>'TR TUSD'!$P$30*'TR TUSD'!$P$60</f>
        <v>0</v>
      </c>
      <c r="Q30" s="20">
        <f>'TR TUSD'!$Q$30*'TR TUSD'!$Q$60</f>
        <v>92.332288763378685</v>
      </c>
      <c r="R30" s="20">
        <f>'TR TUSD'!$R$30*'TR TUSD'!$R$60</f>
        <v>15.288559577366142</v>
      </c>
      <c r="S30" s="20">
        <f>'TR TUSD'!$S$30*'TR TUSD'!$S$60</f>
        <v>0</v>
      </c>
      <c r="T30" s="20">
        <f ca="1">SUM($L$30:$S$30)</f>
        <v>124.88027706083801</v>
      </c>
      <c r="U30" s="20">
        <f>'TR TUSD'!$U$30*'TR TUSD'!$U$60</f>
        <v>0</v>
      </c>
      <c r="V30" s="20">
        <f>'TR TUSD'!$V$30*'TR TUSD'!$V$60</f>
        <v>0</v>
      </c>
      <c r="W30" s="20">
        <f>'TR TUSD'!$W$30*'TR TUSD'!$W$60</f>
        <v>0</v>
      </c>
      <c r="X30" s="20">
        <f>'TR TUSD'!$X$30*'TR TUSD'!$X$60</f>
        <v>0</v>
      </c>
      <c r="Y30" s="20">
        <f>'TR TUSD'!$Y$30*'TR TUSD'!$Y$60</f>
        <v>550.68836016709872</v>
      </c>
      <c r="Z30" s="20">
        <f>'TR TUSD'!$Z$30</f>
        <v>0</v>
      </c>
      <c r="AA30" s="20">
        <f>'TR TUSD'!$AA$30</f>
        <v>0</v>
      </c>
      <c r="AB30" s="20">
        <f>SUM($U$30:$AA$30)</f>
        <v>550.68836016709872</v>
      </c>
      <c r="AC30" s="20">
        <f>'TR TUSD'!$AC$30*'TR TUSD'!$AC$60</f>
        <v>1755.5803851134453</v>
      </c>
      <c r="AD30" s="20">
        <f>SUM($AC$30:$AC$30)</f>
        <v>1755.5803851134453</v>
      </c>
      <c r="AE30" s="20">
        <v>0</v>
      </c>
      <c r="AF30" s="20">
        <v>0</v>
      </c>
      <c r="AG30" s="20">
        <f>SUM($AE$30:$AF$30)</f>
        <v>0</v>
      </c>
      <c r="AH30" s="20">
        <f>'TR TUSD'!$AH$30*'TR TUSD'!$AH$60</f>
        <v>23.126819745398471</v>
      </c>
      <c r="AI30" s="20">
        <f>'TR TUSD'!$AI$30*'TR TUSD'!$AI$60</f>
        <v>0</v>
      </c>
      <c r="AJ30" s="20">
        <f ca="1">'TR TUSD'!$AJ$30*'TR TUSD'!$AJ$60</f>
        <v>12.615223981329457</v>
      </c>
      <c r="AK30" s="20">
        <f ca="1">'TR TUSD'!$AK$30*'TR TUSD'!$AK$60</f>
        <v>0</v>
      </c>
      <c r="AL30" s="20">
        <f ca="1">SUM($AH$30:$AK$30)</f>
        <v>35.742043726727928</v>
      </c>
      <c r="AM30" s="20">
        <f ca="1">SUMIF($L$4:$AL$4,"SUBTOTAL",$L$30:$AL$30)</f>
        <v>2466.8910660681099</v>
      </c>
      <c r="AP30" s="20">
        <f>IF((1 - CUSTOS!$M$28)&lt;&gt;0,1/(1 - CUSTOS!$M$28),1)</f>
        <v>1</v>
      </c>
    </row>
    <row r="31" spans="1:42" ht="11.25" customHeight="1" x14ac:dyDescent="0.3">
      <c r="A31" s="120"/>
      <c r="B31" s="120"/>
      <c r="C31" s="120"/>
      <c r="D31" s="120"/>
      <c r="E31" s="120"/>
      <c r="F31" s="120"/>
      <c r="G31" s="21" t="s">
        <v>85</v>
      </c>
      <c r="H31" s="21" t="s">
        <v>72</v>
      </c>
      <c r="I31" s="21">
        <f>'MERCADO TUSD'!$U$28</f>
        <v>0</v>
      </c>
      <c r="J31" s="17"/>
      <c r="L31" s="20">
        <f>'TR TUSD'!$L$31*'TR TUSD'!$L$60</f>
        <v>13.958780755873175</v>
      </c>
      <c r="M31" s="20">
        <f>'TR TUSD'!$M$31*'TR TUSD'!$M$60</f>
        <v>3.3006479642200062</v>
      </c>
      <c r="N31" s="20">
        <f ca="1">'TR TUSD'!$N$31*'TR TUSD'!$N$60</f>
        <v>0</v>
      </c>
      <c r="O31" s="20">
        <f>'TR TUSD'!$O$31*'TR TUSD'!$O$60</f>
        <v>0</v>
      </c>
      <c r="P31" s="20">
        <f>'TR TUSD'!$P$31*'TR TUSD'!$P$60</f>
        <v>0</v>
      </c>
      <c r="Q31" s="20">
        <f>'TR TUSD'!$Q$31*'TR TUSD'!$Q$60</f>
        <v>92.332288763378685</v>
      </c>
      <c r="R31" s="20">
        <f>'TR TUSD'!$R$31*'TR TUSD'!$R$60</f>
        <v>15.288559577366142</v>
      </c>
      <c r="S31" s="20">
        <f>'TR TUSD'!$S$31*'TR TUSD'!$S$60</f>
        <v>0</v>
      </c>
      <c r="T31" s="20">
        <f ca="1">SUM($L$31:$S$31)</f>
        <v>124.88027706083801</v>
      </c>
      <c r="U31" s="20">
        <f>'TR TUSD'!$U$31*'TR TUSD'!$U$60</f>
        <v>0</v>
      </c>
      <c r="V31" s="20">
        <f>'TR TUSD'!$V$31*'TR TUSD'!$V$60</f>
        <v>0</v>
      </c>
      <c r="W31" s="20">
        <f>'TR TUSD'!$W$31*'TR TUSD'!$W$60</f>
        <v>0</v>
      </c>
      <c r="X31" s="20">
        <f>'TR TUSD'!$X$31*'TR TUSD'!$X$60</f>
        <v>0</v>
      </c>
      <c r="Y31" s="20">
        <f>'TR TUSD'!$Y$31*'TR TUSD'!$Y$60</f>
        <v>330.41277553937823</v>
      </c>
      <c r="Z31" s="20">
        <f>'TR TUSD'!$Z$31</f>
        <v>0</v>
      </c>
      <c r="AA31" s="20">
        <f>'TR TUSD'!$AA$31</f>
        <v>0</v>
      </c>
      <c r="AB31" s="20">
        <f>SUM($U$31:$AA$31)</f>
        <v>330.41277553937823</v>
      </c>
      <c r="AC31" s="20">
        <f>'TR TUSD'!$AC$31*'TR TUSD'!$AC$60</f>
        <v>1053.3483935776933</v>
      </c>
      <c r="AD31" s="20">
        <f>SUM($AC$31:$AC$31)</f>
        <v>1053.3483935776933</v>
      </c>
      <c r="AE31" s="20">
        <v>0</v>
      </c>
      <c r="AF31" s="20">
        <v>0</v>
      </c>
      <c r="AG31" s="20">
        <f>SUM($AE$31:$AF$31)</f>
        <v>0</v>
      </c>
      <c r="AH31" s="20">
        <f>'TR TUSD'!$AH$31*'TR TUSD'!$AH$60</f>
        <v>23.126819745398471</v>
      </c>
      <c r="AI31" s="20">
        <f>'TR TUSD'!$AI$31*'TR TUSD'!$AI$60</f>
        <v>0</v>
      </c>
      <c r="AJ31" s="20">
        <f ca="1">'TR TUSD'!$AJ$31*'TR TUSD'!$AJ$60</f>
        <v>12.615223981329457</v>
      </c>
      <c r="AK31" s="20">
        <f ca="1">'TR TUSD'!$AK$31*'TR TUSD'!$AK$60</f>
        <v>0</v>
      </c>
      <c r="AL31" s="20">
        <f ca="1">SUM($AH$31:$AK$31)</f>
        <v>35.742043726727928</v>
      </c>
      <c r="AM31" s="20">
        <f ca="1">SUMIF($L$4:$AL$4,"SUBTOTAL",$L$31:$AL$31)</f>
        <v>1544.3834899046374</v>
      </c>
      <c r="AP31" s="20">
        <f>IF((1 - CUSTOS!$M$28)&lt;&gt;0,1/(1 - CUSTOS!$M$28),1)</f>
        <v>1</v>
      </c>
    </row>
    <row r="32" spans="1:42" ht="11.25" customHeight="1" x14ac:dyDescent="0.3">
      <c r="A32" s="120"/>
      <c r="B32" s="120"/>
      <c r="C32" s="120"/>
      <c r="D32" s="120"/>
      <c r="E32" s="120"/>
      <c r="F32" s="120"/>
      <c r="G32" s="21" t="s">
        <v>74</v>
      </c>
      <c r="H32" s="21" t="s">
        <v>72</v>
      </c>
      <c r="I32" s="21">
        <f>'MERCADO TUSD'!$U$29</f>
        <v>0</v>
      </c>
      <c r="J32" s="17"/>
      <c r="L32" s="20">
        <f>'TR TUSD'!$L$32*'TR TUSD'!$L$60</f>
        <v>13.958780755873175</v>
      </c>
      <c r="M32" s="20">
        <f>'TR TUSD'!$M$32*'TR TUSD'!$M$60</f>
        <v>3.3006479642200062</v>
      </c>
      <c r="N32" s="20">
        <f ca="1">'TR TUSD'!$N$32*'TR TUSD'!$N$60</f>
        <v>0</v>
      </c>
      <c r="O32" s="20">
        <f>'TR TUSD'!$O$32*'TR TUSD'!$O$60</f>
        <v>0</v>
      </c>
      <c r="P32" s="20">
        <f>'TR TUSD'!$P$32*'TR TUSD'!$P$60</f>
        <v>0</v>
      </c>
      <c r="Q32" s="20">
        <f>'TR TUSD'!$Q$32*'TR TUSD'!$Q$60</f>
        <v>92.332288763378685</v>
      </c>
      <c r="R32" s="20">
        <f>'TR TUSD'!$R$32*'TR TUSD'!$R$60</f>
        <v>15.288559577366142</v>
      </c>
      <c r="S32" s="20">
        <f>'TR TUSD'!$S$32*'TR TUSD'!$S$60</f>
        <v>0</v>
      </c>
      <c r="T32" s="20">
        <f ca="1">SUM($L$32:$S$32)</f>
        <v>124.88027706083801</v>
      </c>
      <c r="U32" s="20">
        <f>'TR TUSD'!$U$32*'TR TUSD'!$U$60</f>
        <v>0</v>
      </c>
      <c r="V32" s="20">
        <f>'TR TUSD'!$V$32*'TR TUSD'!$V$60</f>
        <v>0</v>
      </c>
      <c r="W32" s="20">
        <f>'TR TUSD'!$W$32*'TR TUSD'!$W$60</f>
        <v>0</v>
      </c>
      <c r="X32" s="20">
        <f>'TR TUSD'!$X$32*'TR TUSD'!$X$60</f>
        <v>0</v>
      </c>
      <c r="Y32" s="20">
        <f>'TR TUSD'!$Y$32*'TR TUSD'!$Y$60</f>
        <v>110.13719091165791</v>
      </c>
      <c r="Z32" s="20">
        <f>'TR TUSD'!$Z$32</f>
        <v>0</v>
      </c>
      <c r="AA32" s="20">
        <f>'TR TUSD'!$AA$32</f>
        <v>0</v>
      </c>
      <c r="AB32" s="20">
        <f>SUM($U$32:$AA$32)</f>
        <v>110.13719091165791</v>
      </c>
      <c r="AC32" s="20">
        <f>'TR TUSD'!$AC$32*'TR TUSD'!$AC$60</f>
        <v>351.11613119256441</v>
      </c>
      <c r="AD32" s="20">
        <f>SUM($AC$32:$AC$32)</f>
        <v>351.11613119256441</v>
      </c>
      <c r="AE32" s="20">
        <v>0</v>
      </c>
      <c r="AF32" s="20">
        <v>0</v>
      </c>
      <c r="AG32" s="20">
        <f>SUM($AE$32:$AF$32)</f>
        <v>0</v>
      </c>
      <c r="AH32" s="20">
        <f>'TR TUSD'!$AH$32*'TR TUSD'!$AH$60</f>
        <v>23.126819745398471</v>
      </c>
      <c r="AI32" s="20">
        <f>'TR TUSD'!$AI$32*'TR TUSD'!$AI$60</f>
        <v>0</v>
      </c>
      <c r="AJ32" s="20">
        <f ca="1">'TR TUSD'!$AJ$32*'TR TUSD'!$AJ$60</f>
        <v>12.615223981329457</v>
      </c>
      <c r="AK32" s="20">
        <f ca="1">'TR TUSD'!$AK$32*'TR TUSD'!$AK$60</f>
        <v>0</v>
      </c>
      <c r="AL32" s="20">
        <f ca="1">SUM($AH$32:$AK$32)</f>
        <v>35.742043726727928</v>
      </c>
      <c r="AM32" s="20">
        <f ca="1">SUMIF($L$4:$AL$4,"SUBTOTAL",$L$32:$AL$32)</f>
        <v>621.87564289178829</v>
      </c>
      <c r="AP32" s="20">
        <f>IF((1 - CUSTOS!$M$28)&lt;&gt;0,1/(1 - CUSTOS!$M$28),1)</f>
        <v>1</v>
      </c>
    </row>
    <row r="33" spans="1:42" ht="11.25" customHeight="1" x14ac:dyDescent="0.3">
      <c r="A33" s="120"/>
      <c r="B33" s="22" t="s">
        <v>23</v>
      </c>
      <c r="C33" s="22" t="s">
        <v>44</v>
      </c>
      <c r="D33" s="22" t="s">
        <v>25</v>
      </c>
      <c r="E33" s="22" t="s">
        <v>25</v>
      </c>
      <c r="F33" s="22" t="s">
        <v>25</v>
      </c>
      <c r="G33" s="21" t="s">
        <v>76</v>
      </c>
      <c r="H33" s="21" t="s">
        <v>72</v>
      </c>
      <c r="I33" s="21">
        <f>'MERCADO TUSD'!$U$30</f>
        <v>600.24900000000002</v>
      </c>
      <c r="J33" s="17"/>
      <c r="L33" s="20">
        <f>'TR TUSD'!$L$33*'TR TUSD'!$L$60</f>
        <v>13.958780755873175</v>
      </c>
      <c r="M33" s="20">
        <f>'TR TUSD'!$M$33*'TR TUSD'!$M$60</f>
        <v>3.3006479642200062</v>
      </c>
      <c r="N33" s="20">
        <f ca="1">'TR TUSD'!$N$33*'TR TUSD'!$N$60</f>
        <v>0</v>
      </c>
      <c r="O33" s="20">
        <f>'TR TUSD'!$O$33*'TR TUSD'!$O$60</f>
        <v>0</v>
      </c>
      <c r="P33" s="20">
        <f>'TR TUSD'!$P$33*'TR TUSD'!$P$60</f>
        <v>0</v>
      </c>
      <c r="Q33" s="20">
        <f>'TR TUSD'!$Q$33*'TR TUSD'!$Q$60</f>
        <v>92.332288763378685</v>
      </c>
      <c r="R33" s="20">
        <f>'TR TUSD'!$R$33*'TR TUSD'!$R$60</f>
        <v>15.288559577366142</v>
      </c>
      <c r="S33" s="20">
        <f>'TR TUSD'!$S$33*'TR TUSD'!$S$60</f>
        <v>0</v>
      </c>
      <c r="T33" s="20">
        <f ca="1">SUM($L$33:$S$33)</f>
        <v>124.88027706083801</v>
      </c>
      <c r="U33" s="20">
        <f>'TR TUSD'!$U$33*'TR TUSD'!$U$60</f>
        <v>0</v>
      </c>
      <c r="V33" s="20">
        <f>'TR TUSD'!$V$33*'TR TUSD'!$V$60</f>
        <v>0</v>
      </c>
      <c r="W33" s="20">
        <f>'TR TUSD'!$W$33*'TR TUSD'!$W$60</f>
        <v>0</v>
      </c>
      <c r="X33" s="20">
        <f>'TR TUSD'!$X$33*'TR TUSD'!$X$60</f>
        <v>0</v>
      </c>
      <c r="Y33" s="20">
        <f>'TR TUSD'!$Y$33*'TR TUSD'!$Y$60</f>
        <v>211.80303040205263</v>
      </c>
      <c r="Z33" s="20">
        <f>'TR TUSD'!$Z$33</f>
        <v>0</v>
      </c>
      <c r="AA33" s="20">
        <f>'TR TUSD'!$AA$33</f>
        <v>0</v>
      </c>
      <c r="AB33" s="20">
        <f>SUM($U$33:$AA$33)</f>
        <v>211.80303040205263</v>
      </c>
      <c r="AC33" s="20">
        <f>'TR TUSD'!$AC$33*'TR TUSD'!$AC$60</f>
        <v>675.22343338930727</v>
      </c>
      <c r="AD33" s="20">
        <f>SUM($AC$33:$AC$33)</f>
        <v>675.22343338930727</v>
      </c>
      <c r="AE33" s="20">
        <v>0</v>
      </c>
      <c r="AF33" s="20">
        <v>0</v>
      </c>
      <c r="AG33" s="20">
        <f>SUM($AE$33:$AF$33)</f>
        <v>0</v>
      </c>
      <c r="AH33" s="20">
        <f>'TR TUSD'!$AH$33*'TR TUSD'!$AH$60</f>
        <v>23.126819745398471</v>
      </c>
      <c r="AI33" s="20">
        <f>'TR TUSD'!$AI$33*'TR TUSD'!$AI$60</f>
        <v>0</v>
      </c>
      <c r="AJ33" s="20">
        <f ca="1">'TR TUSD'!$AJ$33*'TR TUSD'!$AJ$60</f>
        <v>12.615223981329457</v>
      </c>
      <c r="AK33" s="20">
        <f ca="1">'TR TUSD'!$AK$33*'TR TUSD'!$AK$60</f>
        <v>0</v>
      </c>
      <c r="AL33" s="20">
        <f ca="1">SUM($AH$33:$AK$33)</f>
        <v>35.742043726727928</v>
      </c>
      <c r="AM33" s="20">
        <f ca="1">SUMIF($L$4:$AL$4,"SUBTOTAL",$L$33:$AL$33)</f>
        <v>1047.6487845789259</v>
      </c>
      <c r="AP33" s="20">
        <f>IF((1 - CUSTOS!$M$28)&lt;&gt;0,1/(1 - CUSTOS!$M$28),1)</f>
        <v>1</v>
      </c>
    </row>
    <row r="34" spans="1:42" ht="11.25" customHeight="1" x14ac:dyDescent="0.3">
      <c r="A34" s="120"/>
      <c r="B34" s="120" t="s">
        <v>33</v>
      </c>
      <c r="C34" s="120" t="s">
        <v>44</v>
      </c>
      <c r="D34" s="120" t="s">
        <v>88</v>
      </c>
      <c r="E34" s="120" t="s">
        <v>25</v>
      </c>
      <c r="F34" s="120" t="s">
        <v>25</v>
      </c>
      <c r="G34" s="21" t="s">
        <v>73</v>
      </c>
      <c r="H34" s="21" t="s">
        <v>72</v>
      </c>
      <c r="I34" s="21">
        <f>'MERCADO TUSD'!$U$31</f>
        <v>0</v>
      </c>
      <c r="J34" s="17"/>
      <c r="L34" s="20">
        <f>'TR TUSD'!$L$34*'TR TUSD'!$L$60</f>
        <v>13.958780755873175</v>
      </c>
      <c r="M34" s="20">
        <f>'TR TUSD'!$M$34*'TR TUSD'!$M$60</f>
        <v>3.3006479642200062</v>
      </c>
      <c r="N34" s="20">
        <f ca="1">'TR TUSD'!$N$34*'TR TUSD'!$N$60</f>
        <v>0</v>
      </c>
      <c r="O34" s="20">
        <f>'TR TUSD'!$O$34*'TR TUSD'!$O$60</f>
        <v>0</v>
      </c>
      <c r="P34" s="20">
        <f>'TR TUSD'!$P$34*'TR TUSD'!$P$60</f>
        <v>0</v>
      </c>
      <c r="Q34" s="20">
        <f>'TR TUSD'!$Q$34*'TR TUSD'!$Q$60</f>
        <v>92.332288763378685</v>
      </c>
      <c r="R34" s="20">
        <f>'TR TUSD'!$R$34*'TR TUSD'!$R$60</f>
        <v>15.288559577366142</v>
      </c>
      <c r="S34" s="20">
        <f>'TR TUSD'!$S$34*'TR TUSD'!$S$60</f>
        <v>0</v>
      </c>
      <c r="T34" s="20">
        <f ca="1">SUM($L$34:$S$34)</f>
        <v>124.88027706083801</v>
      </c>
      <c r="U34" s="20">
        <f>'TR TUSD'!$U$34*'TR TUSD'!$U$60</f>
        <v>0</v>
      </c>
      <c r="V34" s="20">
        <f>'TR TUSD'!$V$34*'TR TUSD'!$V$60</f>
        <v>0</v>
      </c>
      <c r="W34" s="20">
        <f>'TR TUSD'!$W$34*'TR TUSD'!$W$60</f>
        <v>0</v>
      </c>
      <c r="X34" s="20">
        <f>'TR TUSD'!$X$34*'TR TUSD'!$X$60</f>
        <v>0</v>
      </c>
      <c r="Y34" s="20">
        <f>'TR TUSD'!$Y$34*'TR TUSD'!$Y$60</f>
        <v>550.68836016709872</v>
      </c>
      <c r="Z34" s="20">
        <f>'TR TUSD'!$Z$34</f>
        <v>0</v>
      </c>
      <c r="AA34" s="20">
        <f>'TR TUSD'!$AA$34</f>
        <v>0</v>
      </c>
      <c r="AB34" s="20">
        <f>SUM($U$34:$AA$34)</f>
        <v>550.68836016709872</v>
      </c>
      <c r="AC34" s="20">
        <f>'TR TUSD'!$AC$34*'TR TUSD'!$AC$60</f>
        <v>1755.5803851134453</v>
      </c>
      <c r="AD34" s="20">
        <f>SUM($AC$34:$AC$34)</f>
        <v>1755.5803851134453</v>
      </c>
      <c r="AE34" s="20">
        <v>0</v>
      </c>
      <c r="AF34" s="20">
        <v>0</v>
      </c>
      <c r="AG34" s="20">
        <f>SUM($AE$34:$AF$34)</f>
        <v>0</v>
      </c>
      <c r="AH34" s="20">
        <f>'TR TUSD'!$AH$34*'TR TUSD'!$AH$60</f>
        <v>23.126819745398471</v>
      </c>
      <c r="AI34" s="20">
        <f>'TR TUSD'!$AI$34*'TR TUSD'!$AI$60</f>
        <v>0</v>
      </c>
      <c r="AJ34" s="20">
        <f ca="1">'TR TUSD'!$AJ$34*'TR TUSD'!$AJ$60</f>
        <v>12.615223981329457</v>
      </c>
      <c r="AK34" s="20">
        <f ca="1">'TR TUSD'!$AK$34*'TR TUSD'!$AK$60</f>
        <v>0</v>
      </c>
      <c r="AL34" s="20">
        <f ca="1">SUM($AH$34:$AK$34)</f>
        <v>35.742043726727928</v>
      </c>
      <c r="AM34" s="20">
        <f ca="1">SUMIF($L$4:$AL$4,"SUBTOTAL",$L$34:$AL$34)</f>
        <v>2466.8910660681099</v>
      </c>
      <c r="AP34" s="20">
        <f>IF((1 - CUSTOS!$M$29)&lt;&gt;0,1/(1 - CUSTOS!$M$29),1)</f>
        <v>1</v>
      </c>
    </row>
    <row r="35" spans="1:42" ht="11.25" customHeight="1" x14ac:dyDescent="0.3">
      <c r="A35" s="120"/>
      <c r="B35" s="120"/>
      <c r="C35" s="120"/>
      <c r="D35" s="120"/>
      <c r="E35" s="120"/>
      <c r="F35" s="120"/>
      <c r="G35" s="21" t="s">
        <v>85</v>
      </c>
      <c r="H35" s="21" t="s">
        <v>72</v>
      </c>
      <c r="I35" s="21">
        <f>'MERCADO TUSD'!$U$32</f>
        <v>0</v>
      </c>
      <c r="J35" s="17"/>
      <c r="L35" s="20">
        <f>'TR TUSD'!$L$35*'TR TUSD'!$L$60</f>
        <v>13.958780755873175</v>
      </c>
      <c r="M35" s="20">
        <f>'TR TUSD'!$M$35*'TR TUSD'!$M$60</f>
        <v>3.3006479642200062</v>
      </c>
      <c r="N35" s="20">
        <f ca="1">'TR TUSD'!$N$35*'TR TUSD'!$N$60</f>
        <v>0</v>
      </c>
      <c r="O35" s="20">
        <f>'TR TUSD'!$O$35*'TR TUSD'!$O$60</f>
        <v>0</v>
      </c>
      <c r="P35" s="20">
        <f>'TR TUSD'!$P$35*'TR TUSD'!$P$60</f>
        <v>0</v>
      </c>
      <c r="Q35" s="20">
        <f>'TR TUSD'!$Q$35*'TR TUSD'!$Q$60</f>
        <v>92.332288763378685</v>
      </c>
      <c r="R35" s="20">
        <f>'TR TUSD'!$R$35*'TR TUSD'!$R$60</f>
        <v>15.288559577366142</v>
      </c>
      <c r="S35" s="20">
        <f>'TR TUSD'!$S$35*'TR TUSD'!$S$60</f>
        <v>0</v>
      </c>
      <c r="T35" s="20">
        <f ca="1">SUM($L$35:$S$35)</f>
        <v>124.88027706083801</v>
      </c>
      <c r="U35" s="20">
        <f>'TR TUSD'!$U$35*'TR TUSD'!$U$60</f>
        <v>0</v>
      </c>
      <c r="V35" s="20">
        <f>'TR TUSD'!$V$35*'TR TUSD'!$V$60</f>
        <v>0</v>
      </c>
      <c r="W35" s="20">
        <f>'TR TUSD'!$W$35*'TR TUSD'!$W$60</f>
        <v>0</v>
      </c>
      <c r="X35" s="20">
        <f>'TR TUSD'!$X$35*'TR TUSD'!$X$60</f>
        <v>0</v>
      </c>
      <c r="Y35" s="20">
        <f>'TR TUSD'!$Y$35*'TR TUSD'!$Y$60</f>
        <v>330.41277553937823</v>
      </c>
      <c r="Z35" s="20">
        <f>'TR TUSD'!$Z$35</f>
        <v>0</v>
      </c>
      <c r="AA35" s="20">
        <f>'TR TUSD'!$AA$35</f>
        <v>0</v>
      </c>
      <c r="AB35" s="20">
        <f>SUM($U$35:$AA$35)</f>
        <v>330.41277553937823</v>
      </c>
      <c r="AC35" s="20">
        <f>'TR TUSD'!$AC$35*'TR TUSD'!$AC$60</f>
        <v>1053.3483935776933</v>
      </c>
      <c r="AD35" s="20">
        <f>SUM($AC$35:$AC$35)</f>
        <v>1053.3483935776933</v>
      </c>
      <c r="AE35" s="20">
        <v>0</v>
      </c>
      <c r="AF35" s="20">
        <v>0</v>
      </c>
      <c r="AG35" s="20">
        <f>SUM($AE$35:$AF$35)</f>
        <v>0</v>
      </c>
      <c r="AH35" s="20">
        <f>'TR TUSD'!$AH$35*'TR TUSD'!$AH$60</f>
        <v>23.126819745398471</v>
      </c>
      <c r="AI35" s="20">
        <f>'TR TUSD'!$AI$35*'TR TUSD'!$AI$60</f>
        <v>0</v>
      </c>
      <c r="AJ35" s="20">
        <f ca="1">'TR TUSD'!$AJ$35*'TR TUSD'!$AJ$60</f>
        <v>12.615223981329457</v>
      </c>
      <c r="AK35" s="20">
        <f ca="1">'TR TUSD'!$AK$35*'TR TUSD'!$AK$60</f>
        <v>0</v>
      </c>
      <c r="AL35" s="20">
        <f ca="1">SUM($AH$35:$AK$35)</f>
        <v>35.742043726727928</v>
      </c>
      <c r="AM35" s="20">
        <f ca="1">SUMIF($L$4:$AL$4,"SUBTOTAL",$L$35:$AL$35)</f>
        <v>1544.3834899046374</v>
      </c>
      <c r="AP35" s="20">
        <f>IF((1 - CUSTOS!$M$29)&lt;&gt;0,1/(1 - CUSTOS!$M$29),1)</f>
        <v>1</v>
      </c>
    </row>
    <row r="36" spans="1:42" ht="11.25" customHeight="1" x14ac:dyDescent="0.3">
      <c r="A36" s="120"/>
      <c r="B36" s="120"/>
      <c r="C36" s="120"/>
      <c r="D36" s="120"/>
      <c r="E36" s="120"/>
      <c r="F36" s="120"/>
      <c r="G36" s="21" t="s">
        <v>74</v>
      </c>
      <c r="H36" s="21" t="s">
        <v>72</v>
      </c>
      <c r="I36" s="21">
        <f>'MERCADO TUSD'!$U$33</f>
        <v>0</v>
      </c>
      <c r="J36" s="17"/>
      <c r="L36" s="20">
        <f>'TR TUSD'!$L$36*'TR TUSD'!$L$60</f>
        <v>13.958780755873175</v>
      </c>
      <c r="M36" s="20">
        <f>'TR TUSD'!$M$36*'TR TUSD'!$M$60</f>
        <v>3.3006479642200062</v>
      </c>
      <c r="N36" s="20">
        <f ca="1">'TR TUSD'!$N$36*'TR TUSD'!$N$60</f>
        <v>0</v>
      </c>
      <c r="O36" s="20">
        <f>'TR TUSD'!$O$36*'TR TUSD'!$O$60</f>
        <v>0</v>
      </c>
      <c r="P36" s="20">
        <f>'TR TUSD'!$P$36*'TR TUSD'!$P$60</f>
        <v>0</v>
      </c>
      <c r="Q36" s="20">
        <f>'TR TUSD'!$Q$36*'TR TUSD'!$Q$60</f>
        <v>92.332288763378685</v>
      </c>
      <c r="R36" s="20">
        <f>'TR TUSD'!$R$36*'TR TUSD'!$R$60</f>
        <v>15.288559577366142</v>
      </c>
      <c r="S36" s="20">
        <f>'TR TUSD'!$S$36*'TR TUSD'!$S$60</f>
        <v>0</v>
      </c>
      <c r="T36" s="20">
        <f ca="1">SUM($L$36:$S$36)</f>
        <v>124.88027706083801</v>
      </c>
      <c r="U36" s="20">
        <f>'TR TUSD'!$U$36*'TR TUSD'!$U$60</f>
        <v>0</v>
      </c>
      <c r="V36" s="20">
        <f>'TR TUSD'!$V$36*'TR TUSD'!$V$60</f>
        <v>0</v>
      </c>
      <c r="W36" s="20">
        <f>'TR TUSD'!$W$36*'TR TUSD'!$W$60</f>
        <v>0</v>
      </c>
      <c r="X36" s="20">
        <f>'TR TUSD'!$X$36*'TR TUSD'!$X$60</f>
        <v>0</v>
      </c>
      <c r="Y36" s="20">
        <f>'TR TUSD'!$Y$36*'TR TUSD'!$Y$60</f>
        <v>110.13719091165791</v>
      </c>
      <c r="Z36" s="20">
        <f>'TR TUSD'!$Z$36</f>
        <v>0</v>
      </c>
      <c r="AA36" s="20">
        <f>'TR TUSD'!$AA$36</f>
        <v>0</v>
      </c>
      <c r="AB36" s="20">
        <f>SUM($U$36:$AA$36)</f>
        <v>110.13719091165791</v>
      </c>
      <c r="AC36" s="20">
        <f>'TR TUSD'!$AC$36*'TR TUSD'!$AC$60</f>
        <v>351.11613119256441</v>
      </c>
      <c r="AD36" s="20">
        <f>SUM($AC$36:$AC$36)</f>
        <v>351.11613119256441</v>
      </c>
      <c r="AE36" s="20">
        <v>0</v>
      </c>
      <c r="AF36" s="20">
        <v>0</v>
      </c>
      <c r="AG36" s="20">
        <f>SUM($AE$36:$AF$36)</f>
        <v>0</v>
      </c>
      <c r="AH36" s="20">
        <f>'TR TUSD'!$AH$36*'TR TUSD'!$AH$60</f>
        <v>23.126819745398471</v>
      </c>
      <c r="AI36" s="20">
        <f>'TR TUSD'!$AI$36*'TR TUSD'!$AI$60</f>
        <v>0</v>
      </c>
      <c r="AJ36" s="20">
        <f ca="1">'TR TUSD'!$AJ$36*'TR TUSD'!$AJ$60</f>
        <v>12.615223981329457</v>
      </c>
      <c r="AK36" s="20">
        <f ca="1">'TR TUSD'!$AK$36*'TR TUSD'!$AK$60</f>
        <v>0</v>
      </c>
      <c r="AL36" s="20">
        <f ca="1">SUM($AH$36:$AK$36)</f>
        <v>35.742043726727928</v>
      </c>
      <c r="AM36" s="20">
        <f ca="1">SUMIF($L$4:$AL$4,"SUBTOTAL",$L$36:$AL$36)</f>
        <v>621.87564289178829</v>
      </c>
      <c r="AP36" s="20">
        <f>IF((1 - CUSTOS!$M$29)&lt;&gt;0,1/(1 - CUSTOS!$M$29),1)</f>
        <v>1</v>
      </c>
    </row>
    <row r="37" spans="1:42" ht="11.25" customHeight="1" x14ac:dyDescent="0.3">
      <c r="A37" s="120"/>
      <c r="B37" s="22" t="s">
        <v>23</v>
      </c>
      <c r="C37" s="22" t="s">
        <v>44</v>
      </c>
      <c r="D37" s="22" t="s">
        <v>88</v>
      </c>
      <c r="E37" s="22" t="s">
        <v>25</v>
      </c>
      <c r="F37" s="22" t="s">
        <v>25</v>
      </c>
      <c r="G37" s="21" t="s">
        <v>76</v>
      </c>
      <c r="H37" s="21" t="s">
        <v>72</v>
      </c>
      <c r="I37" s="21">
        <f>'MERCADO TUSD'!$U$34</f>
        <v>0</v>
      </c>
      <c r="J37" s="17"/>
      <c r="L37" s="20">
        <f>'TR TUSD'!$L$37*'TR TUSD'!$L$60</f>
        <v>13.958780755873175</v>
      </c>
      <c r="M37" s="20">
        <f>'TR TUSD'!$M$37*'TR TUSD'!$M$60</f>
        <v>3.3006479642200062</v>
      </c>
      <c r="N37" s="20">
        <f ca="1">'TR TUSD'!$N$37*'TR TUSD'!$N$60</f>
        <v>0</v>
      </c>
      <c r="O37" s="20">
        <f>'TR TUSD'!$O$37*'TR TUSD'!$O$60</f>
        <v>0</v>
      </c>
      <c r="P37" s="20">
        <f>'TR TUSD'!$P$37*'TR TUSD'!$P$60</f>
        <v>0</v>
      </c>
      <c r="Q37" s="20">
        <f>'TR TUSD'!$Q$37*'TR TUSD'!$Q$60</f>
        <v>92.332288763378685</v>
      </c>
      <c r="R37" s="20">
        <f>'TR TUSD'!$R$37*'TR TUSD'!$R$60</f>
        <v>15.288559577366142</v>
      </c>
      <c r="S37" s="20">
        <f>'TR TUSD'!$S$37*'TR TUSD'!$S$60</f>
        <v>0</v>
      </c>
      <c r="T37" s="20">
        <f ca="1">SUM($L$37:$S$37)</f>
        <v>124.88027706083801</v>
      </c>
      <c r="U37" s="20">
        <f>'TR TUSD'!$U$37*'TR TUSD'!$U$60</f>
        <v>0</v>
      </c>
      <c r="V37" s="20">
        <f>'TR TUSD'!$V$37*'TR TUSD'!$V$60</f>
        <v>0</v>
      </c>
      <c r="W37" s="20">
        <f>'TR TUSD'!$W$37*'TR TUSD'!$W$60</f>
        <v>0</v>
      </c>
      <c r="X37" s="20">
        <f>'TR TUSD'!$X$37*'TR TUSD'!$X$60</f>
        <v>0</v>
      </c>
      <c r="Y37" s="20">
        <f>'TR TUSD'!$Y$37*'TR TUSD'!$Y$60</f>
        <v>211.80303040205263</v>
      </c>
      <c r="Z37" s="20">
        <f>'TR TUSD'!$Z$37</f>
        <v>0</v>
      </c>
      <c r="AA37" s="20">
        <f>'TR TUSD'!$AA$37</f>
        <v>0</v>
      </c>
      <c r="AB37" s="20">
        <f>SUM($U$37:$AA$37)</f>
        <v>211.80303040205263</v>
      </c>
      <c r="AC37" s="20">
        <f>'TR TUSD'!$AC$37*'TR TUSD'!$AC$60</f>
        <v>675.22343338930727</v>
      </c>
      <c r="AD37" s="20">
        <f>SUM($AC$37:$AC$37)</f>
        <v>675.22343338930727</v>
      </c>
      <c r="AE37" s="20">
        <v>0</v>
      </c>
      <c r="AF37" s="20">
        <v>0</v>
      </c>
      <c r="AG37" s="20">
        <f>SUM($AE$37:$AF$37)</f>
        <v>0</v>
      </c>
      <c r="AH37" s="20">
        <f>'TR TUSD'!$AH$37*'TR TUSD'!$AH$60</f>
        <v>23.126819745398471</v>
      </c>
      <c r="AI37" s="20">
        <f>'TR TUSD'!$AI$37*'TR TUSD'!$AI$60</f>
        <v>0</v>
      </c>
      <c r="AJ37" s="20">
        <f ca="1">'TR TUSD'!$AJ$37*'TR TUSD'!$AJ$60</f>
        <v>12.615223981329457</v>
      </c>
      <c r="AK37" s="20">
        <f ca="1">'TR TUSD'!$AK$37*'TR TUSD'!$AK$60</f>
        <v>0</v>
      </c>
      <c r="AL37" s="20">
        <f ca="1">SUM($AH$37:$AK$37)</f>
        <v>35.742043726727928</v>
      </c>
      <c r="AM37" s="20">
        <f ca="1">SUMIF($L$4:$AL$4,"SUBTOTAL",$L$37:$AL$37)</f>
        <v>1047.6487845789259</v>
      </c>
      <c r="AP37" s="20">
        <f>IF((1 - CUSTOS!$M$29)&lt;&gt;0,1/(1 - CUSTOS!$M$29),1)</f>
        <v>1</v>
      </c>
    </row>
    <row r="38" spans="1:42" ht="11.25" customHeight="1" x14ac:dyDescent="0.3">
      <c r="A38" s="120"/>
      <c r="B38" s="120" t="s">
        <v>33</v>
      </c>
      <c r="C38" s="120" t="s">
        <v>44</v>
      </c>
      <c r="D38" s="120" t="s">
        <v>89</v>
      </c>
      <c r="E38" s="120" t="s">
        <v>25</v>
      </c>
      <c r="F38" s="120" t="s">
        <v>25</v>
      </c>
      <c r="G38" s="21" t="s">
        <v>73</v>
      </c>
      <c r="H38" s="21" t="s">
        <v>72</v>
      </c>
      <c r="I38" s="21">
        <f>'MERCADO TUSD'!$U$35</f>
        <v>0</v>
      </c>
      <c r="J38" s="17"/>
      <c r="L38" s="20">
        <f>'TR TUSD'!$L$38*'TR TUSD'!$L$60</f>
        <v>13.958780755873175</v>
      </c>
      <c r="M38" s="20">
        <f>'TR TUSD'!$M$38*'TR TUSD'!$M$60</f>
        <v>3.3006479642200062</v>
      </c>
      <c r="N38" s="20">
        <f ca="1">'TR TUSD'!$N$38*'TR TUSD'!$N$60</f>
        <v>0</v>
      </c>
      <c r="O38" s="20">
        <f>'TR TUSD'!$O$38*'TR TUSD'!$O$60</f>
        <v>0</v>
      </c>
      <c r="P38" s="20">
        <f>'TR TUSD'!$P$38*'TR TUSD'!$P$60</f>
        <v>0</v>
      </c>
      <c r="Q38" s="20">
        <f>'TR TUSD'!$Q$38*'TR TUSD'!$Q$60</f>
        <v>92.332288763378685</v>
      </c>
      <c r="R38" s="20">
        <f>'TR TUSD'!$R$38*'TR TUSD'!$R$60</f>
        <v>15.288559577366142</v>
      </c>
      <c r="S38" s="20">
        <f>'TR TUSD'!$S$38*'TR TUSD'!$S$60</f>
        <v>0</v>
      </c>
      <c r="T38" s="20">
        <f ca="1">SUM($L$38:$S$38)</f>
        <v>124.88027706083801</v>
      </c>
      <c r="U38" s="20">
        <f>'TR TUSD'!$U$38*'TR TUSD'!$U$60</f>
        <v>0</v>
      </c>
      <c r="V38" s="20">
        <f>'TR TUSD'!$V$38*'TR TUSD'!$V$60</f>
        <v>0</v>
      </c>
      <c r="W38" s="20">
        <f>'TR TUSD'!$W$38*'TR TUSD'!$W$60</f>
        <v>0</v>
      </c>
      <c r="X38" s="20">
        <f>'TR TUSD'!$X$38*'TR TUSD'!$X$60</f>
        <v>0</v>
      </c>
      <c r="Y38" s="20">
        <f>'TR TUSD'!$Y$38*'TR TUSD'!$Y$60</f>
        <v>550.68836016709872</v>
      </c>
      <c r="Z38" s="20">
        <f>'TR TUSD'!$Z$38</f>
        <v>0</v>
      </c>
      <c r="AA38" s="20">
        <f>'TR TUSD'!$AA$38</f>
        <v>0</v>
      </c>
      <c r="AB38" s="20">
        <f>SUM($U$38:$AA$38)</f>
        <v>550.68836016709872</v>
      </c>
      <c r="AC38" s="20">
        <f>'TR TUSD'!$AC$38*'TR TUSD'!$AC$60</f>
        <v>1755.5803851134453</v>
      </c>
      <c r="AD38" s="20">
        <f>SUM($AC$38:$AC$38)</f>
        <v>1755.5803851134453</v>
      </c>
      <c r="AE38" s="20">
        <v>0</v>
      </c>
      <c r="AF38" s="20">
        <v>0</v>
      </c>
      <c r="AG38" s="20">
        <f>SUM($AE$38:$AF$38)</f>
        <v>0</v>
      </c>
      <c r="AH38" s="20">
        <f>'TR TUSD'!$AH$38*'TR TUSD'!$AH$60</f>
        <v>23.126819745398471</v>
      </c>
      <c r="AI38" s="20">
        <f>'TR TUSD'!$AI$38*'TR TUSD'!$AI$60</f>
        <v>0</v>
      </c>
      <c r="AJ38" s="20">
        <f ca="1">'TR TUSD'!$AJ$38*'TR TUSD'!$AJ$60</f>
        <v>12.615223981329457</v>
      </c>
      <c r="AK38" s="20">
        <f ca="1">'TR TUSD'!$AK$38*'TR TUSD'!$AK$60</f>
        <v>0</v>
      </c>
      <c r="AL38" s="20">
        <f ca="1">SUM($AH$38:$AK$38)</f>
        <v>35.742043726727928</v>
      </c>
      <c r="AM38" s="20">
        <f ca="1">SUMIF($L$4:$AL$4,"SUBTOTAL",$L$38:$AL$38)</f>
        <v>2466.8910660681099</v>
      </c>
      <c r="AP38" s="20">
        <f>IF((1 - CUSTOS!$M$30)&lt;&gt;0,1/(1 - CUSTOS!$M$30),1)</f>
        <v>1</v>
      </c>
    </row>
    <row r="39" spans="1:42" ht="11.25" customHeight="1" x14ac:dyDescent="0.3">
      <c r="A39" s="120"/>
      <c r="B39" s="120"/>
      <c r="C39" s="120"/>
      <c r="D39" s="120"/>
      <c r="E39" s="120"/>
      <c r="F39" s="120"/>
      <c r="G39" s="21" t="s">
        <v>85</v>
      </c>
      <c r="H39" s="21" t="s">
        <v>72</v>
      </c>
      <c r="I39" s="21">
        <f>'MERCADO TUSD'!$U$36</f>
        <v>0</v>
      </c>
      <c r="J39" s="17"/>
      <c r="L39" s="20">
        <f>'TR TUSD'!$L$39*'TR TUSD'!$L$60</f>
        <v>13.958780755873175</v>
      </c>
      <c r="M39" s="20">
        <f>'TR TUSD'!$M$39*'TR TUSD'!$M$60</f>
        <v>3.3006479642200062</v>
      </c>
      <c r="N39" s="20">
        <f ca="1">'TR TUSD'!$N$39*'TR TUSD'!$N$60</f>
        <v>0</v>
      </c>
      <c r="O39" s="20">
        <f>'TR TUSD'!$O$39*'TR TUSD'!$O$60</f>
        <v>0</v>
      </c>
      <c r="P39" s="20">
        <f>'TR TUSD'!$P$39*'TR TUSD'!$P$60</f>
        <v>0</v>
      </c>
      <c r="Q39" s="20">
        <f>'TR TUSD'!$Q$39*'TR TUSD'!$Q$60</f>
        <v>92.332288763378685</v>
      </c>
      <c r="R39" s="20">
        <f>'TR TUSD'!$R$39*'TR TUSD'!$R$60</f>
        <v>15.288559577366142</v>
      </c>
      <c r="S39" s="20">
        <f>'TR TUSD'!$S$39*'TR TUSD'!$S$60</f>
        <v>0</v>
      </c>
      <c r="T39" s="20">
        <f ca="1">SUM($L$39:$S$39)</f>
        <v>124.88027706083801</v>
      </c>
      <c r="U39" s="20">
        <f>'TR TUSD'!$U$39*'TR TUSD'!$U$60</f>
        <v>0</v>
      </c>
      <c r="V39" s="20">
        <f>'TR TUSD'!$V$39*'TR TUSD'!$V$60</f>
        <v>0</v>
      </c>
      <c r="W39" s="20">
        <f>'TR TUSD'!$W$39*'TR TUSD'!$W$60</f>
        <v>0</v>
      </c>
      <c r="X39" s="20">
        <f>'TR TUSD'!$X$39*'TR TUSD'!$X$60</f>
        <v>0</v>
      </c>
      <c r="Y39" s="20">
        <f>'TR TUSD'!$Y$39*'TR TUSD'!$Y$60</f>
        <v>330.41277553937823</v>
      </c>
      <c r="Z39" s="20">
        <f>'TR TUSD'!$Z$39</f>
        <v>0</v>
      </c>
      <c r="AA39" s="20">
        <f>'TR TUSD'!$AA$39</f>
        <v>0</v>
      </c>
      <c r="AB39" s="20">
        <f>SUM($U$39:$AA$39)</f>
        <v>330.41277553937823</v>
      </c>
      <c r="AC39" s="20">
        <f>'TR TUSD'!$AC$39*'TR TUSD'!$AC$60</f>
        <v>1053.3483935776933</v>
      </c>
      <c r="AD39" s="20">
        <f>SUM($AC$39:$AC$39)</f>
        <v>1053.3483935776933</v>
      </c>
      <c r="AE39" s="20">
        <v>0</v>
      </c>
      <c r="AF39" s="20">
        <v>0</v>
      </c>
      <c r="AG39" s="20">
        <f>SUM($AE$39:$AF$39)</f>
        <v>0</v>
      </c>
      <c r="AH39" s="20">
        <f>'TR TUSD'!$AH$39*'TR TUSD'!$AH$60</f>
        <v>23.126819745398471</v>
      </c>
      <c r="AI39" s="20">
        <f>'TR TUSD'!$AI$39*'TR TUSD'!$AI$60</f>
        <v>0</v>
      </c>
      <c r="AJ39" s="20">
        <f ca="1">'TR TUSD'!$AJ$39*'TR TUSD'!$AJ$60</f>
        <v>12.615223981329457</v>
      </c>
      <c r="AK39" s="20">
        <f ca="1">'TR TUSD'!$AK$39*'TR TUSD'!$AK$60</f>
        <v>0</v>
      </c>
      <c r="AL39" s="20">
        <f ca="1">SUM($AH$39:$AK$39)</f>
        <v>35.742043726727928</v>
      </c>
      <c r="AM39" s="20">
        <f ca="1">SUMIF($L$4:$AL$4,"SUBTOTAL",$L$39:$AL$39)</f>
        <v>1544.3834899046374</v>
      </c>
      <c r="AP39" s="20">
        <f>IF((1 - CUSTOS!$M$30)&lt;&gt;0,1/(1 - CUSTOS!$M$30),1)</f>
        <v>1</v>
      </c>
    </row>
    <row r="40" spans="1:42" ht="11.25" customHeight="1" x14ac:dyDescent="0.3">
      <c r="A40" s="120"/>
      <c r="B40" s="120"/>
      <c r="C40" s="120"/>
      <c r="D40" s="120"/>
      <c r="E40" s="120"/>
      <c r="F40" s="120"/>
      <c r="G40" s="21" t="s">
        <v>74</v>
      </c>
      <c r="H40" s="21" t="s">
        <v>72</v>
      </c>
      <c r="I40" s="21">
        <f>'MERCADO TUSD'!$U$37</f>
        <v>0</v>
      </c>
      <c r="J40" s="17"/>
      <c r="L40" s="20">
        <f>'TR TUSD'!$L$40*'TR TUSD'!$L$60</f>
        <v>13.958780755873175</v>
      </c>
      <c r="M40" s="20">
        <f>'TR TUSD'!$M$40*'TR TUSD'!$M$60</f>
        <v>3.3006479642200062</v>
      </c>
      <c r="N40" s="20">
        <f ca="1">'TR TUSD'!$N$40*'TR TUSD'!$N$60</f>
        <v>0</v>
      </c>
      <c r="O40" s="20">
        <f>'TR TUSD'!$O$40*'TR TUSD'!$O$60</f>
        <v>0</v>
      </c>
      <c r="P40" s="20">
        <f>'TR TUSD'!$P$40*'TR TUSD'!$P$60</f>
        <v>0</v>
      </c>
      <c r="Q40" s="20">
        <f>'TR TUSD'!$Q$40*'TR TUSD'!$Q$60</f>
        <v>92.332288763378685</v>
      </c>
      <c r="R40" s="20">
        <f>'TR TUSD'!$R$40*'TR TUSD'!$R$60</f>
        <v>15.288559577366142</v>
      </c>
      <c r="S40" s="20">
        <f>'TR TUSD'!$S$40*'TR TUSD'!$S$60</f>
        <v>0</v>
      </c>
      <c r="T40" s="20">
        <f ca="1">SUM($L$40:$S$40)</f>
        <v>124.88027706083801</v>
      </c>
      <c r="U40" s="20">
        <f>'TR TUSD'!$U$40*'TR TUSD'!$U$60</f>
        <v>0</v>
      </c>
      <c r="V40" s="20">
        <f>'TR TUSD'!$V$40*'TR TUSD'!$V$60</f>
        <v>0</v>
      </c>
      <c r="W40" s="20">
        <f>'TR TUSD'!$W$40*'TR TUSD'!$W$60</f>
        <v>0</v>
      </c>
      <c r="X40" s="20">
        <f>'TR TUSD'!$X$40*'TR TUSD'!$X$60</f>
        <v>0</v>
      </c>
      <c r="Y40" s="20">
        <f>'TR TUSD'!$Y$40*'TR TUSD'!$Y$60</f>
        <v>110.13719091165791</v>
      </c>
      <c r="Z40" s="20">
        <f>'TR TUSD'!$Z$40</f>
        <v>0</v>
      </c>
      <c r="AA40" s="20">
        <f>'TR TUSD'!$AA$40</f>
        <v>0</v>
      </c>
      <c r="AB40" s="20">
        <f>SUM($U$40:$AA$40)</f>
        <v>110.13719091165791</v>
      </c>
      <c r="AC40" s="20">
        <f>'TR TUSD'!$AC$40*'TR TUSD'!$AC$60</f>
        <v>351.11613119256441</v>
      </c>
      <c r="AD40" s="20">
        <f>SUM($AC$40:$AC$40)</f>
        <v>351.11613119256441</v>
      </c>
      <c r="AE40" s="20">
        <v>0</v>
      </c>
      <c r="AF40" s="20">
        <v>0</v>
      </c>
      <c r="AG40" s="20">
        <f>SUM($AE$40:$AF$40)</f>
        <v>0</v>
      </c>
      <c r="AH40" s="20">
        <f>'TR TUSD'!$AH$40*'TR TUSD'!$AH$60</f>
        <v>23.126819745398471</v>
      </c>
      <c r="AI40" s="20">
        <f>'TR TUSD'!$AI$40*'TR TUSD'!$AI$60</f>
        <v>0</v>
      </c>
      <c r="AJ40" s="20">
        <f ca="1">'TR TUSD'!$AJ$40*'TR TUSD'!$AJ$60</f>
        <v>12.615223981329457</v>
      </c>
      <c r="AK40" s="20">
        <f ca="1">'TR TUSD'!$AK$40*'TR TUSD'!$AK$60</f>
        <v>0</v>
      </c>
      <c r="AL40" s="20">
        <f ca="1">SUM($AH$40:$AK$40)</f>
        <v>35.742043726727928</v>
      </c>
      <c r="AM40" s="20">
        <f ca="1">SUMIF($L$4:$AL$4,"SUBTOTAL",$L$40:$AL$40)</f>
        <v>621.87564289178829</v>
      </c>
      <c r="AP40" s="20">
        <f>IF((1 - CUSTOS!$M$30)&lt;&gt;0,1/(1 - CUSTOS!$M$30),1)</f>
        <v>1</v>
      </c>
    </row>
    <row r="41" spans="1:42" ht="11.25" customHeight="1" x14ac:dyDescent="0.3">
      <c r="A41" s="120"/>
      <c r="B41" s="22" t="s">
        <v>23</v>
      </c>
      <c r="C41" s="22" t="s">
        <v>44</v>
      </c>
      <c r="D41" s="22" t="s">
        <v>89</v>
      </c>
      <c r="E41" s="22" t="s">
        <v>25</v>
      </c>
      <c r="F41" s="22" t="s">
        <v>25</v>
      </c>
      <c r="G41" s="21" t="s">
        <v>76</v>
      </c>
      <c r="H41" s="21" t="s">
        <v>72</v>
      </c>
      <c r="I41" s="21">
        <f>'MERCADO TUSD'!$U$38</f>
        <v>0</v>
      </c>
      <c r="J41" s="17"/>
      <c r="L41" s="20">
        <f>'TR TUSD'!$L$41*'TR TUSD'!$L$60</f>
        <v>13.958780755873175</v>
      </c>
      <c r="M41" s="20">
        <f>'TR TUSD'!$M$41*'TR TUSD'!$M$60</f>
        <v>3.3006479642200062</v>
      </c>
      <c r="N41" s="20">
        <f ca="1">'TR TUSD'!$N$41*'TR TUSD'!$N$60</f>
        <v>0</v>
      </c>
      <c r="O41" s="20">
        <f>'TR TUSD'!$O$41*'TR TUSD'!$O$60</f>
        <v>0</v>
      </c>
      <c r="P41" s="20">
        <f>'TR TUSD'!$P$41*'TR TUSD'!$P$60</f>
        <v>0</v>
      </c>
      <c r="Q41" s="20">
        <f>'TR TUSD'!$Q$41*'TR TUSD'!$Q$60</f>
        <v>92.332288763378685</v>
      </c>
      <c r="R41" s="20">
        <f>'TR TUSD'!$R$41*'TR TUSD'!$R$60</f>
        <v>15.288559577366142</v>
      </c>
      <c r="S41" s="20">
        <f>'TR TUSD'!$S$41*'TR TUSD'!$S$60</f>
        <v>0</v>
      </c>
      <c r="T41" s="20">
        <f ca="1">SUM($L$41:$S$41)</f>
        <v>124.88027706083801</v>
      </c>
      <c r="U41" s="20">
        <f>'TR TUSD'!$U$41*'TR TUSD'!$U$60</f>
        <v>0</v>
      </c>
      <c r="V41" s="20">
        <f>'TR TUSD'!$V$41*'TR TUSD'!$V$60</f>
        <v>0</v>
      </c>
      <c r="W41" s="20">
        <f>'TR TUSD'!$W$41*'TR TUSD'!$W$60</f>
        <v>0</v>
      </c>
      <c r="X41" s="20">
        <f>'TR TUSD'!$X$41*'TR TUSD'!$X$60</f>
        <v>0</v>
      </c>
      <c r="Y41" s="20">
        <f>'TR TUSD'!$Y$41*'TR TUSD'!$Y$60</f>
        <v>211.80303040205263</v>
      </c>
      <c r="Z41" s="20">
        <f>'TR TUSD'!$Z$41</f>
        <v>0</v>
      </c>
      <c r="AA41" s="20">
        <f>'TR TUSD'!$AA$41</f>
        <v>0</v>
      </c>
      <c r="AB41" s="20">
        <f>SUM($U$41:$AA$41)</f>
        <v>211.80303040205263</v>
      </c>
      <c r="AC41" s="20">
        <f>'TR TUSD'!$AC$41*'TR TUSD'!$AC$60</f>
        <v>675.22343338930727</v>
      </c>
      <c r="AD41" s="20">
        <f>SUM($AC$41:$AC$41)</f>
        <v>675.22343338930727</v>
      </c>
      <c r="AE41" s="20">
        <v>0</v>
      </c>
      <c r="AF41" s="20">
        <v>0</v>
      </c>
      <c r="AG41" s="20">
        <f>SUM($AE$41:$AF$41)</f>
        <v>0</v>
      </c>
      <c r="AH41" s="20">
        <f>'TR TUSD'!$AH$41*'TR TUSD'!$AH$60</f>
        <v>23.126819745398471</v>
      </c>
      <c r="AI41" s="20">
        <f>'TR TUSD'!$AI$41*'TR TUSD'!$AI$60</f>
        <v>0</v>
      </c>
      <c r="AJ41" s="20">
        <f ca="1">'TR TUSD'!$AJ$41*'TR TUSD'!$AJ$60</f>
        <v>12.615223981329457</v>
      </c>
      <c r="AK41" s="20">
        <f ca="1">'TR TUSD'!$AK$41*'TR TUSD'!$AK$60</f>
        <v>0</v>
      </c>
      <c r="AL41" s="20">
        <f ca="1">SUM($AH$41:$AK$41)</f>
        <v>35.742043726727928</v>
      </c>
      <c r="AM41" s="20">
        <f ca="1">SUMIF($L$4:$AL$4,"SUBTOTAL",$L$41:$AL$41)</f>
        <v>1047.6487845789259</v>
      </c>
      <c r="AP41" s="20">
        <f>IF((1 - CUSTOS!$M$30)&lt;&gt;0,1/(1 - CUSTOS!$M$30),1)</f>
        <v>1</v>
      </c>
    </row>
    <row r="42" spans="1:42" ht="11.25" customHeight="1" x14ac:dyDescent="0.3">
      <c r="A42" s="120"/>
      <c r="B42" s="120" t="s">
        <v>87</v>
      </c>
      <c r="C42" s="120" t="s">
        <v>44</v>
      </c>
      <c r="D42" s="22" t="s">
        <v>25</v>
      </c>
      <c r="E42" s="22" t="s">
        <v>25</v>
      </c>
      <c r="F42" s="22" t="s">
        <v>25</v>
      </c>
      <c r="G42" s="21" t="s">
        <v>76</v>
      </c>
      <c r="H42" s="21" t="s">
        <v>72</v>
      </c>
      <c r="I42" s="21">
        <f>'MERCADO TUSD'!$U$39</f>
        <v>0</v>
      </c>
      <c r="J42" s="17"/>
      <c r="L42" s="20">
        <f>'TR TUSD'!$L$42*'TR TUSD'!$L$60</f>
        <v>13.958780755873175</v>
      </c>
      <c r="M42" s="20">
        <f>'TR TUSD'!$M$42*'TR TUSD'!$M$60</f>
        <v>3.3006479642200062</v>
      </c>
      <c r="N42" s="20">
        <f ca="1">'TR TUSD'!$N$42*'TR TUSD'!$N$60</f>
        <v>0</v>
      </c>
      <c r="O42" s="20">
        <f>'TR TUSD'!$O$42*'TR TUSD'!$O$60</f>
        <v>0</v>
      </c>
      <c r="P42" s="20">
        <f>'TR TUSD'!$P$42*'TR TUSD'!$P$60</f>
        <v>0</v>
      </c>
      <c r="Q42" s="20">
        <f>'TR TUSD'!$Q$42*'TR TUSD'!$Q$60</f>
        <v>92.332288763378685</v>
      </c>
      <c r="R42" s="20">
        <f>'TR TUSD'!$R$42*'TR TUSD'!$R$60</f>
        <v>15.288559577366142</v>
      </c>
      <c r="S42" s="20">
        <f>'TR TUSD'!$S$42*'TR TUSD'!$S$60</f>
        <v>0</v>
      </c>
      <c r="T42" s="20">
        <f ca="1">SUM($L$42:$S$42)</f>
        <v>124.88027706083801</v>
      </c>
      <c r="U42" s="20">
        <f>'TR TUSD'!$U$42*'TR TUSD'!$U$60</f>
        <v>0</v>
      </c>
      <c r="V42" s="20">
        <f>'TR TUSD'!$V$42*'TR TUSD'!$V$60</f>
        <v>0</v>
      </c>
      <c r="W42" s="20">
        <f>'TR TUSD'!$W$42*'TR TUSD'!$W$60</f>
        <v>0</v>
      </c>
      <c r="X42" s="20">
        <f>'TR TUSD'!$X$42*'TR TUSD'!$X$60</f>
        <v>0</v>
      </c>
      <c r="Y42" s="20">
        <f>'TR TUSD'!$Y$42*'TR TUSD'!$Y$60</f>
        <v>211.80303040205263</v>
      </c>
      <c r="Z42" s="20">
        <f>'TR TUSD'!$Z$42</f>
        <v>0</v>
      </c>
      <c r="AA42" s="20">
        <f>'TR TUSD'!$AA$42</f>
        <v>0</v>
      </c>
      <c r="AB42" s="20">
        <f>SUM($U$42:$AA$42)</f>
        <v>211.80303040205263</v>
      </c>
      <c r="AC42" s="20">
        <f>'TR TUSD'!$AC$42*'TR TUSD'!$AC$60</f>
        <v>675.22343338930727</v>
      </c>
      <c r="AD42" s="20">
        <f>SUM($AC$42:$AC$42)</f>
        <v>675.22343338930727</v>
      </c>
      <c r="AE42" s="20">
        <v>0</v>
      </c>
      <c r="AF42" s="20">
        <v>0</v>
      </c>
      <c r="AG42" s="20">
        <f>SUM($AE$42:$AF$42)</f>
        <v>0</v>
      </c>
      <c r="AH42" s="20">
        <f>'TR TUSD'!$AH$42*'TR TUSD'!$AH$60</f>
        <v>23.126819745398471</v>
      </c>
      <c r="AI42" s="20">
        <f>'TR TUSD'!$AI$42*'TR TUSD'!$AI$60</f>
        <v>0</v>
      </c>
      <c r="AJ42" s="20">
        <f ca="1">'TR TUSD'!$AJ$42*'TR TUSD'!$AJ$60</f>
        <v>12.615223981329457</v>
      </c>
      <c r="AK42" s="20">
        <f ca="1">'TR TUSD'!$AK$42*'TR TUSD'!$AK$60</f>
        <v>0</v>
      </c>
      <c r="AL42" s="20">
        <f ca="1">SUM($AH$42:$AK$42)</f>
        <v>35.742043726727928</v>
      </c>
      <c r="AM42" s="20">
        <f ca="1">SUMIF($L$4:$AL$4,"SUBTOTAL",$L$42:$AL$42)</f>
        <v>1047.6487845789259</v>
      </c>
      <c r="AP42" s="20">
        <f>IF((1 - CUSTOS!$M$28)&lt;&gt;0,1/(1 - CUSTOS!$M$28),1)</f>
        <v>1</v>
      </c>
    </row>
    <row r="43" spans="1:42" ht="11.25" customHeight="1" x14ac:dyDescent="0.3">
      <c r="A43" s="120"/>
      <c r="B43" s="120"/>
      <c r="C43" s="120"/>
      <c r="D43" s="22" t="s">
        <v>88</v>
      </c>
      <c r="E43" s="22" t="s">
        <v>25</v>
      </c>
      <c r="F43" s="22" t="s">
        <v>25</v>
      </c>
      <c r="G43" s="21" t="s">
        <v>76</v>
      </c>
      <c r="H43" s="21" t="s">
        <v>72</v>
      </c>
      <c r="I43" s="21">
        <f>'MERCADO TUSD'!$U$40</f>
        <v>0</v>
      </c>
      <c r="J43" s="17"/>
      <c r="L43" s="20">
        <f>'TR TUSD'!$L$43*'TR TUSD'!$L$60</f>
        <v>13.958780755873175</v>
      </c>
      <c r="M43" s="20">
        <f>'TR TUSD'!$M$43*'TR TUSD'!$M$60</f>
        <v>3.3006479642200062</v>
      </c>
      <c r="N43" s="20">
        <f ca="1">'TR TUSD'!$N$43*'TR TUSD'!$N$60</f>
        <v>0</v>
      </c>
      <c r="O43" s="20">
        <f>'TR TUSD'!$O$43*'TR TUSD'!$O$60</f>
        <v>0</v>
      </c>
      <c r="P43" s="20">
        <f>'TR TUSD'!$P$43*'TR TUSD'!$P$60</f>
        <v>0</v>
      </c>
      <c r="Q43" s="20">
        <f>'TR TUSD'!$Q$43*'TR TUSD'!$Q$60</f>
        <v>92.332288763378685</v>
      </c>
      <c r="R43" s="20">
        <f>'TR TUSD'!$R$43*'TR TUSD'!$R$60</f>
        <v>15.288559577366142</v>
      </c>
      <c r="S43" s="20">
        <f>'TR TUSD'!$S$43*'TR TUSD'!$S$60</f>
        <v>0</v>
      </c>
      <c r="T43" s="20">
        <f ca="1">SUM($L$43:$S$43)</f>
        <v>124.88027706083801</v>
      </c>
      <c r="U43" s="20">
        <f>'TR TUSD'!$U$43*'TR TUSD'!$U$60</f>
        <v>0</v>
      </c>
      <c r="V43" s="20">
        <f>'TR TUSD'!$V$43*'TR TUSD'!$V$60</f>
        <v>0</v>
      </c>
      <c r="W43" s="20">
        <f>'TR TUSD'!$W$43*'TR TUSD'!$W$60</f>
        <v>0</v>
      </c>
      <c r="X43" s="20">
        <f>'TR TUSD'!$X$43*'TR TUSD'!$X$60</f>
        <v>0</v>
      </c>
      <c r="Y43" s="20">
        <f>'TR TUSD'!$Y$43*'TR TUSD'!$Y$60</f>
        <v>211.80303040205263</v>
      </c>
      <c r="Z43" s="20">
        <f>'TR TUSD'!$Z$43</f>
        <v>0</v>
      </c>
      <c r="AA43" s="20">
        <f>'TR TUSD'!$AA$43</f>
        <v>0</v>
      </c>
      <c r="AB43" s="20">
        <f>SUM($U$43:$AA$43)</f>
        <v>211.80303040205263</v>
      </c>
      <c r="AC43" s="20">
        <f>'TR TUSD'!$AC$43*'TR TUSD'!$AC$60</f>
        <v>675.22343338930727</v>
      </c>
      <c r="AD43" s="20">
        <f>SUM($AC$43:$AC$43)</f>
        <v>675.22343338930727</v>
      </c>
      <c r="AE43" s="20">
        <v>0</v>
      </c>
      <c r="AF43" s="20">
        <v>0</v>
      </c>
      <c r="AG43" s="20">
        <f>SUM($AE$43:$AF$43)</f>
        <v>0</v>
      </c>
      <c r="AH43" s="20">
        <f>'TR TUSD'!$AH$43*'TR TUSD'!$AH$60</f>
        <v>23.126819745398471</v>
      </c>
      <c r="AI43" s="20">
        <f>'TR TUSD'!$AI$43*'TR TUSD'!$AI$60</f>
        <v>0</v>
      </c>
      <c r="AJ43" s="20">
        <f ca="1">'TR TUSD'!$AJ$43*'TR TUSD'!$AJ$60</f>
        <v>12.615223981329457</v>
      </c>
      <c r="AK43" s="20">
        <f ca="1">'TR TUSD'!$AK$43*'TR TUSD'!$AK$60</f>
        <v>0</v>
      </c>
      <c r="AL43" s="20">
        <f ca="1">SUM($AH$43:$AK$43)</f>
        <v>35.742043726727928</v>
      </c>
      <c r="AM43" s="20">
        <f ca="1">SUMIF($L$4:$AL$4,"SUBTOTAL",$L$43:$AL$43)</f>
        <v>1047.6487845789259</v>
      </c>
      <c r="AP43" s="20">
        <f>IF((1 - CUSTOS!$M$29)&lt;&gt;0,1/(1 - CUSTOS!$M$29),1)</f>
        <v>1</v>
      </c>
    </row>
    <row r="44" spans="1:42" ht="11.25" customHeight="1" x14ac:dyDescent="0.3">
      <c r="A44" s="120"/>
      <c r="B44" s="120"/>
      <c r="C44" s="120"/>
      <c r="D44" s="22" t="s">
        <v>89</v>
      </c>
      <c r="E44" s="22" t="s">
        <v>25</v>
      </c>
      <c r="F44" s="22" t="s">
        <v>25</v>
      </c>
      <c r="G44" s="21" t="s">
        <v>76</v>
      </c>
      <c r="H44" s="21" t="s">
        <v>72</v>
      </c>
      <c r="I44" s="21">
        <f>'MERCADO TUSD'!$U$41</f>
        <v>0</v>
      </c>
      <c r="J44" s="17"/>
      <c r="L44" s="20">
        <f>'TR TUSD'!$L$44*'TR TUSD'!$L$60</f>
        <v>13.958780755873175</v>
      </c>
      <c r="M44" s="20">
        <f>'TR TUSD'!$M$44*'TR TUSD'!$M$60</f>
        <v>3.3006479642200062</v>
      </c>
      <c r="N44" s="20">
        <f ca="1">'TR TUSD'!$N$44*'TR TUSD'!$N$60</f>
        <v>0</v>
      </c>
      <c r="O44" s="20">
        <f>'TR TUSD'!$O$44*'TR TUSD'!$O$60</f>
        <v>0</v>
      </c>
      <c r="P44" s="20">
        <f>'TR TUSD'!$P$44*'TR TUSD'!$P$60</f>
        <v>0</v>
      </c>
      <c r="Q44" s="20">
        <f>'TR TUSD'!$Q$44*'TR TUSD'!$Q$60</f>
        <v>92.332288763378685</v>
      </c>
      <c r="R44" s="20">
        <f>'TR TUSD'!$R$44*'TR TUSD'!$R$60</f>
        <v>15.288559577366142</v>
      </c>
      <c r="S44" s="20">
        <f>'TR TUSD'!$S$44*'TR TUSD'!$S$60</f>
        <v>0</v>
      </c>
      <c r="T44" s="20">
        <f ca="1">SUM($L$44:$S$44)</f>
        <v>124.88027706083801</v>
      </c>
      <c r="U44" s="20">
        <f>'TR TUSD'!$U$44*'TR TUSD'!$U$60</f>
        <v>0</v>
      </c>
      <c r="V44" s="20">
        <f>'TR TUSD'!$V$44*'TR TUSD'!$V$60</f>
        <v>0</v>
      </c>
      <c r="W44" s="20">
        <f>'TR TUSD'!$W$44*'TR TUSD'!$W$60</f>
        <v>0</v>
      </c>
      <c r="X44" s="20">
        <f>'TR TUSD'!$X$44*'TR TUSD'!$X$60</f>
        <v>0</v>
      </c>
      <c r="Y44" s="20">
        <f>'TR TUSD'!$Y$44*'TR TUSD'!$Y$60</f>
        <v>211.80303040205263</v>
      </c>
      <c r="Z44" s="20">
        <f>'TR TUSD'!$Z$44</f>
        <v>0</v>
      </c>
      <c r="AA44" s="20">
        <f>'TR TUSD'!$AA$44</f>
        <v>0</v>
      </c>
      <c r="AB44" s="20">
        <f>SUM($U$44:$AA$44)</f>
        <v>211.80303040205263</v>
      </c>
      <c r="AC44" s="20">
        <f>'TR TUSD'!$AC$44*'TR TUSD'!$AC$60</f>
        <v>675.22343338930727</v>
      </c>
      <c r="AD44" s="20">
        <f>SUM($AC$44:$AC$44)</f>
        <v>675.22343338930727</v>
      </c>
      <c r="AE44" s="20">
        <v>0</v>
      </c>
      <c r="AF44" s="20">
        <v>0</v>
      </c>
      <c r="AG44" s="20">
        <f>SUM($AE$44:$AF$44)</f>
        <v>0</v>
      </c>
      <c r="AH44" s="20">
        <f>'TR TUSD'!$AH$44*'TR TUSD'!$AH$60</f>
        <v>23.126819745398471</v>
      </c>
      <c r="AI44" s="20">
        <f>'TR TUSD'!$AI$44*'TR TUSD'!$AI$60</f>
        <v>0</v>
      </c>
      <c r="AJ44" s="20">
        <f ca="1">'TR TUSD'!$AJ$44*'TR TUSD'!$AJ$60</f>
        <v>12.615223981329457</v>
      </c>
      <c r="AK44" s="20">
        <f ca="1">'TR TUSD'!$AK$44*'TR TUSD'!$AK$60</f>
        <v>0</v>
      </c>
      <c r="AL44" s="20">
        <f ca="1">SUM($AH$44:$AK$44)</f>
        <v>35.742043726727928</v>
      </c>
      <c r="AM44" s="20">
        <f ca="1">SUMIF($L$4:$AL$4,"SUBTOTAL",$L$44:$AL$44)</f>
        <v>1047.6487845789259</v>
      </c>
      <c r="AP44" s="20">
        <f>IF((1 - CUSTOS!$M$30)&lt;&gt;0,1/(1 - CUSTOS!$M$30),1)</f>
        <v>1</v>
      </c>
    </row>
    <row r="45" spans="1:42" ht="11.25" customHeight="1" x14ac:dyDescent="0.3">
      <c r="A45" s="120" t="s">
        <v>35</v>
      </c>
      <c r="B45" s="120" t="s">
        <v>33</v>
      </c>
      <c r="C45" s="120" t="s">
        <v>25</v>
      </c>
      <c r="D45" s="120" t="s">
        <v>25</v>
      </c>
      <c r="E45" s="120" t="s">
        <v>25</v>
      </c>
      <c r="F45" s="120" t="s">
        <v>25</v>
      </c>
      <c r="G45" s="21" t="s">
        <v>73</v>
      </c>
      <c r="H45" s="21" t="s">
        <v>72</v>
      </c>
      <c r="I45" s="21">
        <f>'MERCADO TUSD'!$U$42</f>
        <v>0.38900000000000001</v>
      </c>
      <c r="J45" s="17"/>
      <c r="L45" s="20">
        <f>'TR TUSD'!$L$45*'TR TUSD'!$L$60</f>
        <v>13.958780755873175</v>
      </c>
      <c r="M45" s="20">
        <f>'TR TUSD'!$M$45*'TR TUSD'!$M$60</f>
        <v>3.3006479642200062</v>
      </c>
      <c r="N45" s="20">
        <f ca="1">'TR TUSD'!$N$45*'TR TUSD'!$N$60</f>
        <v>0</v>
      </c>
      <c r="O45" s="20">
        <f>'TR TUSD'!$O$45*'TR TUSD'!$O$60</f>
        <v>0</v>
      </c>
      <c r="P45" s="20">
        <f>'TR TUSD'!$P$45*'TR TUSD'!$P$60</f>
        <v>0</v>
      </c>
      <c r="Q45" s="20">
        <f>'TR TUSD'!$Q$45*'TR TUSD'!$Q$60</f>
        <v>92.332288763378685</v>
      </c>
      <c r="R45" s="20">
        <f>'TR TUSD'!$R$45*'TR TUSD'!$R$60</f>
        <v>15.288559577366142</v>
      </c>
      <c r="S45" s="20">
        <f>'TR TUSD'!$S$45*'TR TUSD'!$S$60</f>
        <v>0</v>
      </c>
      <c r="T45" s="20">
        <f ca="1">SUM($L$45:$S$45)</f>
        <v>124.88027706083801</v>
      </c>
      <c r="U45" s="20">
        <f>'TR TUSD'!$U$45*'TR TUSD'!$U$60</f>
        <v>0</v>
      </c>
      <c r="V45" s="20">
        <f>'TR TUSD'!$V$45*'TR TUSD'!$V$60</f>
        <v>0</v>
      </c>
      <c r="W45" s="20">
        <f>'TR TUSD'!$W$45*'TR TUSD'!$W$60</f>
        <v>0</v>
      </c>
      <c r="X45" s="20">
        <f>'TR TUSD'!$X$45*'TR TUSD'!$X$60</f>
        <v>0</v>
      </c>
      <c r="Y45" s="20">
        <f>'TR TUSD'!$Y$45*'TR TUSD'!$Y$60</f>
        <v>645.99978398824248</v>
      </c>
      <c r="Z45" s="20">
        <f>'TR TUSD'!$Z$45</f>
        <v>0</v>
      </c>
      <c r="AA45" s="20">
        <f>'TR TUSD'!$AA$45</f>
        <v>0</v>
      </c>
      <c r="AB45" s="20">
        <f>SUM($U$45:$AA$45)</f>
        <v>645.99978398824248</v>
      </c>
      <c r="AC45" s="20">
        <f>'TR TUSD'!$AC$45*'TR TUSD'!$AC$60</f>
        <v>2059.4305915769128</v>
      </c>
      <c r="AD45" s="20">
        <f>SUM($AC$45:$AC$45)</f>
        <v>2059.4305915769128</v>
      </c>
      <c r="AE45" s="20">
        <v>0</v>
      </c>
      <c r="AF45" s="20">
        <v>0</v>
      </c>
      <c r="AG45" s="20">
        <f>SUM($AE$45:$AF$45)</f>
        <v>0</v>
      </c>
      <c r="AH45" s="20">
        <f>'TR TUSD'!$AH$45*'TR TUSD'!$AH$60</f>
        <v>23.126819745398471</v>
      </c>
      <c r="AI45" s="20">
        <f>'TR TUSD'!$AI$45*'TR TUSD'!$AI$60</f>
        <v>0</v>
      </c>
      <c r="AJ45" s="20">
        <f ca="1">'TR TUSD'!$AJ$45*'TR TUSD'!$AJ$60</f>
        <v>12.615223981329457</v>
      </c>
      <c r="AK45" s="20">
        <f ca="1">'TR TUSD'!$AK$45*'TR TUSD'!$AK$60</f>
        <v>0</v>
      </c>
      <c r="AL45" s="20">
        <f ca="1">SUM($AH$45:$AK$45)</f>
        <v>35.742043726727928</v>
      </c>
      <c r="AM45" s="20">
        <f ca="1">SUMIF($L$4:$AL$4,"SUBTOTAL",$L$45:$AL$45)</f>
        <v>2866.0526963527213</v>
      </c>
      <c r="AP45" s="20">
        <f>IF((1 - CUSTOS!$M$31)&lt;&gt;0,1/(1 - CUSTOS!$M$31),1)</f>
        <v>1</v>
      </c>
    </row>
    <row r="46" spans="1:42" ht="11.25" customHeight="1" x14ac:dyDescent="0.3">
      <c r="A46" s="120"/>
      <c r="B46" s="120"/>
      <c r="C46" s="120"/>
      <c r="D46" s="120"/>
      <c r="E46" s="120"/>
      <c r="F46" s="120"/>
      <c r="G46" s="21" t="s">
        <v>85</v>
      </c>
      <c r="H46" s="21" t="s">
        <v>72</v>
      </c>
      <c r="I46" s="21">
        <f>'MERCADO TUSD'!$U$43</f>
        <v>0.23799999999999999</v>
      </c>
      <c r="J46" s="17"/>
      <c r="L46" s="20">
        <f>'TR TUSD'!$L$46*'TR TUSD'!$L$60</f>
        <v>13.958780755873175</v>
      </c>
      <c r="M46" s="20">
        <f>'TR TUSD'!$M$46*'TR TUSD'!$M$60</f>
        <v>3.3006479642200062</v>
      </c>
      <c r="N46" s="20">
        <f ca="1">'TR TUSD'!$N$46*'TR TUSD'!$N$60</f>
        <v>0</v>
      </c>
      <c r="O46" s="20">
        <f>'TR TUSD'!$O$46*'TR TUSD'!$O$60</f>
        <v>0</v>
      </c>
      <c r="P46" s="20">
        <f>'TR TUSD'!$P$46*'TR TUSD'!$P$60</f>
        <v>0</v>
      </c>
      <c r="Q46" s="20">
        <f>'TR TUSD'!$Q$46*'TR TUSD'!$Q$60</f>
        <v>92.332288763378685</v>
      </c>
      <c r="R46" s="20">
        <f>'TR TUSD'!$R$46*'TR TUSD'!$R$60</f>
        <v>15.288559577366142</v>
      </c>
      <c r="S46" s="20">
        <f>'TR TUSD'!$S$46*'TR TUSD'!$S$60</f>
        <v>0</v>
      </c>
      <c r="T46" s="20">
        <f ca="1">SUM($L$46:$S$46)</f>
        <v>124.88027706083801</v>
      </c>
      <c r="U46" s="20">
        <f>'TR TUSD'!$U$46*'TR TUSD'!$U$60</f>
        <v>0</v>
      </c>
      <c r="V46" s="20">
        <f>'TR TUSD'!$V$46*'TR TUSD'!$V$60</f>
        <v>0</v>
      </c>
      <c r="W46" s="20">
        <f>'TR TUSD'!$W$46*'TR TUSD'!$W$60</f>
        <v>0</v>
      </c>
      <c r="X46" s="20">
        <f>'TR TUSD'!$X$46*'TR TUSD'!$X$60</f>
        <v>0</v>
      </c>
      <c r="Y46" s="20">
        <f>'TR TUSD'!$Y$46*'TR TUSD'!$Y$60</f>
        <v>387.6001109538264</v>
      </c>
      <c r="Z46" s="20">
        <f>'TR TUSD'!$Z$46</f>
        <v>0</v>
      </c>
      <c r="AA46" s="20">
        <f>'TR TUSD'!$AA$46</f>
        <v>0</v>
      </c>
      <c r="AB46" s="20">
        <f>SUM($U$46:$AA$46)</f>
        <v>387.6001109538264</v>
      </c>
      <c r="AC46" s="20">
        <f>'TR TUSD'!$AC$46*'TR TUSD'!$AC$60</f>
        <v>1235.6584632858983</v>
      </c>
      <c r="AD46" s="20">
        <f>SUM($AC$46:$AC$46)</f>
        <v>1235.6584632858983</v>
      </c>
      <c r="AE46" s="20">
        <v>0</v>
      </c>
      <c r="AF46" s="20">
        <v>0</v>
      </c>
      <c r="AG46" s="20">
        <f>SUM($AE$46:$AF$46)</f>
        <v>0</v>
      </c>
      <c r="AH46" s="20">
        <f>'TR TUSD'!$AH$46*'TR TUSD'!$AH$60</f>
        <v>23.126819745398471</v>
      </c>
      <c r="AI46" s="20">
        <f>'TR TUSD'!$AI$46*'TR TUSD'!$AI$60</f>
        <v>0</v>
      </c>
      <c r="AJ46" s="20">
        <f ca="1">'TR TUSD'!$AJ$46*'TR TUSD'!$AJ$60</f>
        <v>12.615223981329457</v>
      </c>
      <c r="AK46" s="20">
        <f ca="1">'TR TUSD'!$AK$46*'TR TUSD'!$AK$60</f>
        <v>0</v>
      </c>
      <c r="AL46" s="20">
        <f ca="1">SUM($AH$46:$AK$46)</f>
        <v>35.742043726727928</v>
      </c>
      <c r="AM46" s="20">
        <f ca="1">SUMIF($L$4:$AL$4,"SUBTOTAL",$L$46:$AL$46)</f>
        <v>1783.8808950272905</v>
      </c>
      <c r="AP46" s="20">
        <f>IF((1 - CUSTOS!$M$31)&lt;&gt;0,1/(1 - CUSTOS!$M$31),1)</f>
        <v>1</v>
      </c>
    </row>
    <row r="47" spans="1:42" ht="11.25" customHeight="1" x14ac:dyDescent="0.3">
      <c r="A47" s="120"/>
      <c r="B47" s="120"/>
      <c r="C47" s="120"/>
      <c r="D47" s="120"/>
      <c r="E47" s="120"/>
      <c r="F47" s="120"/>
      <c r="G47" s="21" t="s">
        <v>74</v>
      </c>
      <c r="H47" s="21" t="s">
        <v>72</v>
      </c>
      <c r="I47" s="21">
        <f>'MERCADO TUSD'!$U$44</f>
        <v>2.8279999999999998</v>
      </c>
      <c r="J47" s="17"/>
      <c r="L47" s="20">
        <f>'TR TUSD'!$L$47*'TR TUSD'!$L$60</f>
        <v>13.958780755873175</v>
      </c>
      <c r="M47" s="20">
        <f>'TR TUSD'!$M$47*'TR TUSD'!$M$60</f>
        <v>3.3006479642200062</v>
      </c>
      <c r="N47" s="20">
        <f ca="1">'TR TUSD'!$N$47*'TR TUSD'!$N$60</f>
        <v>0</v>
      </c>
      <c r="O47" s="20">
        <f>'TR TUSD'!$O$47*'TR TUSD'!$O$60</f>
        <v>0</v>
      </c>
      <c r="P47" s="20">
        <f>'TR TUSD'!$P$47*'TR TUSD'!$P$60</f>
        <v>0</v>
      </c>
      <c r="Q47" s="20">
        <f>'TR TUSD'!$Q$47*'TR TUSD'!$Q$60</f>
        <v>92.332288763378685</v>
      </c>
      <c r="R47" s="20">
        <f>'TR TUSD'!$R$47*'TR TUSD'!$R$60</f>
        <v>15.288559577366142</v>
      </c>
      <c r="S47" s="20">
        <f>'TR TUSD'!$S$47*'TR TUSD'!$S$60</f>
        <v>0</v>
      </c>
      <c r="T47" s="20">
        <f ca="1">SUM($L$47:$S$47)</f>
        <v>124.88027706083801</v>
      </c>
      <c r="U47" s="20">
        <f>'TR TUSD'!$U$47*'TR TUSD'!$U$60</f>
        <v>0</v>
      </c>
      <c r="V47" s="20">
        <f>'TR TUSD'!$V$47*'TR TUSD'!$V$60</f>
        <v>0</v>
      </c>
      <c r="W47" s="20">
        <f>'TR TUSD'!$W$47*'TR TUSD'!$W$60</f>
        <v>0</v>
      </c>
      <c r="X47" s="20">
        <f>'TR TUSD'!$X$47*'TR TUSD'!$X$60</f>
        <v>0</v>
      </c>
      <c r="Y47" s="20">
        <f>'TR TUSD'!$Y$47*'TR TUSD'!$Y$60</f>
        <v>129.20043791941032</v>
      </c>
      <c r="Z47" s="20">
        <f>'TR TUSD'!$Z$47</f>
        <v>0</v>
      </c>
      <c r="AA47" s="20">
        <f>'TR TUSD'!$AA$47</f>
        <v>0</v>
      </c>
      <c r="AB47" s="20">
        <f>SUM($U$47:$AA$47)</f>
        <v>129.20043791941032</v>
      </c>
      <c r="AC47" s="20">
        <f>'TR TUSD'!$AC$47*'TR TUSD'!$AC$60</f>
        <v>411.88606414550725</v>
      </c>
      <c r="AD47" s="20">
        <f>SUM($AC$47:$AC$47)</f>
        <v>411.88606414550725</v>
      </c>
      <c r="AE47" s="20">
        <v>0</v>
      </c>
      <c r="AF47" s="20">
        <v>0</v>
      </c>
      <c r="AG47" s="20">
        <f>SUM($AE$47:$AF$47)</f>
        <v>0</v>
      </c>
      <c r="AH47" s="20">
        <f>'TR TUSD'!$AH$47*'TR TUSD'!$AH$60</f>
        <v>23.126819745398471</v>
      </c>
      <c r="AI47" s="20">
        <f>'TR TUSD'!$AI$47*'TR TUSD'!$AI$60</f>
        <v>0</v>
      </c>
      <c r="AJ47" s="20">
        <f ca="1">'TR TUSD'!$AJ$47*'TR TUSD'!$AJ$60</f>
        <v>12.615223981329457</v>
      </c>
      <c r="AK47" s="20">
        <f ca="1">'TR TUSD'!$AK$47*'TR TUSD'!$AK$60</f>
        <v>0</v>
      </c>
      <c r="AL47" s="20">
        <f ca="1">SUM($AH$47:$AK$47)</f>
        <v>35.742043726727928</v>
      </c>
      <c r="AM47" s="20">
        <f ca="1">SUMIF($L$4:$AL$4,"SUBTOTAL",$L$47:$AL$47)</f>
        <v>701.70882285248354</v>
      </c>
      <c r="AP47" s="20">
        <f>IF((1 - CUSTOS!$M$31)&lt;&gt;0,1/(1 - CUSTOS!$M$31),1)</f>
        <v>1</v>
      </c>
    </row>
    <row r="48" spans="1:42" ht="11.25" customHeight="1" x14ac:dyDescent="0.3">
      <c r="A48" s="120"/>
      <c r="B48" s="22" t="s">
        <v>23</v>
      </c>
      <c r="C48" s="22" t="s">
        <v>25</v>
      </c>
      <c r="D48" s="22" t="s">
        <v>25</v>
      </c>
      <c r="E48" s="22" t="s">
        <v>25</v>
      </c>
      <c r="F48" s="22" t="s">
        <v>25</v>
      </c>
      <c r="G48" s="21" t="s">
        <v>76</v>
      </c>
      <c r="H48" s="21" t="s">
        <v>72</v>
      </c>
      <c r="I48" s="21">
        <f>'MERCADO TUSD'!$U$45</f>
        <v>1798.9960000000001</v>
      </c>
      <c r="J48" s="17"/>
      <c r="L48" s="20">
        <f>'TR TUSD'!$L$48*'TR TUSD'!$L$60</f>
        <v>13.958780755873175</v>
      </c>
      <c r="M48" s="20">
        <f>'TR TUSD'!$M$48*'TR TUSD'!$M$60</f>
        <v>3.3006479642200062</v>
      </c>
      <c r="N48" s="20">
        <f ca="1">'TR TUSD'!$N$48*'TR TUSD'!$N$60</f>
        <v>0</v>
      </c>
      <c r="O48" s="20">
        <f>'TR TUSD'!$O$48*'TR TUSD'!$O$60</f>
        <v>0</v>
      </c>
      <c r="P48" s="20">
        <f>'TR TUSD'!$P$48*'TR TUSD'!$P$60</f>
        <v>0</v>
      </c>
      <c r="Q48" s="20">
        <f>'TR TUSD'!$Q$48*'TR TUSD'!$Q$60</f>
        <v>92.332288763378685</v>
      </c>
      <c r="R48" s="20">
        <f>'TR TUSD'!$R$48*'TR TUSD'!$R$60</f>
        <v>15.288559577366142</v>
      </c>
      <c r="S48" s="20">
        <f>'TR TUSD'!$S$48*'TR TUSD'!$S$60</f>
        <v>0</v>
      </c>
      <c r="T48" s="20">
        <f ca="1">SUM($L$48:$S$48)</f>
        <v>124.88027706083801</v>
      </c>
      <c r="U48" s="20">
        <f>'TR TUSD'!$U$48*'TR TUSD'!$U$60</f>
        <v>0</v>
      </c>
      <c r="V48" s="20">
        <f>'TR TUSD'!$V$48*'TR TUSD'!$V$60</f>
        <v>0</v>
      </c>
      <c r="W48" s="20">
        <f>'TR TUSD'!$W$48*'TR TUSD'!$W$60</f>
        <v>0</v>
      </c>
      <c r="X48" s="20">
        <f>'TR TUSD'!$X$48*'TR TUSD'!$X$60</f>
        <v>0</v>
      </c>
      <c r="Y48" s="20">
        <f>'TR TUSD'!$Y$48*'TR TUSD'!$Y$60</f>
        <v>211.80303040205263</v>
      </c>
      <c r="Z48" s="20">
        <f>'TR TUSD'!$Z$48</f>
        <v>0</v>
      </c>
      <c r="AA48" s="20">
        <f>'TR TUSD'!$AA$48</f>
        <v>0</v>
      </c>
      <c r="AB48" s="20">
        <f>SUM($U$48:$AA$48)</f>
        <v>211.80303040205263</v>
      </c>
      <c r="AC48" s="20">
        <f>'TR TUSD'!$AC$48*'TR TUSD'!$AC$60</f>
        <v>675.22343338930727</v>
      </c>
      <c r="AD48" s="20">
        <f>SUM($AC$48:$AC$48)</f>
        <v>675.22343338930727</v>
      </c>
      <c r="AE48" s="20">
        <v>0</v>
      </c>
      <c r="AF48" s="20">
        <v>0</v>
      </c>
      <c r="AG48" s="20">
        <f>SUM($AE$48:$AF$48)</f>
        <v>0</v>
      </c>
      <c r="AH48" s="20">
        <f>'TR TUSD'!$AH$48*'TR TUSD'!$AH$60</f>
        <v>23.126819745398471</v>
      </c>
      <c r="AI48" s="20">
        <f>'TR TUSD'!$AI$48*'TR TUSD'!$AI$60</f>
        <v>0</v>
      </c>
      <c r="AJ48" s="20">
        <f ca="1">'TR TUSD'!$AJ$48*'TR TUSD'!$AJ$60</f>
        <v>12.615223981329457</v>
      </c>
      <c r="AK48" s="20">
        <f ca="1">'TR TUSD'!$AK$48*'TR TUSD'!$AK$60</f>
        <v>0</v>
      </c>
      <c r="AL48" s="20">
        <f ca="1">SUM($AH$48:$AK$48)</f>
        <v>35.742043726727928</v>
      </c>
      <c r="AM48" s="20">
        <f ca="1">SUMIF($L$4:$AL$4,"SUBTOTAL",$L$48:$AL$48)</f>
        <v>1047.6487845789259</v>
      </c>
      <c r="AP48" s="20">
        <f>IF((1 - CUSTOS!$M$31)&lt;&gt;0,1/(1 - CUSTOS!$M$31),1)</f>
        <v>1</v>
      </c>
    </row>
    <row r="49" spans="1:42" ht="11.25" customHeight="1" x14ac:dyDescent="0.3">
      <c r="A49" s="120"/>
      <c r="B49" s="22" t="s">
        <v>87</v>
      </c>
      <c r="C49" s="22" t="s">
        <v>25</v>
      </c>
      <c r="D49" s="22" t="s">
        <v>25</v>
      </c>
      <c r="E49" s="22" t="s">
        <v>25</v>
      </c>
      <c r="F49" s="22" t="s">
        <v>25</v>
      </c>
      <c r="G49" s="21" t="s">
        <v>76</v>
      </c>
      <c r="H49" s="21" t="s">
        <v>72</v>
      </c>
      <c r="I49" s="21">
        <f>'MERCADO TUSD'!$U$46</f>
        <v>0</v>
      </c>
      <c r="J49" s="17"/>
      <c r="L49" s="20">
        <f>'TR TUSD'!$L$49*'TR TUSD'!$L$60</f>
        <v>13.958780755873175</v>
      </c>
      <c r="M49" s="20">
        <f>'TR TUSD'!$M$49*'TR TUSD'!$M$60</f>
        <v>3.3006479642200062</v>
      </c>
      <c r="N49" s="20">
        <f ca="1">'TR TUSD'!$N$49*'TR TUSD'!$N$60</f>
        <v>0</v>
      </c>
      <c r="O49" s="20">
        <f>'TR TUSD'!$O$49*'TR TUSD'!$O$60</f>
        <v>0</v>
      </c>
      <c r="P49" s="20">
        <f>'TR TUSD'!$P$49*'TR TUSD'!$P$60</f>
        <v>0</v>
      </c>
      <c r="Q49" s="20">
        <f>'TR TUSD'!$Q$49*'TR TUSD'!$Q$60</f>
        <v>92.332288763378685</v>
      </c>
      <c r="R49" s="20">
        <f>'TR TUSD'!$R$49*'TR TUSD'!$R$60</f>
        <v>15.288559577366142</v>
      </c>
      <c r="S49" s="20">
        <f>'TR TUSD'!$S$49*'TR TUSD'!$S$60</f>
        <v>0</v>
      </c>
      <c r="T49" s="20">
        <f ca="1">SUM($L$49:$S$49)</f>
        <v>124.88027706083801</v>
      </c>
      <c r="U49" s="20">
        <f>'TR TUSD'!$U$49*'TR TUSD'!$U$60</f>
        <v>0</v>
      </c>
      <c r="V49" s="20">
        <f>'TR TUSD'!$V$49*'TR TUSD'!$V$60</f>
        <v>0</v>
      </c>
      <c r="W49" s="20">
        <f>'TR TUSD'!$W$49*'TR TUSD'!$W$60</f>
        <v>0</v>
      </c>
      <c r="X49" s="20">
        <f>'TR TUSD'!$X$49*'TR TUSD'!$X$60</f>
        <v>0</v>
      </c>
      <c r="Y49" s="20">
        <f>'TR TUSD'!$Y$49*'TR TUSD'!$Y$60</f>
        <v>211.80303040205263</v>
      </c>
      <c r="Z49" s="20">
        <f>'TR TUSD'!$Z$49</f>
        <v>0</v>
      </c>
      <c r="AA49" s="20">
        <f>'TR TUSD'!$AA$49</f>
        <v>0</v>
      </c>
      <c r="AB49" s="20">
        <f>SUM($U$49:$AA$49)</f>
        <v>211.80303040205263</v>
      </c>
      <c r="AC49" s="20">
        <f>'TR TUSD'!$AC$49*'TR TUSD'!$AC$60</f>
        <v>675.22343338930727</v>
      </c>
      <c r="AD49" s="20">
        <f>SUM($AC$49:$AC$49)</f>
        <v>675.22343338930727</v>
      </c>
      <c r="AE49" s="20">
        <v>0</v>
      </c>
      <c r="AF49" s="20">
        <v>0</v>
      </c>
      <c r="AG49" s="20">
        <f>SUM($AE$49:$AF$49)</f>
        <v>0</v>
      </c>
      <c r="AH49" s="20">
        <f>'TR TUSD'!$AH$49*'TR TUSD'!$AH$60</f>
        <v>23.126819745398471</v>
      </c>
      <c r="AI49" s="20">
        <f>'TR TUSD'!$AI$49*'TR TUSD'!$AI$60</f>
        <v>0</v>
      </c>
      <c r="AJ49" s="20">
        <f ca="1">'TR TUSD'!$AJ$49*'TR TUSD'!$AJ$60</f>
        <v>12.615223981329457</v>
      </c>
      <c r="AK49" s="20">
        <f ca="1">'TR TUSD'!$AK$49*'TR TUSD'!$AK$60</f>
        <v>0</v>
      </c>
      <c r="AL49" s="20">
        <f ca="1">SUM($AH$49:$AK$49)</f>
        <v>35.742043726727928</v>
      </c>
      <c r="AM49" s="20">
        <f ca="1">SUMIF($L$4:$AL$4,"SUBTOTAL",$L$49:$AL$49)</f>
        <v>1047.6487845789259</v>
      </c>
      <c r="AP49" s="20">
        <f>IF((1 - CUSTOS!$M$31)&lt;&gt;0,1/(1 - CUSTOS!$M$31),1)</f>
        <v>1</v>
      </c>
    </row>
    <row r="50" spans="1:42" ht="11.25" customHeight="1" x14ac:dyDescent="0.3">
      <c r="A50" s="120" t="s">
        <v>46</v>
      </c>
      <c r="B50" s="120" t="s">
        <v>23</v>
      </c>
      <c r="C50" s="120" t="s">
        <v>47</v>
      </c>
      <c r="D50" s="22" t="s">
        <v>48</v>
      </c>
      <c r="E50" s="22" t="s">
        <v>25</v>
      </c>
      <c r="F50" s="22" t="s">
        <v>25</v>
      </c>
      <c r="G50" s="21" t="s">
        <v>76</v>
      </c>
      <c r="H50" s="21" t="s">
        <v>72</v>
      </c>
      <c r="I50" s="21">
        <f>'MERCADO TUSD'!$U$47</f>
        <v>3164.4159999999997</v>
      </c>
      <c r="J50" s="17"/>
      <c r="L50" s="20">
        <f>'TR TUSD'!$L$50*'TR TUSD'!$L$60</f>
        <v>7.677329415730247</v>
      </c>
      <c r="M50" s="20">
        <f>'TR TUSD'!$M$50*'TR TUSD'!$M$60</f>
        <v>1.8153563803210035</v>
      </c>
      <c r="N50" s="20">
        <f ca="1">'TR TUSD'!$N$50*'TR TUSD'!$N$60</f>
        <v>0</v>
      </c>
      <c r="O50" s="20">
        <f>'TR TUSD'!$O$50*'TR TUSD'!$O$60</f>
        <v>0</v>
      </c>
      <c r="P50" s="20">
        <f>'TR TUSD'!$P$50*'TR TUSD'!$P$60</f>
        <v>0</v>
      </c>
      <c r="Q50" s="20">
        <f>'TR TUSD'!$Q$50*'TR TUSD'!$Q$60</f>
        <v>50.78275881985828</v>
      </c>
      <c r="R50" s="20">
        <f>'TR TUSD'!$R$50*'TR TUSD'!$R$60</f>
        <v>8.4087077675513786</v>
      </c>
      <c r="S50" s="20">
        <f>'TR TUSD'!$S$50*'TR TUSD'!$S$60</f>
        <v>0</v>
      </c>
      <c r="T50" s="20">
        <f ca="1">SUM($L$50:$S$50)</f>
        <v>68.684152383460912</v>
      </c>
      <c r="U50" s="20">
        <f>'TR TUSD'!$U$50*'TR TUSD'!$U$60</f>
        <v>0</v>
      </c>
      <c r="V50" s="20">
        <f>'TR TUSD'!$V$50*'TR TUSD'!$V$60</f>
        <v>0</v>
      </c>
      <c r="W50" s="20">
        <f>'TR TUSD'!$W$50*'TR TUSD'!$W$60</f>
        <v>0</v>
      </c>
      <c r="X50" s="20">
        <f>'TR TUSD'!$X$50*'TR TUSD'!$X$60</f>
        <v>0</v>
      </c>
      <c r="Y50" s="20">
        <f>'TR TUSD'!$Y$50*'TR TUSD'!$Y$60</f>
        <v>116.49166672112896</v>
      </c>
      <c r="Z50" s="20">
        <f>'TR TUSD'!$Z$50</f>
        <v>0</v>
      </c>
      <c r="AA50" s="20">
        <f>'TR TUSD'!$AA$50</f>
        <v>0</v>
      </c>
      <c r="AB50" s="20">
        <f>SUM($U$50:$AA$50)</f>
        <v>116.49166672112896</v>
      </c>
      <c r="AC50" s="20">
        <f>'TR TUSD'!$AC$50*'TR TUSD'!$AC$60</f>
        <v>371.37288836411904</v>
      </c>
      <c r="AD50" s="20">
        <f>SUM($AC$50:$AC$50)</f>
        <v>371.37288836411904</v>
      </c>
      <c r="AE50" s="20">
        <v>0</v>
      </c>
      <c r="AF50" s="20">
        <v>0</v>
      </c>
      <c r="AG50" s="20">
        <f>SUM($AE$50:$AF$50)</f>
        <v>0</v>
      </c>
      <c r="AH50" s="20">
        <f>'TR TUSD'!$AH$50*'TR TUSD'!$AH$60</f>
        <v>12.71975085996916</v>
      </c>
      <c r="AI50" s="20">
        <f>'TR TUSD'!$AI$50*'TR TUSD'!$AI$60</f>
        <v>0</v>
      </c>
      <c r="AJ50" s="20">
        <f ca="1">'TR TUSD'!$AJ$50*'TR TUSD'!$AJ$60</f>
        <v>6.9383731897312018</v>
      </c>
      <c r="AK50" s="20">
        <f ca="1">'TR TUSD'!$AK$50*'TR TUSD'!$AK$60</f>
        <v>0</v>
      </c>
      <c r="AL50" s="20">
        <f ca="1">SUM($AH$50:$AK$50)</f>
        <v>19.658124049700362</v>
      </c>
      <c r="AM50" s="20">
        <f ca="1">SUMIF($L$4:$AL$4,"SUBTOTAL",$L$50:$AL$50)</f>
        <v>576.20683151840933</v>
      </c>
      <c r="AP50" s="20">
        <f>IF((1 - CUSTOS!$M$32)&lt;&gt;0,1/(1 - CUSTOS!$M$32),1)</f>
        <v>1.8181818181818181</v>
      </c>
    </row>
    <row r="51" spans="1:42" ht="11.25" customHeight="1" x14ac:dyDescent="0.3">
      <c r="A51" s="120"/>
      <c r="B51" s="120"/>
      <c r="C51" s="120"/>
      <c r="D51" s="21" t="s">
        <v>90</v>
      </c>
      <c r="E51" s="21" t="s">
        <v>25</v>
      </c>
      <c r="F51" s="21" t="s">
        <v>25</v>
      </c>
      <c r="G51" s="21" t="s">
        <v>76</v>
      </c>
      <c r="H51" s="21" t="s">
        <v>72</v>
      </c>
      <c r="I51" s="21">
        <f>'MERCADO TUSD'!$U$48</f>
        <v>0</v>
      </c>
      <c r="J51" s="17"/>
      <c r="L51" s="20">
        <f>'TR TUSD'!$L$51*'TR TUSD'!$L$60</f>
        <v>8.3752684535239048</v>
      </c>
      <c r="M51" s="20">
        <f>'TR TUSD'!$M$51*'TR TUSD'!$M$60</f>
        <v>1.9803887785320036</v>
      </c>
      <c r="N51" s="20">
        <f ca="1">'TR TUSD'!$N$51*'TR TUSD'!$N$60</f>
        <v>0</v>
      </c>
      <c r="O51" s="20">
        <f>'TR TUSD'!$O$51*'TR TUSD'!$O$60</f>
        <v>0</v>
      </c>
      <c r="P51" s="20">
        <f>'TR TUSD'!$P$51*'TR TUSD'!$P$60</f>
        <v>0</v>
      </c>
      <c r="Q51" s="20">
        <f>'TR TUSD'!$Q$51*'TR TUSD'!$Q$60</f>
        <v>55.399373258027211</v>
      </c>
      <c r="R51" s="20">
        <f>'TR TUSD'!$R$51*'TR TUSD'!$R$60</f>
        <v>9.1731357464196854</v>
      </c>
      <c r="S51" s="20">
        <f>'TR TUSD'!$S$51*'TR TUSD'!$S$60</f>
        <v>0</v>
      </c>
      <c r="T51" s="20">
        <f ca="1">SUM($L$51:$S$51)</f>
        <v>74.928166236502804</v>
      </c>
      <c r="U51" s="20">
        <f>'TR TUSD'!$U$51*'TR TUSD'!$U$60</f>
        <v>0</v>
      </c>
      <c r="V51" s="20">
        <f>'TR TUSD'!$V$51*'TR TUSD'!$V$60</f>
        <v>0</v>
      </c>
      <c r="W51" s="20">
        <f>'TR TUSD'!$W$51*'TR TUSD'!$W$60</f>
        <v>0</v>
      </c>
      <c r="X51" s="20">
        <f>'TR TUSD'!$X$51*'TR TUSD'!$X$60</f>
        <v>0</v>
      </c>
      <c r="Y51" s="20">
        <f>'TR TUSD'!$Y$51*'TR TUSD'!$Y$60</f>
        <v>127.08181824123157</v>
      </c>
      <c r="Z51" s="20">
        <f>'TR TUSD'!$Z$51</f>
        <v>0</v>
      </c>
      <c r="AA51" s="20">
        <f>'TR TUSD'!$AA$51</f>
        <v>0</v>
      </c>
      <c r="AB51" s="20">
        <f>SUM($U$51:$AA$51)</f>
        <v>127.08181824123157</v>
      </c>
      <c r="AC51" s="20">
        <f>'TR TUSD'!$AC$51*'TR TUSD'!$AC$60</f>
        <v>405.13406003358432</v>
      </c>
      <c r="AD51" s="20">
        <f>SUM($AC$51:$AC$51)</f>
        <v>405.13406003358432</v>
      </c>
      <c r="AE51" s="20">
        <v>0</v>
      </c>
      <c r="AF51" s="20">
        <v>0</v>
      </c>
      <c r="AG51" s="20">
        <f>SUM($AE$51:$AF$51)</f>
        <v>0</v>
      </c>
      <c r="AH51" s="20">
        <f>'TR TUSD'!$AH$51*'TR TUSD'!$AH$60</f>
        <v>13.876091847239081</v>
      </c>
      <c r="AI51" s="20">
        <f>'TR TUSD'!$AI$51*'TR TUSD'!$AI$60</f>
        <v>0</v>
      </c>
      <c r="AJ51" s="20">
        <f ca="1">'TR TUSD'!$AJ$51*'TR TUSD'!$AJ$60</f>
        <v>7.5691343887976741</v>
      </c>
      <c r="AK51" s="20">
        <f ca="1">'TR TUSD'!$AK$51*'TR TUSD'!$AK$60</f>
        <v>0</v>
      </c>
      <c r="AL51" s="20">
        <f ca="1">SUM($AH$51:$AK$51)</f>
        <v>21.445226236036756</v>
      </c>
      <c r="AM51" s="20">
        <f ca="1">SUMIF($L$4:$AL$4,"SUBTOTAL",$L$51:$AL$51)</f>
        <v>628.5892707473555</v>
      </c>
      <c r="AP51" s="20">
        <f>IF((1 - CUSTOS!$M$33)&lt;&gt;0,1/(1 - CUSTOS!$M$33),1)</f>
        <v>1.6666666666666667</v>
      </c>
    </row>
    <row r="53" spans="1:42" ht="11.25" customHeight="1" x14ac:dyDescent="0.3">
      <c r="K53" s="24" t="s">
        <v>579</v>
      </c>
      <c r="L53" s="20">
        <f>SUMPRODUCT($I$5:$I51,$L$5:$L51)</f>
        <v>234949.90172849182</v>
      </c>
      <c r="M53" s="20">
        <f>SUMPRODUCT($I$5:$I51,$M$5:$M51)</f>
        <v>54052.861712467522</v>
      </c>
      <c r="N53" s="20">
        <f ca="1">SUMPRODUCT($I$5:$I51,$N$5:$N51)</f>
        <v>0</v>
      </c>
      <c r="O53" s="20">
        <f>SUMPRODUCT($I$5:$I51,$O$5:$O51)</f>
        <v>0</v>
      </c>
      <c r="P53" s="20">
        <f>SUMPRODUCT($I$5:$I51,$P$5:$P51)</f>
        <v>0</v>
      </c>
      <c r="Q53" s="20">
        <f>SUMPRODUCT($I$5:$I51,$Q$5:$Q51)</f>
        <v>1554108.6682800003</v>
      </c>
      <c r="R53" s="20">
        <f>SUMPRODUCT($I$5:$I51,$R$5:$R51)</f>
        <v>265519.51470000006</v>
      </c>
      <c r="S53" s="20">
        <f>SUMPRODUCT($I$5:$I51,$S$5:$S51)</f>
        <v>0</v>
      </c>
      <c r="T53" s="20">
        <f ca="1">SUMPRODUCT($I$5:$I51,$T$5:$T51)</f>
        <v>2108630.9464209597</v>
      </c>
      <c r="U53" s="20">
        <f>SUMPRODUCT($I$5:$I51,$U$5:$U51)</f>
        <v>0</v>
      </c>
      <c r="V53" s="20">
        <f>SUMPRODUCT($I$5:$I51,$V$5:$V51)</f>
        <v>0</v>
      </c>
      <c r="W53" s="20">
        <f>SUMPRODUCT($I$5:$I51,$W$5:$W51)</f>
        <v>0</v>
      </c>
      <c r="X53" s="20">
        <f>SUMPRODUCT($I$5:$I51,$X$5:$X51)</f>
        <v>0</v>
      </c>
      <c r="Y53" s="20">
        <f>SUMPRODUCT($I$5:$I51,$Y$5:$Y51)</f>
        <v>3775885.0549178007</v>
      </c>
      <c r="Z53" s="20">
        <f>SUMPRODUCT($I$5:$I51,$Z$5:$Z51)</f>
        <v>0</v>
      </c>
      <c r="AA53" s="20">
        <f>SUMPRODUCT($I$5:$I51,$AA$5:$AA51)</f>
        <v>0</v>
      </c>
      <c r="AB53" s="20">
        <f>SUMPRODUCT($I$5:$I51,$AB$5:$AB51)</f>
        <v>3775885.0549178007</v>
      </c>
      <c r="AC53" s="20">
        <f>SUMPRODUCT($I$5:$I51,$AC$5:$AC51)</f>
        <v>11057461.609999999</v>
      </c>
      <c r="AD53" s="20">
        <f>SUMPRODUCT($I$5:$I51,$AD$5:$AD51)</f>
        <v>11057461.609999999</v>
      </c>
      <c r="AE53" s="20">
        <f>SUMPRODUCT($I$5:$I51,$AE$5:$AE51)</f>
        <v>0</v>
      </c>
      <c r="AF53" s="20">
        <f>SUMPRODUCT($I$5:$I51,$AF$5:$AF51)</f>
        <v>0</v>
      </c>
      <c r="AG53" s="20">
        <f>SUMPRODUCT($I$5:$I51,$AG$5:$AG51)</f>
        <v>0</v>
      </c>
      <c r="AH53" s="20">
        <f>SUMPRODUCT($I$5:$I51,$AH$5:$AH51)</f>
        <v>361375.49138598313</v>
      </c>
      <c r="AI53" s="20">
        <f>SUMPRODUCT($I$5:$I51,$AI$5:$AI51)</f>
        <v>0</v>
      </c>
      <c r="AJ53" s="20">
        <f ca="1">SUMPRODUCT($I$5:$I51,$AJ$5:$AJ51)</f>
        <v>214432.92527292712</v>
      </c>
      <c r="AK53" s="20">
        <f ca="1">SUMPRODUCT($I$5:$I51,$AK$5:$AK51)</f>
        <v>0</v>
      </c>
      <c r="AL53" s="20">
        <f ca="1">SUMPRODUCT($I$5:$I51,$AL$5:$AL51)</f>
        <v>575808.41665891011</v>
      </c>
      <c r="AM53" s="20">
        <f ca="1">SUMPRODUCT($I$5:$I51,$AM$5:$AM51)</f>
        <v>17517786.027997669</v>
      </c>
    </row>
    <row r="54" spans="1:42" ht="11.25" customHeight="1" x14ac:dyDescent="0.3">
      <c r="K54" s="24" t="s">
        <v>511</v>
      </c>
      <c r="L54" s="20">
        <f>'TR TUSD'!$L$56</f>
        <v>234949.90172849185</v>
      </c>
      <c r="M54" s="20">
        <f>'TR TUSD'!$M$56</f>
        <v>54052.861712467515</v>
      </c>
      <c r="N54" s="20">
        <f>'TR TUSD'!$N$56</f>
        <v>0</v>
      </c>
      <c r="O54" s="20">
        <f>'TR TUSD'!$O$56</f>
        <v>0</v>
      </c>
      <c r="P54" s="20">
        <f>'TR TUSD'!$P$56</f>
        <v>0</v>
      </c>
      <c r="Q54" s="20">
        <f>'TR TUSD'!$Q$56</f>
        <v>1554108.6682800003</v>
      </c>
      <c r="R54" s="20">
        <f>'TR TUSD'!$R$56</f>
        <v>265519.51470000012</v>
      </c>
      <c r="S54" s="20">
        <f>'TR TUSD'!$S$56</f>
        <v>0</v>
      </c>
      <c r="T54" s="20">
        <f>'TR TUSD'!$T$56</f>
        <v>2108630.9464209597</v>
      </c>
      <c r="U54" s="20">
        <f>'TR TUSD'!$U$56</f>
        <v>0</v>
      </c>
      <c r="V54" s="20">
        <f>'TR TUSD'!$V$56</f>
        <v>0</v>
      </c>
      <c r="W54" s="20">
        <f>'TR TUSD'!$W$56</f>
        <v>0</v>
      </c>
      <c r="X54" s="20">
        <f>'TR TUSD'!$X$56</f>
        <v>0</v>
      </c>
      <c r="Y54" s="20">
        <f>'TR TUSD'!$Y$56</f>
        <v>3775885.0549178002</v>
      </c>
      <c r="Z54" s="20">
        <f>'TR TUSD'!$Z$56</f>
        <v>0</v>
      </c>
      <c r="AA54" s="20">
        <f>'TR TUSD'!$AA$56</f>
        <v>0</v>
      </c>
      <c r="AB54" s="20">
        <f>'TR TUSD'!$AB$56</f>
        <v>3775885.0549178002</v>
      </c>
      <c r="AC54" s="20">
        <f>'TR TUSD'!$AC$56</f>
        <v>11057461.609999999</v>
      </c>
      <c r="AD54" s="20">
        <f>'TR TUSD'!$AD$56</f>
        <v>11057461.609999999</v>
      </c>
      <c r="AE54" s="20">
        <f>'TR TUSD'!$AE$56</f>
        <v>0</v>
      </c>
      <c r="AF54" s="20">
        <f>'TR TUSD'!$AF$56</f>
        <v>0</v>
      </c>
      <c r="AG54" s="20">
        <f>'TR TUSD'!$AG$56</f>
        <v>0</v>
      </c>
      <c r="AH54" s="20">
        <f>'TR TUSD'!$AH$56</f>
        <v>361375.49138598313</v>
      </c>
      <c r="AI54" s="20">
        <f>'TR TUSD'!$AI$56</f>
        <v>0</v>
      </c>
      <c r="AJ54" s="20">
        <f>'TR TUSD'!$AJ$56</f>
        <v>214432.92527292715</v>
      </c>
      <c r="AK54" s="20">
        <f>'TR TUSD'!$AK$56</f>
        <v>0</v>
      </c>
      <c r="AL54" s="20">
        <f>'TR TUSD'!$AL$56</f>
        <v>575808.41665891022</v>
      </c>
      <c r="AM54" s="20">
        <f>CUSTOS!$D$29</f>
        <v>17517786.027997669</v>
      </c>
    </row>
    <row r="55" spans="1:42" ht="11.25" customHeight="1" x14ac:dyDescent="0.3">
      <c r="K55" s="24" t="s">
        <v>512</v>
      </c>
      <c r="L55" s="20">
        <f>CUSTOS!$E$2</f>
        <v>0</v>
      </c>
      <c r="M55" s="20">
        <f>CUSTOS!$E$3</f>
        <v>-431.13707121974284</v>
      </c>
      <c r="N55" s="20">
        <f>CUSTOS!$E$4</f>
        <v>0</v>
      </c>
      <c r="O55" s="20">
        <f>CUSTOS!$E$5</f>
        <v>0</v>
      </c>
      <c r="P55" s="20">
        <f>CUSTOS!$E$6</f>
        <v>0</v>
      </c>
      <c r="Q55" s="20">
        <f>CUSTOS!$E$7</f>
        <v>-2603.3615549570059</v>
      </c>
      <c r="R55" s="20">
        <f>CUSTOS!$E$8</f>
        <v>-119.12081097291502</v>
      </c>
      <c r="S55" s="20">
        <f>CUSTOS!$E$9</f>
        <v>0</v>
      </c>
      <c r="T55" s="20">
        <f>CUSTOS!$E$10</f>
        <v>-3153.6194371496636</v>
      </c>
      <c r="U55" s="20">
        <f>CUSTOS!$E$11</f>
        <v>0</v>
      </c>
      <c r="V55" s="20">
        <f>CUSTOS!$E$12</f>
        <v>0</v>
      </c>
      <c r="W55" s="20">
        <f>CUSTOS!$E$13</f>
        <v>0</v>
      </c>
      <c r="X55" s="20">
        <f>CUSTOS!$E$14</f>
        <v>0</v>
      </c>
      <c r="Y55" s="20">
        <f>CUSTOS!$E$15</f>
        <v>931940.46910175029</v>
      </c>
      <c r="Z55" s="20">
        <f>CUSTOS!$E$16</f>
        <v>0</v>
      </c>
      <c r="AA55" s="20">
        <f>CUSTOS!$E$17</f>
        <v>0</v>
      </c>
      <c r="AB55" s="20">
        <f>CUSTOS!$E$18</f>
        <v>931940.46910175029</v>
      </c>
      <c r="AC55" s="20">
        <f>CUSTOS!$E$19</f>
        <v>-2105190.4988346547</v>
      </c>
      <c r="AD55" s="20">
        <f>CUSTOS!$E$20</f>
        <v>-2105190.4988346547</v>
      </c>
      <c r="AE55" s="20">
        <f>CUSTOS!$E$21</f>
        <v>0</v>
      </c>
      <c r="AF55" s="20">
        <f>CUSTOS!$E$22</f>
        <v>0</v>
      </c>
      <c r="AG55" s="20">
        <f>CUSTOS!$E$23</f>
        <v>0</v>
      </c>
      <c r="AH55" s="20">
        <f>CUSTOS!$E$24</f>
        <v>109941.98773885565</v>
      </c>
      <c r="AI55" s="20">
        <f>CUSTOS!$E$25</f>
        <v>0</v>
      </c>
      <c r="AJ55" s="20">
        <f>CUSTOS!$E$26</f>
        <v>65237.357272750363</v>
      </c>
      <c r="AK55" s="20">
        <f>CUSTOS!$E$27</f>
        <v>0</v>
      </c>
      <c r="AL55" s="20">
        <f>CUSTOS!$E$28</f>
        <v>175179.345011606</v>
      </c>
      <c r="AM55" s="20">
        <f>CUSTOS!$E$29</f>
        <v>-1001224.3041584481</v>
      </c>
    </row>
    <row r="56" spans="1:42" ht="11.25" customHeight="1" x14ac:dyDescent="0.3">
      <c r="K56" s="24" t="s">
        <v>513</v>
      </c>
      <c r="L56" s="20">
        <f>CUSTOS!$F$2</f>
        <v>0</v>
      </c>
      <c r="M56" s="20">
        <f>CUSTOS!$F$3</f>
        <v>0</v>
      </c>
      <c r="N56" s="20">
        <f>CUSTOS!$F$4</f>
        <v>0</v>
      </c>
      <c r="O56" s="20">
        <f>CUSTOS!$F$5</f>
        <v>0</v>
      </c>
      <c r="P56" s="20">
        <f>CUSTOS!$F$6</f>
        <v>0</v>
      </c>
      <c r="Q56" s="20">
        <f>CUSTOS!$F$7</f>
        <v>0</v>
      </c>
      <c r="R56" s="20">
        <f>CUSTOS!$F$8</f>
        <v>0</v>
      </c>
      <c r="S56" s="20">
        <f>CUSTOS!$F$9</f>
        <v>0</v>
      </c>
      <c r="T56" s="20">
        <f>CUSTOS!$F$10</f>
        <v>0</v>
      </c>
      <c r="U56" s="20">
        <f>CUSTOS!$F$11</f>
        <v>0</v>
      </c>
      <c r="V56" s="20">
        <f>CUSTOS!$F$12</f>
        <v>0</v>
      </c>
      <c r="W56" s="20">
        <f>CUSTOS!$F$13</f>
        <v>0</v>
      </c>
      <c r="X56" s="20">
        <f>CUSTOS!$F$14</f>
        <v>0</v>
      </c>
      <c r="Y56" s="20">
        <f>CUSTOS!$F$15</f>
        <v>0</v>
      </c>
      <c r="Z56" s="20">
        <f>CUSTOS!$F$16</f>
        <v>0</v>
      </c>
      <c r="AA56" s="20">
        <f>CUSTOS!$F$17</f>
        <v>0</v>
      </c>
      <c r="AB56" s="20">
        <f>CUSTOS!$F$18</f>
        <v>0</v>
      </c>
      <c r="AC56" s="20">
        <f>CUSTOS!$F$19</f>
        <v>0</v>
      </c>
      <c r="AD56" s="20">
        <f>CUSTOS!$F$20</f>
        <v>0</v>
      </c>
      <c r="AE56" s="20">
        <f>CUSTOS!$F$21</f>
        <v>0</v>
      </c>
      <c r="AF56" s="20">
        <f>CUSTOS!$F$22</f>
        <v>0</v>
      </c>
      <c r="AG56" s="20">
        <f>CUSTOS!$F$23</f>
        <v>0</v>
      </c>
      <c r="AH56" s="20">
        <f>CUSTOS!$F$24</f>
        <v>0</v>
      </c>
      <c r="AI56" s="20">
        <f>CUSTOS!$F$25</f>
        <v>0</v>
      </c>
      <c r="AJ56" s="20">
        <f>CUSTOS!$F$26</f>
        <v>0</v>
      </c>
      <c r="AK56" s="20">
        <f>CUSTOS!$F$27</f>
        <v>0</v>
      </c>
      <c r="AL56" s="20">
        <f>CUSTOS!$F$28</f>
        <v>0</v>
      </c>
      <c r="AM56" s="20">
        <f>CUSTOS!$F$29</f>
        <v>0</v>
      </c>
    </row>
    <row r="57" spans="1:42" ht="11.25" customHeight="1" x14ac:dyDescent="0.3">
      <c r="K57" s="24" t="s">
        <v>576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f>SUM($L$57:$S$57)</f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f>SUM($U$57:$AA$57)</f>
        <v>0</v>
      </c>
      <c r="AC57" s="20">
        <v>0</v>
      </c>
      <c r="AD57" s="20">
        <f>SUM($AC$57:$AC$57)</f>
        <v>0</v>
      </c>
      <c r="AE57" s="20">
        <v>0</v>
      </c>
      <c r="AF57" s="20">
        <v>0</v>
      </c>
      <c r="AG57" s="20">
        <f>SUM($AE$57:$AF$57)</f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f>SUM($AH$57:$AK$57)</f>
        <v>0</v>
      </c>
      <c r="AM57" s="20">
        <f>SUMIF($L$4:$AL$4,"SUBTOTAL",$L$57:$AL$57)</f>
        <v>0</v>
      </c>
    </row>
    <row r="58" spans="1:42" ht="11.25" customHeight="1" x14ac:dyDescent="0.3">
      <c r="K58" s="24" t="s">
        <v>580</v>
      </c>
      <c r="L58" s="20">
        <f t="shared" ref="L58:R58" si="0">IF((L53-(0))&lt;&gt;0,(L55)/(L53-(0)),0)</f>
        <v>0</v>
      </c>
      <c r="M58" s="20">
        <f t="shared" si="0"/>
        <v>-7.9762117593914408E-3</v>
      </c>
      <c r="N58" s="20">
        <f t="shared" ca="1" si="0"/>
        <v>0</v>
      </c>
      <c r="O58" s="20">
        <f t="shared" si="0"/>
        <v>0</v>
      </c>
      <c r="P58" s="20">
        <f t="shared" si="0"/>
        <v>0</v>
      </c>
      <c r="Q58" s="20">
        <f t="shared" si="0"/>
        <v>-1.6751476959704879E-3</v>
      </c>
      <c r="R58" s="20">
        <f t="shared" si="0"/>
        <v>-4.4863297941586289E-4</v>
      </c>
      <c r="S58" s="20">
        <f>IF((R53-(0)&lt;&gt;0),(S55)/(R53-(0)),0)</f>
        <v>0</v>
      </c>
      <c r="T58" s="20"/>
      <c r="U58" s="20">
        <f t="shared" ref="U58:AA58" si="1">IF((U53-(0))&lt;&gt;0,(U55)/(U53-(0)),0)</f>
        <v>0</v>
      </c>
      <c r="V58" s="20">
        <f t="shared" si="1"/>
        <v>0</v>
      </c>
      <c r="W58" s="20">
        <f t="shared" si="1"/>
        <v>0</v>
      </c>
      <c r="X58" s="20">
        <f t="shared" si="1"/>
        <v>0</v>
      </c>
      <c r="Y58" s="20">
        <f t="shared" si="1"/>
        <v>0.24681378154983011</v>
      </c>
      <c r="Z58" s="20">
        <f t="shared" si="1"/>
        <v>0</v>
      </c>
      <c r="AA58" s="20">
        <f t="shared" si="1"/>
        <v>0</v>
      </c>
      <c r="AB58" s="20"/>
      <c r="AC58" s="20">
        <f>IF((AC53-(0))&lt;&gt;0,(AC55)/(AC53-(0)),0)</f>
        <v>-0.19038641716203569</v>
      </c>
      <c r="AD58" s="20"/>
      <c r="AE58" s="20">
        <f ca="1">IF(($AM53-(0))&lt;&gt;0,(AE55)/($AM53-(0)),0)</f>
        <v>0</v>
      </c>
      <c r="AF58" s="20">
        <f ca="1">IF(($AM53-(0))&lt;&gt;0,(AF55)/($AM53-(0)),0)</f>
        <v>0</v>
      </c>
      <c r="AG58" s="20"/>
      <c r="AH58" s="20">
        <f>IF((AH53-(0))&lt;&gt;0,(AH55)/(AH53-(0)),0)</f>
        <v>0.30423199790665167</v>
      </c>
      <c r="AI58" s="20">
        <f>IF((AI53-(0))&lt;&gt;0,(AI55)/(AI53-(0)),0)</f>
        <v>0</v>
      </c>
      <c r="AJ58" s="20">
        <f ca="1">IF((AJ53-(0))&lt;&gt;0,(AJ55)/(AJ53-(0)),0)</f>
        <v>0.30423199790665167</v>
      </c>
      <c r="AK58" s="20">
        <f ca="1">IF((AK53-(0))&lt;&gt;0,(AK55)/(AK53-(0)),0)</f>
        <v>0</v>
      </c>
      <c r="AL58" s="20"/>
      <c r="AM58" s="20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951" priority="55" operator="notEqual">
      <formula>$L$54-$L$57</formula>
    </cfRule>
    <cfRule type="cellIs" dxfId="950" priority="56" operator="equal">
      <formula>$L$54-$L$57</formula>
    </cfRule>
  </conditionalFormatting>
  <conditionalFormatting sqref="M53">
    <cfRule type="cellIs" dxfId="949" priority="53" operator="notEqual">
      <formula>$M$54-$M$57</formula>
    </cfRule>
    <cfRule type="cellIs" dxfId="948" priority="54" operator="equal">
      <formula>$M$54-$M$57</formula>
    </cfRule>
  </conditionalFormatting>
  <conditionalFormatting sqref="N53">
    <cfRule type="cellIs" dxfId="947" priority="51" operator="notEqual">
      <formula>$N$54-$N$57</formula>
    </cfRule>
    <cfRule type="cellIs" dxfId="946" priority="52" operator="equal">
      <formula>$N$54-$N$57</formula>
    </cfRule>
  </conditionalFormatting>
  <conditionalFormatting sqref="O53">
    <cfRule type="cellIs" dxfId="945" priority="49" operator="notEqual">
      <formula>$O$54-$O$57</formula>
    </cfRule>
    <cfRule type="cellIs" dxfId="944" priority="50" operator="equal">
      <formula>$O$54-$O$57</formula>
    </cfRule>
  </conditionalFormatting>
  <conditionalFormatting sqref="P53">
    <cfRule type="cellIs" dxfId="943" priority="47" operator="notEqual">
      <formula>$P$54-$P$57</formula>
    </cfRule>
    <cfRule type="cellIs" dxfId="942" priority="48" operator="equal">
      <formula>$P$54-$P$57</formula>
    </cfRule>
  </conditionalFormatting>
  <conditionalFormatting sqref="Q53">
    <cfRule type="cellIs" dxfId="941" priority="45" operator="notEqual">
      <formula>$Q$54-$Q$57</formula>
    </cfRule>
    <cfRule type="cellIs" dxfId="940" priority="46" operator="equal">
      <formula>$Q$54-$Q$57</formula>
    </cfRule>
  </conditionalFormatting>
  <conditionalFormatting sqref="R53">
    <cfRule type="cellIs" dxfId="939" priority="43" operator="notEqual">
      <formula>$R$54-$R$57</formula>
    </cfRule>
    <cfRule type="cellIs" dxfId="938" priority="44" operator="equal">
      <formula>$R$54-$R$57</formula>
    </cfRule>
  </conditionalFormatting>
  <conditionalFormatting sqref="S53">
    <cfRule type="cellIs" dxfId="937" priority="41" operator="notEqual">
      <formula>$S$54-$S$57</formula>
    </cfRule>
    <cfRule type="cellIs" dxfId="936" priority="42" operator="equal">
      <formula>$S$54-$S$57</formula>
    </cfRule>
  </conditionalFormatting>
  <conditionalFormatting sqref="T53">
    <cfRule type="cellIs" dxfId="935" priority="39" operator="notEqual">
      <formula>$T$54-$T$57</formula>
    </cfRule>
    <cfRule type="cellIs" dxfId="934" priority="40" operator="equal">
      <formula>$T$54-$T$57</formula>
    </cfRule>
  </conditionalFormatting>
  <conditionalFormatting sqref="U53">
    <cfRule type="cellIs" dxfId="933" priority="37" operator="notEqual">
      <formula>$U$54-$U$57</formula>
    </cfRule>
    <cfRule type="cellIs" dxfId="932" priority="38" operator="equal">
      <formula>$U$54-$U$57</formula>
    </cfRule>
  </conditionalFormatting>
  <conditionalFormatting sqref="V53">
    <cfRule type="cellIs" dxfId="931" priority="35" operator="notEqual">
      <formula>$V$54-$V$57</formula>
    </cfRule>
    <cfRule type="cellIs" dxfId="930" priority="36" operator="equal">
      <formula>$V$54-$V$57</formula>
    </cfRule>
  </conditionalFormatting>
  <conditionalFormatting sqref="W53">
    <cfRule type="cellIs" dxfId="929" priority="33" operator="notEqual">
      <formula>$W$54-$W$57</formula>
    </cfRule>
    <cfRule type="cellIs" dxfId="928" priority="34" operator="equal">
      <formula>$W$54-$W$57</formula>
    </cfRule>
  </conditionalFormatting>
  <conditionalFormatting sqref="X53">
    <cfRule type="cellIs" dxfId="927" priority="31" operator="notEqual">
      <formula>$X$54-$X$57</formula>
    </cfRule>
    <cfRule type="cellIs" dxfId="926" priority="32" operator="equal">
      <formula>$X$54-$X$57</formula>
    </cfRule>
  </conditionalFormatting>
  <conditionalFormatting sqref="Y53">
    <cfRule type="cellIs" dxfId="925" priority="29" operator="notEqual">
      <formula>$Y$54-$Y$57</formula>
    </cfRule>
    <cfRule type="cellIs" dxfId="924" priority="30" operator="equal">
      <formula>$Y$54-$Y$57</formula>
    </cfRule>
  </conditionalFormatting>
  <conditionalFormatting sqref="Z53">
    <cfRule type="cellIs" dxfId="923" priority="27" operator="notEqual">
      <formula>$Z$54-$Z$57</formula>
    </cfRule>
    <cfRule type="cellIs" dxfId="922" priority="28" operator="equal">
      <formula>$Z$54-$Z$57</formula>
    </cfRule>
  </conditionalFormatting>
  <conditionalFormatting sqref="AA53">
    <cfRule type="cellIs" dxfId="921" priority="25" operator="notEqual">
      <formula>$AA$54-$AA$57</formula>
    </cfRule>
    <cfRule type="cellIs" dxfId="920" priority="26" operator="equal">
      <formula>$AA$54-$AA$57</formula>
    </cfRule>
  </conditionalFormatting>
  <conditionalFormatting sqref="AB53">
    <cfRule type="cellIs" dxfId="919" priority="23" operator="notEqual">
      <formula>$AB$54-$AB$57</formula>
    </cfRule>
    <cfRule type="cellIs" dxfId="918" priority="24" operator="equal">
      <formula>$AB$54-$AB$57</formula>
    </cfRule>
  </conditionalFormatting>
  <conditionalFormatting sqref="AC53">
    <cfRule type="cellIs" dxfId="917" priority="21" operator="notEqual">
      <formula>$AC$54-$AC$57</formula>
    </cfRule>
    <cfRule type="cellIs" dxfId="916" priority="22" operator="equal">
      <formula>$AC$54-$AC$57</formula>
    </cfRule>
  </conditionalFormatting>
  <conditionalFormatting sqref="AD53">
    <cfRule type="cellIs" dxfId="915" priority="19" operator="notEqual">
      <formula>$AD$54-$AD$57</formula>
    </cfRule>
    <cfRule type="cellIs" dxfId="914" priority="20" operator="equal">
      <formula>$AD$54-$AD$57</formula>
    </cfRule>
  </conditionalFormatting>
  <conditionalFormatting sqref="AE53">
    <cfRule type="cellIs" dxfId="913" priority="17" operator="notEqual">
      <formula>$AE$54-$AE$57</formula>
    </cfRule>
    <cfRule type="cellIs" dxfId="912" priority="18" operator="equal">
      <formula>$AE$54-$AE$57</formula>
    </cfRule>
  </conditionalFormatting>
  <conditionalFormatting sqref="AF53">
    <cfRule type="cellIs" dxfId="911" priority="16" operator="equal">
      <formula>$AF$54-$AF$57</formula>
    </cfRule>
  </conditionalFormatting>
  <conditionalFormatting sqref="AF53">
    <cfRule type="cellIs" dxfId="910" priority="15" operator="notEqual">
      <formula>$AF$54-$AF$57</formula>
    </cfRule>
  </conditionalFormatting>
  <conditionalFormatting sqref="AG53">
    <cfRule type="cellIs" dxfId="909" priority="14" operator="equal">
      <formula>$AG$54-$AG$57</formula>
    </cfRule>
  </conditionalFormatting>
  <conditionalFormatting sqref="AG53">
    <cfRule type="cellIs" dxfId="908" priority="13" operator="notEqual">
      <formula>$AG$54-$AG$57</formula>
    </cfRule>
  </conditionalFormatting>
  <conditionalFormatting sqref="AH53">
    <cfRule type="cellIs" dxfId="907" priority="12" operator="equal">
      <formula>$AH$54-$AH$57</formula>
    </cfRule>
  </conditionalFormatting>
  <conditionalFormatting sqref="AH53">
    <cfRule type="cellIs" dxfId="906" priority="11" operator="notEqual">
      <formula>$AH$54-$AH$57</formula>
    </cfRule>
  </conditionalFormatting>
  <conditionalFormatting sqref="AI53">
    <cfRule type="cellIs" dxfId="905" priority="10" operator="equal">
      <formula>$AI$54-$AI$57</formula>
    </cfRule>
  </conditionalFormatting>
  <conditionalFormatting sqref="AI53">
    <cfRule type="cellIs" dxfId="904" priority="9" operator="notEqual">
      <formula>$AI$54-$AI$57</formula>
    </cfRule>
  </conditionalFormatting>
  <conditionalFormatting sqref="AJ53">
    <cfRule type="cellIs" dxfId="903" priority="8" operator="equal">
      <formula>$AJ$54-$AJ$57</formula>
    </cfRule>
  </conditionalFormatting>
  <conditionalFormatting sqref="AJ53">
    <cfRule type="cellIs" dxfId="902" priority="7" operator="notEqual">
      <formula>$AJ$54-$AJ$57</formula>
    </cfRule>
  </conditionalFormatting>
  <conditionalFormatting sqref="AK53">
    <cfRule type="cellIs" dxfId="901" priority="6" operator="equal">
      <formula>$AK$54-$AK$57</formula>
    </cfRule>
  </conditionalFormatting>
  <conditionalFormatting sqref="AK53">
    <cfRule type="cellIs" dxfId="900" priority="5" operator="notEqual">
      <formula>$AK$54-$AK$57</formula>
    </cfRule>
  </conditionalFormatting>
  <conditionalFormatting sqref="AL53">
    <cfRule type="cellIs" dxfId="899" priority="4" operator="equal">
      <formula>$AL$54-$AL$57</formula>
    </cfRule>
  </conditionalFormatting>
  <conditionalFormatting sqref="AL53">
    <cfRule type="cellIs" dxfId="898" priority="3" operator="notEqual">
      <formula>$AL$54-$AL$57</formula>
    </cfRule>
  </conditionalFormatting>
  <conditionalFormatting sqref="AM53">
    <cfRule type="cellIs" dxfId="897" priority="2" operator="equal">
      <formula>$AM$54-$AM$57</formula>
    </cfRule>
  </conditionalFormatting>
  <conditionalFormatting sqref="AM53">
    <cfRule type="cellIs" dxfId="896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B1D0-A91E-45DD-BD0C-E8589F57D175}">
  <dimension ref="A1:AP58"/>
  <sheetViews>
    <sheetView showGridLines="0" topLeftCell="X35" workbookViewId="0">
      <selection activeCell="AO53" sqref="AO53:AP55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7.88671875" style="9" bestFit="1" customWidth="1"/>
    <col min="14" max="15" width="4.109375" style="9" bestFit="1" customWidth="1"/>
    <col min="16" max="16" width="4.44140625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.88671875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0" width="9.109375" style="9"/>
    <col min="41" max="42" width="10.88671875" style="9" bestFit="1" customWidth="1"/>
    <col min="43" max="16384" width="9.109375" style="9"/>
  </cols>
  <sheetData>
    <row r="1" spans="1:42" ht="11.25" customHeight="1" x14ac:dyDescent="0.3">
      <c r="A1" s="121" t="s">
        <v>62</v>
      </c>
      <c r="B1" s="121" t="s">
        <v>63</v>
      </c>
      <c r="C1" s="121" t="s">
        <v>64</v>
      </c>
      <c r="D1" s="121" t="s">
        <v>65</v>
      </c>
      <c r="E1" s="121" t="s">
        <v>66</v>
      </c>
      <c r="F1" s="121" t="s">
        <v>15</v>
      </c>
      <c r="G1" s="121" t="s">
        <v>68</v>
      </c>
      <c r="H1" s="121" t="s">
        <v>69</v>
      </c>
      <c r="I1" s="121" t="s">
        <v>570</v>
      </c>
      <c r="J1" s="118"/>
      <c r="L1" s="122" t="s">
        <v>587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O1" s="30"/>
      <c r="AP1" s="125" t="s">
        <v>572</v>
      </c>
    </row>
    <row r="2" spans="1:42" ht="11.25" customHeight="1" x14ac:dyDescent="0.3">
      <c r="A2" s="121"/>
      <c r="B2" s="121"/>
      <c r="C2" s="121"/>
      <c r="D2" s="121"/>
      <c r="E2" s="121"/>
      <c r="F2" s="121"/>
      <c r="G2" s="121"/>
      <c r="H2" s="121"/>
      <c r="I2" s="121"/>
      <c r="J2" s="118"/>
      <c r="L2" s="122" t="s">
        <v>470</v>
      </c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O2" s="30"/>
      <c r="AP2" s="126"/>
    </row>
    <row r="3" spans="1:42" ht="11.25" customHeight="1" x14ac:dyDescent="0.3">
      <c r="A3" s="121"/>
      <c r="B3" s="121"/>
      <c r="C3" s="121"/>
      <c r="D3" s="121"/>
      <c r="E3" s="121"/>
      <c r="F3" s="121"/>
      <c r="G3" s="121"/>
      <c r="H3" s="121"/>
      <c r="I3" s="121"/>
      <c r="J3" s="118"/>
      <c r="L3" s="122" t="s">
        <v>471</v>
      </c>
      <c r="M3" s="122"/>
      <c r="N3" s="122"/>
      <c r="O3" s="122"/>
      <c r="P3" s="122"/>
      <c r="Q3" s="122"/>
      <c r="R3" s="122"/>
      <c r="S3" s="122"/>
      <c r="T3" s="122"/>
      <c r="U3" s="122" t="s">
        <v>480</v>
      </c>
      <c r="V3" s="122"/>
      <c r="W3" s="122"/>
      <c r="X3" s="122"/>
      <c r="Y3" s="122"/>
      <c r="Z3" s="122"/>
      <c r="AA3" s="122"/>
      <c r="AB3" s="122"/>
      <c r="AC3" s="122" t="s">
        <v>488</v>
      </c>
      <c r="AD3" s="122"/>
      <c r="AE3" s="122" t="s">
        <v>490</v>
      </c>
      <c r="AF3" s="122"/>
      <c r="AG3" s="122"/>
      <c r="AH3" s="122" t="s">
        <v>493</v>
      </c>
      <c r="AI3" s="122"/>
      <c r="AJ3" s="122"/>
      <c r="AK3" s="122"/>
      <c r="AL3" s="122"/>
      <c r="AM3" s="122" t="s">
        <v>479</v>
      </c>
      <c r="AO3" s="30"/>
      <c r="AP3" s="126"/>
    </row>
    <row r="4" spans="1:42" ht="11.25" customHeight="1" x14ac:dyDescent="0.3">
      <c r="A4" s="121"/>
      <c r="B4" s="121"/>
      <c r="C4" s="121"/>
      <c r="D4" s="121"/>
      <c r="E4" s="121"/>
      <c r="F4" s="121"/>
      <c r="G4" s="121"/>
      <c r="H4" s="121"/>
      <c r="I4" s="121"/>
      <c r="J4" s="118"/>
      <c r="L4" s="26" t="s">
        <v>555</v>
      </c>
      <c r="M4" s="26" t="s">
        <v>472</v>
      </c>
      <c r="N4" s="26" t="s">
        <v>473</v>
      </c>
      <c r="O4" s="26" t="s">
        <v>474</v>
      </c>
      <c r="P4" s="26" t="s">
        <v>475</v>
      </c>
      <c r="Q4" s="26" t="s">
        <v>476</v>
      </c>
      <c r="R4" s="26" t="s">
        <v>477</v>
      </c>
      <c r="S4" s="26" t="s">
        <v>478</v>
      </c>
      <c r="T4" s="26" t="s">
        <v>479</v>
      </c>
      <c r="U4" s="26" t="s">
        <v>481</v>
      </c>
      <c r="V4" s="26" t="s">
        <v>482</v>
      </c>
      <c r="W4" s="26" t="s">
        <v>483</v>
      </c>
      <c r="X4" s="26" t="s">
        <v>484</v>
      </c>
      <c r="Y4" s="26" t="s">
        <v>485</v>
      </c>
      <c r="Z4" s="26" t="s">
        <v>486</v>
      </c>
      <c r="AA4" s="26" t="s">
        <v>487</v>
      </c>
      <c r="AB4" s="26" t="s">
        <v>479</v>
      </c>
      <c r="AC4" s="26" t="s">
        <v>489</v>
      </c>
      <c r="AD4" s="26" t="s">
        <v>479</v>
      </c>
      <c r="AE4" s="26" t="s">
        <v>491</v>
      </c>
      <c r="AF4" s="26" t="s">
        <v>492</v>
      </c>
      <c r="AG4" s="26" t="s">
        <v>479</v>
      </c>
      <c r="AH4" s="26" t="s">
        <v>494</v>
      </c>
      <c r="AI4" s="26" t="s">
        <v>495</v>
      </c>
      <c r="AJ4" s="26" t="s">
        <v>496</v>
      </c>
      <c r="AK4" s="26" t="s">
        <v>497</v>
      </c>
      <c r="AL4" s="26" t="s">
        <v>479</v>
      </c>
      <c r="AM4" s="124"/>
      <c r="AO4" s="31" t="s">
        <v>589</v>
      </c>
      <c r="AP4" s="127"/>
    </row>
    <row r="5" spans="1:42" ht="11.25" customHeight="1" x14ac:dyDescent="0.3">
      <c r="A5" s="120" t="s">
        <v>37</v>
      </c>
      <c r="B5" s="120" t="s">
        <v>41</v>
      </c>
      <c r="C5" s="120" t="s">
        <v>25</v>
      </c>
      <c r="D5" s="120" t="s">
        <v>25</v>
      </c>
      <c r="E5" s="120" t="s">
        <v>25</v>
      </c>
      <c r="F5" s="120" t="s">
        <v>25</v>
      </c>
      <c r="G5" s="21" t="s">
        <v>78</v>
      </c>
      <c r="H5" s="21" t="s">
        <v>77</v>
      </c>
      <c r="I5" s="21">
        <f>'MERCADO TUSD'!$U$2</f>
        <v>1200</v>
      </c>
      <c r="J5" s="17"/>
      <c r="L5" s="25">
        <f>'TUSD BE'!$L$5*'TUSD BE'!$L$58</f>
        <v>0</v>
      </c>
      <c r="M5" s="25">
        <f>'TUSD BE'!$M$5*'TUSD BE'!$M$58</f>
        <v>0</v>
      </c>
      <c r="N5" s="25">
        <f ca="1">'TUSD BE'!$N$5*'TUSD BE'!$N$58</f>
        <v>0</v>
      </c>
      <c r="O5" s="25">
        <f>'TUSD BE'!$O$5*'TUSD BE'!$O$58</f>
        <v>0</v>
      </c>
      <c r="P5" s="25">
        <f>'TUSD BE'!$P$5*'TUSD BE'!$P$58</f>
        <v>0</v>
      </c>
      <c r="Q5" s="25">
        <f>'TUSD BE'!$Q$5*'TUSD BE'!$Q$58</f>
        <v>0</v>
      </c>
      <c r="R5" s="25">
        <f>'TUSD BE'!$R$5*'TUSD BE'!$R$58</f>
        <v>0</v>
      </c>
      <c r="S5" s="25">
        <f>'TUSD BE'!$R$5*'TUSD BE'!$S$58</f>
        <v>0</v>
      </c>
      <c r="T5" s="25">
        <f ca="1">SUM($L$5:$S$5)</f>
        <v>0</v>
      </c>
      <c r="U5" s="25">
        <f>'TUSD BE'!$U$5*'TUSD BE'!$U$58</f>
        <v>0</v>
      </c>
      <c r="V5" s="25">
        <f>'TUSD BE'!$V$5*'TUSD BE'!$V$58</f>
        <v>0</v>
      </c>
      <c r="W5" s="25">
        <f>'TUSD BE'!$W$5*'TUSD BE'!$W$58</f>
        <v>0</v>
      </c>
      <c r="X5" s="25">
        <f>'TUSD BE'!$X$5*'TUSD BE'!$X$58</f>
        <v>0</v>
      </c>
      <c r="Y5" s="25">
        <f>'TUSD BE'!$Y$5*'TUSD BE'!$Y$58</f>
        <v>14.022593212297229</v>
      </c>
      <c r="Z5" s="25">
        <f>'TUSD BE'!$Z$5*'TUSD BE'!$Z$58</f>
        <v>0</v>
      </c>
      <c r="AA5" s="25">
        <f>'TUSD BE'!$AA$5*'TUSD BE'!$AA$58</f>
        <v>0</v>
      </c>
      <c r="AB5" s="25">
        <f>SUM($U$5:$AA$5)</f>
        <v>14.022593212297229</v>
      </c>
      <c r="AC5" s="25">
        <f>'TUSD BE'!$AC$5*'TUSD BE'!$AC$58</f>
        <v>-31.392994098034784</v>
      </c>
      <c r="AD5" s="25">
        <f>SUM($AC$5:$AC$5)</f>
        <v>-31.392994098034784</v>
      </c>
      <c r="AE5" s="25">
        <f ca="1">$AO$5*$AO$55</f>
        <v>0</v>
      </c>
      <c r="AF5" s="25">
        <f ca="1">$AP$5*$AP$55</f>
        <v>0</v>
      </c>
      <c r="AG5" s="25">
        <f ca="1">SUM($AE$5:$AF$5)</f>
        <v>0</v>
      </c>
      <c r="AH5" s="25">
        <f>'TUSD BE'!$AH$5*'TUSD BE'!$AH$58</f>
        <v>0</v>
      </c>
      <c r="AI5" s="25">
        <f>'TUSD BE'!$AI$5*'TUSD BE'!$AI$58</f>
        <v>0</v>
      </c>
      <c r="AJ5" s="25">
        <f ca="1">'TUSD BE'!$AJ$5*'TUSD BE'!$AJ$58</f>
        <v>0</v>
      </c>
      <c r="AK5" s="25">
        <f ca="1">'TUSD BE'!$AK$5*'TUSD BE'!$AK$58</f>
        <v>0</v>
      </c>
      <c r="AL5" s="25">
        <f ca="1">SUM($AH$5:$AK$5)</f>
        <v>0</v>
      </c>
      <c r="AM5" s="25">
        <f ca="1">SUMIF($L$4:$AL$4,"SUBTOTAL",$L$5:$AL$5)</f>
        <v>-17.370400885737553</v>
      </c>
      <c r="AO5" s="30">
        <f ca="1">+'TUSD BE'!$T$5+'TUSD BE'!$AB$5+'TUSD BE'!$AD$5+'TUSD BE'!$AL$5</f>
        <v>221.70539979309999</v>
      </c>
      <c r="AP5" s="30">
        <f ca="1">+'TUSD BE'!$T$5+'TUSD BE'!$AB$5+'TUSD BE'!$AD$5+'TUSD BE'!$AL$5</f>
        <v>221.70539979309999</v>
      </c>
    </row>
    <row r="6" spans="1:42" ht="11.25" customHeight="1" x14ac:dyDescent="0.3">
      <c r="A6" s="120"/>
      <c r="B6" s="120"/>
      <c r="C6" s="120"/>
      <c r="D6" s="120"/>
      <c r="E6" s="120"/>
      <c r="F6" s="120"/>
      <c r="G6" s="21" t="s">
        <v>79</v>
      </c>
      <c r="H6" s="21" t="s">
        <v>77</v>
      </c>
      <c r="I6" s="21">
        <f>'MERCADO TUSD'!$U$3</f>
        <v>1209</v>
      </c>
      <c r="J6" s="17"/>
      <c r="L6" s="25">
        <f>'TUSD BE'!$L$6*'TUSD BE'!$L$58</f>
        <v>0</v>
      </c>
      <c r="M6" s="25">
        <f>'TUSD BE'!$M$6*'TUSD BE'!$M$58</f>
        <v>0</v>
      </c>
      <c r="N6" s="25">
        <f ca="1">'TUSD BE'!$N$6*'TUSD BE'!$N$58</f>
        <v>0</v>
      </c>
      <c r="O6" s="25">
        <f>'TUSD BE'!$O$6*'TUSD BE'!$O$58</f>
        <v>0</v>
      </c>
      <c r="P6" s="25">
        <f>'TUSD BE'!$P$6*'TUSD BE'!$P$58</f>
        <v>0</v>
      </c>
      <c r="Q6" s="25">
        <f>'TUSD BE'!$Q$6*'TUSD BE'!$Q$58</f>
        <v>0</v>
      </c>
      <c r="R6" s="25">
        <f>'TUSD BE'!$R$6*'TUSD BE'!$R$58</f>
        <v>0</v>
      </c>
      <c r="S6" s="25">
        <f>'TUSD BE'!$R$6*'TUSD BE'!$S$58</f>
        <v>0</v>
      </c>
      <c r="T6" s="25">
        <f ca="1">SUM($L$6:$S$6)</f>
        <v>0</v>
      </c>
      <c r="U6" s="25">
        <f>'TUSD BE'!$U$6*'TUSD BE'!$U$58</f>
        <v>0</v>
      </c>
      <c r="V6" s="25">
        <f>'TUSD BE'!$V$6*'TUSD BE'!$V$58</f>
        <v>0</v>
      </c>
      <c r="W6" s="25">
        <f>'TUSD BE'!$W$6*'TUSD BE'!$W$58</f>
        <v>0</v>
      </c>
      <c r="X6" s="25">
        <f>'TUSD BE'!$X$6*'TUSD BE'!$X$58</f>
        <v>0</v>
      </c>
      <c r="Y6" s="25">
        <f>'TUSD BE'!$Y$6*'TUSD BE'!$Y$58</f>
        <v>7.6123072964904326</v>
      </c>
      <c r="Z6" s="25">
        <f>'TUSD BE'!$Z$6*'TUSD BE'!$Z$58</f>
        <v>0</v>
      </c>
      <c r="AA6" s="25">
        <f>'TUSD BE'!$AA$6*'TUSD BE'!$AA$58</f>
        <v>0</v>
      </c>
      <c r="AB6" s="25">
        <f>SUM($U$6:$AA$6)</f>
        <v>7.6123072964904326</v>
      </c>
      <c r="AC6" s="25">
        <f>'TUSD BE'!$AC$6*'TUSD BE'!$AC$58</f>
        <v>-10.014486400604873</v>
      </c>
      <c r="AD6" s="25">
        <f>SUM($AC$6:$AC$6)</f>
        <v>-10.014486400604873</v>
      </c>
      <c r="AE6" s="25">
        <f ca="1">$AO$6*$AO$55</f>
        <v>0</v>
      </c>
      <c r="AF6" s="25">
        <f ca="1">$AP$6*$AP$55</f>
        <v>0</v>
      </c>
      <c r="AG6" s="25">
        <f ca="1">SUM($AE$6:$AF$6)</f>
        <v>0</v>
      </c>
      <c r="AH6" s="25">
        <f>'TUSD BE'!$AH$6*'TUSD BE'!$AH$58</f>
        <v>0</v>
      </c>
      <c r="AI6" s="25">
        <f>'TUSD BE'!$AI$6*'TUSD BE'!$AI$58</f>
        <v>0</v>
      </c>
      <c r="AJ6" s="25">
        <f ca="1">'TUSD BE'!$AJ$6*'TUSD BE'!$AJ$58</f>
        <v>0</v>
      </c>
      <c r="AK6" s="25">
        <f ca="1">'TUSD BE'!$AK$6*'TUSD BE'!$AK$58</f>
        <v>0</v>
      </c>
      <c r="AL6" s="25">
        <f ca="1">SUM($AH$6:$AK$6)</f>
        <v>0</v>
      </c>
      <c r="AM6" s="25">
        <f ca="1">SUMIF($L$4:$AL$4,"SUBTOTAL",$L$6:$AL$6)</f>
        <v>-2.4021791041144409</v>
      </c>
      <c r="AO6" s="30">
        <f ca="1">+'TUSD BE'!$T$6+'TUSD BE'!$AB$6+'TUSD BE'!$AD$6+'TUSD BE'!$AL$6</f>
        <v>83.443155443625102</v>
      </c>
      <c r="AP6" s="30">
        <f ca="1">+'TUSD BE'!$T$6+'TUSD BE'!$AB$6+'TUSD BE'!$AD$6+'TUSD BE'!$AL$6</f>
        <v>83.443155443625102</v>
      </c>
    </row>
    <row r="7" spans="1:42" ht="11.25" customHeight="1" x14ac:dyDescent="0.3">
      <c r="A7" s="120"/>
      <c r="B7" s="120"/>
      <c r="C7" s="120"/>
      <c r="D7" s="120"/>
      <c r="E7" s="120"/>
      <c r="F7" s="120"/>
      <c r="G7" s="21" t="s">
        <v>76</v>
      </c>
      <c r="H7" s="21" t="s">
        <v>72</v>
      </c>
      <c r="I7" s="21">
        <f>'MERCADO TUSD'!$U$4</f>
        <v>431.03100000000001</v>
      </c>
      <c r="J7" s="17"/>
      <c r="L7" s="25">
        <f>'TUSD BE'!$L$7*'TUSD BE'!$L$58</f>
        <v>0</v>
      </c>
      <c r="M7" s="25">
        <f>'TUSD BE'!$M$7*'TUSD BE'!$M$58</f>
        <v>-1.7123173244638898E-2</v>
      </c>
      <c r="N7" s="25">
        <f ca="1">'TUSD BE'!$N$7*'TUSD BE'!$N$58</f>
        <v>0</v>
      </c>
      <c r="O7" s="25">
        <f>'TUSD BE'!$O$7*'TUSD BE'!$O$58</f>
        <v>0</v>
      </c>
      <c r="P7" s="25">
        <f>'TUSD BE'!$P$7*'TUSD BE'!$P$58</f>
        <v>0</v>
      </c>
      <c r="Q7" s="25">
        <f>'TUSD BE'!$Q$7*'TUSD BE'!$Q$58</f>
        <v>-0.12992298545995068</v>
      </c>
      <c r="R7" s="25">
        <f>'TUSD BE'!$R$7*'TUSD BE'!$R$58</f>
        <v>-6.8589520341706981E-3</v>
      </c>
      <c r="S7" s="25">
        <f>'TUSD BE'!$R$7*'TUSD BE'!$S$58</f>
        <v>0</v>
      </c>
      <c r="T7" s="25">
        <f ca="1">SUM($L$7:$S$7)</f>
        <v>-0.15390511073876029</v>
      </c>
      <c r="U7" s="25">
        <f>'TUSD BE'!$U$7*'TUSD BE'!$U$58</f>
        <v>0</v>
      </c>
      <c r="V7" s="25">
        <f>'TUSD BE'!$V$7*'TUSD BE'!$V$58</f>
        <v>0</v>
      </c>
      <c r="W7" s="25">
        <f>'TUSD BE'!$W$7*'TUSD BE'!$W$58</f>
        <v>0</v>
      </c>
      <c r="X7" s="25">
        <f>'TUSD BE'!$X$7*'TUSD BE'!$X$58</f>
        <v>0</v>
      </c>
      <c r="Y7" s="25">
        <f>'TUSD BE'!$Y$7*'TUSD BE'!$Y$58</f>
        <v>0</v>
      </c>
      <c r="Z7" s="25">
        <f>'TUSD BE'!$Z$7*'TUSD BE'!$Z$58</f>
        <v>0</v>
      </c>
      <c r="AA7" s="25">
        <f>'TUSD BE'!$AA$7*'TUSD BE'!$AA$58</f>
        <v>0</v>
      </c>
      <c r="AB7" s="25">
        <f>SUM($U$7:$AA$7)</f>
        <v>0</v>
      </c>
      <c r="AC7" s="25">
        <f>'TUSD BE'!$AC$7*'TUSD BE'!$AC$58</f>
        <v>0</v>
      </c>
      <c r="AD7" s="25">
        <f>SUM($AC$7:$AC$7)</f>
        <v>0</v>
      </c>
      <c r="AE7" s="25">
        <f ca="1">$AO$7*$AO$55</f>
        <v>0</v>
      </c>
      <c r="AF7" s="25">
        <f ca="1">$AP$7*$AP$55</f>
        <v>0</v>
      </c>
      <c r="AG7" s="25">
        <f ca="1">SUM($AE$7:$AF$7)</f>
        <v>0</v>
      </c>
      <c r="AH7" s="25">
        <f>'TUSD BE'!$AH$7*'TUSD BE'!$AH$58</f>
        <v>2.9982935238328707</v>
      </c>
      <c r="AI7" s="25">
        <f>'TUSD BE'!$AI$7*'TUSD BE'!$AI$58</f>
        <v>0</v>
      </c>
      <c r="AJ7" s="25">
        <f ca="1">'TUSD BE'!$AJ$7*'TUSD BE'!$AJ$58</f>
        <v>3.2089382569058715</v>
      </c>
      <c r="AK7" s="25">
        <f ca="1">'TUSD BE'!$AK$7*'TUSD BE'!$AK$58</f>
        <v>0</v>
      </c>
      <c r="AL7" s="25">
        <f ca="1">SUM($AH$7:$AK$7)</f>
        <v>6.2072317807387423</v>
      </c>
      <c r="AM7" s="25">
        <f ca="1">SUMIF($L$4:$AL$4,"SUBTOTAL",$L$7:$AL$7)</f>
        <v>6.0533266699999819</v>
      </c>
      <c r="AO7" s="30">
        <f ca="1">+'TUSD BE'!$T$7+'TUSD BE'!$AB$7+'TUSD BE'!$AD$7+'TUSD BE'!$AL$7</f>
        <v>127.12279320332399</v>
      </c>
      <c r="AP7" s="30">
        <f ca="1">+'TUSD BE'!$T$7+'TUSD BE'!$AB$7+'TUSD BE'!$AD$7+'TUSD BE'!$AL$7</f>
        <v>127.12279320332399</v>
      </c>
    </row>
    <row r="8" spans="1:42" ht="11.25" customHeight="1" x14ac:dyDescent="0.3">
      <c r="A8" s="120"/>
      <c r="B8" s="120"/>
      <c r="C8" s="120"/>
      <c r="D8" s="120"/>
      <c r="E8" s="28" t="s">
        <v>80</v>
      </c>
      <c r="F8" s="28" t="s">
        <v>25</v>
      </c>
      <c r="G8" s="21" t="s">
        <v>76</v>
      </c>
      <c r="H8" s="21" t="s">
        <v>72</v>
      </c>
      <c r="I8" s="21">
        <f>'MERCADO TUSD'!$U$5</f>
        <v>0</v>
      </c>
      <c r="J8" s="17"/>
      <c r="L8" s="25">
        <f>'TUSD BE'!$L$8*'TUSD BE'!$L$58</f>
        <v>0</v>
      </c>
      <c r="M8" s="25">
        <f>'TUSD BE'!$M$8*'TUSD BE'!$M$58</f>
        <v>-1.7123173244638898E-2</v>
      </c>
      <c r="N8" s="25">
        <f ca="1">'TUSD BE'!$N$8*'TUSD BE'!$N$58</f>
        <v>0</v>
      </c>
      <c r="O8" s="25">
        <f>'TUSD BE'!$O$8*'TUSD BE'!$O$58</f>
        <v>0</v>
      </c>
      <c r="P8" s="25">
        <f>'TUSD BE'!$P$8*'TUSD BE'!$P$58</f>
        <v>0</v>
      </c>
      <c r="Q8" s="25">
        <f>'TUSD BE'!$Q$8*'TUSD BE'!$Q$58</f>
        <v>0</v>
      </c>
      <c r="R8" s="25">
        <f>'TUSD BE'!$R$8*'TUSD BE'!$R$58</f>
        <v>0</v>
      </c>
      <c r="S8" s="25">
        <f>'TUSD BE'!$R$8*'TUSD BE'!$S$58</f>
        <v>0</v>
      </c>
      <c r="T8" s="25">
        <f ca="1">SUM($L$8:$S$8)</f>
        <v>-1.7123173244638898E-2</v>
      </c>
      <c r="U8" s="25">
        <f>'TUSD BE'!$U$8*'TUSD BE'!$U$58</f>
        <v>0</v>
      </c>
      <c r="V8" s="25">
        <f>'TUSD BE'!$V$8*'TUSD BE'!$V$58</f>
        <v>0</v>
      </c>
      <c r="W8" s="25">
        <f>'TUSD BE'!$W$8*'TUSD BE'!$W$58</f>
        <v>0</v>
      </c>
      <c r="X8" s="25">
        <f>'TUSD BE'!$X$8*'TUSD BE'!$X$58</f>
        <v>0</v>
      </c>
      <c r="Y8" s="25">
        <f>'TUSD BE'!$Y$8*'TUSD BE'!$Y$58</f>
        <v>0</v>
      </c>
      <c r="Z8" s="25">
        <f>'TUSD BE'!$Z$8*'TUSD BE'!$Z$58</f>
        <v>0</v>
      </c>
      <c r="AA8" s="25">
        <f>'TUSD BE'!$AA$8*'TUSD BE'!$AA$58</f>
        <v>0</v>
      </c>
      <c r="AB8" s="25">
        <f>SUM($U$8:$AA$8)</f>
        <v>0</v>
      </c>
      <c r="AC8" s="25">
        <f>'TUSD BE'!$AC$8*'TUSD BE'!$AC$58</f>
        <v>0</v>
      </c>
      <c r="AD8" s="25">
        <f>SUM($AC$8:$AC$8)</f>
        <v>0</v>
      </c>
      <c r="AE8" s="25">
        <f ca="1">$AO$8*$AO$55</f>
        <v>0</v>
      </c>
      <c r="AF8" s="25">
        <f ca="1">$AP$8*$AP$55</f>
        <v>0</v>
      </c>
      <c r="AG8" s="25">
        <f ca="1">SUM($AE$8:$AF$8)</f>
        <v>0</v>
      </c>
      <c r="AH8" s="25">
        <f>'TUSD BE'!$AH$8*'TUSD BE'!$AH$58</f>
        <v>2.9982935238328707</v>
      </c>
      <c r="AI8" s="25">
        <f>'TUSD BE'!$AI$8*'TUSD BE'!$AI$58</f>
        <v>0</v>
      </c>
      <c r="AJ8" s="25">
        <f ca="1">'TUSD BE'!$AJ$8*'TUSD BE'!$AJ$58</f>
        <v>3.2089382569058715</v>
      </c>
      <c r="AK8" s="25">
        <f ca="1">'TUSD BE'!$AK$8*'TUSD BE'!$AK$58</f>
        <v>0</v>
      </c>
      <c r="AL8" s="25">
        <f ca="1">SUM($AH$8:$AK$8)</f>
        <v>6.2072317807387423</v>
      </c>
      <c r="AM8" s="25">
        <f ca="1">SUMIF($L$4:$AL$4,"SUBTOTAL",$L$8:$AL$8)</f>
        <v>6.1901086074941034</v>
      </c>
      <c r="AO8" s="30">
        <f ca="1">+'TUSD BE'!$T$8+'TUSD BE'!$AB$8+'TUSD BE'!$AD$8+'TUSD BE'!$AL$8</f>
        <v>22.549735229786286</v>
      </c>
      <c r="AP8" s="30">
        <f ca="1">+'TUSD BE'!$T$8+'TUSD BE'!$AB$8+'TUSD BE'!$AD$8+'TUSD BE'!$AL$8</f>
        <v>22.549735229786286</v>
      </c>
    </row>
    <row r="9" spans="1:42" ht="11.25" customHeight="1" x14ac:dyDescent="0.3">
      <c r="A9" s="120"/>
      <c r="B9" s="28" t="s">
        <v>81</v>
      </c>
      <c r="C9" s="28" t="s">
        <v>25</v>
      </c>
      <c r="D9" s="28" t="s">
        <v>25</v>
      </c>
      <c r="E9" s="28" t="s">
        <v>25</v>
      </c>
      <c r="F9" s="28" t="s">
        <v>25</v>
      </c>
      <c r="G9" s="21" t="s">
        <v>9</v>
      </c>
      <c r="H9" s="21" t="s">
        <v>77</v>
      </c>
      <c r="I9" s="21">
        <f>'MERCADO TUSD'!$U$6</f>
        <v>0</v>
      </c>
      <c r="J9" s="17"/>
      <c r="L9" s="25">
        <f>'TUSD BE'!$L$9*'TUSD BE'!$L$58</f>
        <v>0</v>
      </c>
      <c r="M9" s="25">
        <f>'TUSD BE'!$M$9*'TUSD BE'!$M$58</f>
        <v>-2.306158964228806E-4</v>
      </c>
      <c r="N9" s="25">
        <f ca="1">'TUSD BE'!$N$9*'TUSD BE'!$N$58</f>
        <v>0</v>
      </c>
      <c r="O9" s="25">
        <f>'TUSD BE'!$O$9*'TUSD BE'!$O$58</f>
        <v>0</v>
      </c>
      <c r="P9" s="25">
        <f>'TUSD BE'!$P$9*'TUSD BE'!$P$58</f>
        <v>0</v>
      </c>
      <c r="Q9" s="25">
        <f>'TUSD BE'!$Q$9*'TUSD BE'!$Q$58</f>
        <v>0</v>
      </c>
      <c r="R9" s="25">
        <f>'TUSD BE'!$R$9*'TUSD BE'!$R$58</f>
        <v>0</v>
      </c>
      <c r="S9" s="25">
        <f>'TUSD BE'!$R$9*'TUSD BE'!$S$58</f>
        <v>0</v>
      </c>
      <c r="T9" s="25">
        <f ca="1">SUM($L$9:$S$9)</f>
        <v>-2.306158964228806E-4</v>
      </c>
      <c r="U9" s="25">
        <f>'TUSD BE'!$U$9*'TUSD BE'!$U$58</f>
        <v>0</v>
      </c>
      <c r="V9" s="25">
        <f>'TUSD BE'!$V$9*'TUSD BE'!$V$58</f>
        <v>0</v>
      </c>
      <c r="W9" s="25">
        <f>'TUSD BE'!$W$9*'TUSD BE'!$W$58</f>
        <v>0</v>
      </c>
      <c r="X9" s="25">
        <f>'TUSD BE'!$X$9*'TUSD BE'!$X$58</f>
        <v>0</v>
      </c>
      <c r="Y9" s="25">
        <f>'TUSD BE'!$Y$9*'TUSD BE'!$Y$58</f>
        <v>0</v>
      </c>
      <c r="Z9" s="25">
        <f>'TUSD BE'!$Z$9*'TUSD BE'!$Z$58</f>
        <v>0</v>
      </c>
      <c r="AA9" s="25">
        <f>'TUSD BE'!$AA$9*'TUSD BE'!$AA$58</f>
        <v>0</v>
      </c>
      <c r="AB9" s="25">
        <f>SUM($U$9:$AA$9)</f>
        <v>0</v>
      </c>
      <c r="AC9" s="25">
        <f>'TUSD BE'!$AC$9*'TUSD BE'!$AC$58</f>
        <v>-4.3348993561861757</v>
      </c>
      <c r="AD9" s="25">
        <f>SUM($AC$9:$AC$9)</f>
        <v>-4.3348993561861757</v>
      </c>
      <c r="AE9" s="25">
        <f ca="1">$AO$9*$AO$55</f>
        <v>0</v>
      </c>
      <c r="AF9" s="25">
        <f ca="1">$AP$9*$AP$55</f>
        <v>0</v>
      </c>
      <c r="AG9" s="25">
        <f ca="1">SUM($AE$9:$AF$9)</f>
        <v>0</v>
      </c>
      <c r="AH9" s="25">
        <f>'TUSD BE'!$AH$9*'TUSD BE'!$AH$58</f>
        <v>0</v>
      </c>
      <c r="AI9" s="25">
        <f>'TUSD BE'!$AI$9*'TUSD BE'!$AI$58</f>
        <v>0</v>
      </c>
      <c r="AJ9" s="25">
        <f ca="1">'TUSD BE'!$AJ$9*'TUSD BE'!$AJ$58</f>
        <v>0</v>
      </c>
      <c r="AK9" s="25">
        <f ca="1">'TUSD BE'!$AK$9*'TUSD BE'!$AK$58</f>
        <v>0</v>
      </c>
      <c r="AL9" s="25">
        <f ca="1">SUM($AH$9:$AK$9)</f>
        <v>0</v>
      </c>
      <c r="AM9" s="25">
        <f ca="1">SUMIF($L$4:$AL$4,"SUBTOTAL",$L$9:$AL$9)</f>
        <v>-4.3351299720825986</v>
      </c>
      <c r="AO9" s="30">
        <f ca="1">+'TUSD BE'!$T$9+'TUSD BE'!$AB$9+'TUSD BE'!$AD$9+'TUSD BE'!$AL$9</f>
        <v>22.797865813464778</v>
      </c>
      <c r="AP9" s="30">
        <f ca="1">+'TUSD BE'!$T$9+'TUSD BE'!$AB$9+'TUSD BE'!$AD$9+'TUSD BE'!$AL$9</f>
        <v>22.797865813464778</v>
      </c>
    </row>
    <row r="10" spans="1:42" ht="11.25" customHeight="1" x14ac:dyDescent="0.3">
      <c r="A10" s="120"/>
      <c r="B10" s="120" t="s">
        <v>38</v>
      </c>
      <c r="C10" s="120" t="s">
        <v>25</v>
      </c>
      <c r="D10" s="120" t="s">
        <v>25</v>
      </c>
      <c r="E10" s="120" t="s">
        <v>25</v>
      </c>
      <c r="F10" s="120" t="s">
        <v>25</v>
      </c>
      <c r="G10" s="21" t="s">
        <v>9</v>
      </c>
      <c r="H10" s="21" t="s">
        <v>77</v>
      </c>
      <c r="I10" s="21">
        <f>'MERCADO TUSD'!$U$7</f>
        <v>19392</v>
      </c>
      <c r="J10" s="17"/>
      <c r="L10" s="25">
        <f>'TUSD BE'!$L$10*'TUSD BE'!$L$58</f>
        <v>0</v>
      </c>
      <c r="M10" s="25">
        <f>'TUSD BE'!$M$10*'TUSD BE'!$M$58</f>
        <v>0</v>
      </c>
      <c r="N10" s="25">
        <f ca="1">'TUSD BE'!$N$10*'TUSD BE'!$N$58</f>
        <v>0</v>
      </c>
      <c r="O10" s="25">
        <f>'TUSD BE'!$O$10*'TUSD BE'!$O$58</f>
        <v>0</v>
      </c>
      <c r="P10" s="25">
        <f>'TUSD BE'!$P$10*'TUSD BE'!$P$58</f>
        <v>0</v>
      </c>
      <c r="Q10" s="25">
        <f>'TUSD BE'!$Q$10*'TUSD BE'!$Q$58</f>
        <v>0</v>
      </c>
      <c r="R10" s="25">
        <f>'TUSD BE'!$R$10*'TUSD BE'!$R$58</f>
        <v>0</v>
      </c>
      <c r="S10" s="25">
        <f>'TUSD BE'!$R$10*'TUSD BE'!$S$58</f>
        <v>0</v>
      </c>
      <c r="T10" s="25">
        <f ca="1">SUM($L$10:$S$10)</f>
        <v>0</v>
      </c>
      <c r="U10" s="25">
        <f>'TUSD BE'!$U$10*'TUSD BE'!$U$58</f>
        <v>0</v>
      </c>
      <c r="V10" s="25">
        <f>'TUSD BE'!$V$10*'TUSD BE'!$V$58</f>
        <v>0</v>
      </c>
      <c r="W10" s="25">
        <f>'TUSD BE'!$W$10*'TUSD BE'!$W$58</f>
        <v>0</v>
      </c>
      <c r="X10" s="25">
        <f>'TUSD BE'!$X$10*'TUSD BE'!$X$58</f>
        <v>0</v>
      </c>
      <c r="Y10" s="25">
        <f>'TUSD BE'!$Y$10*'TUSD BE'!$Y$58</f>
        <v>7.6123072964904326</v>
      </c>
      <c r="Z10" s="25">
        <f>'TUSD BE'!$Z$10*'TUSD BE'!$Z$58</f>
        <v>0</v>
      </c>
      <c r="AA10" s="25">
        <f>'TUSD BE'!$AA$10*'TUSD BE'!$AA$58</f>
        <v>0</v>
      </c>
      <c r="AB10" s="25">
        <f>SUM($U$10:$AA$10)</f>
        <v>7.6123072964904326</v>
      </c>
      <c r="AC10" s="25">
        <f>'TUSD BE'!$AC$10*'TUSD BE'!$AC$58</f>
        <v>-10.014486400604873</v>
      </c>
      <c r="AD10" s="25">
        <f>SUM($AC$10:$AC$10)</f>
        <v>-10.014486400604873</v>
      </c>
      <c r="AE10" s="25">
        <f ca="1">$AO$10*$AO$55</f>
        <v>0</v>
      </c>
      <c r="AF10" s="25">
        <f ca="1">$AP$10*$AP$55</f>
        <v>0</v>
      </c>
      <c r="AG10" s="25">
        <f ca="1">SUM($AE$10:$AF$10)</f>
        <v>0</v>
      </c>
      <c r="AH10" s="25">
        <f>'TUSD BE'!$AH$10*'TUSD BE'!$AH$58</f>
        <v>0</v>
      </c>
      <c r="AI10" s="25">
        <f>'TUSD BE'!$AI$10*'TUSD BE'!$AI$58</f>
        <v>0</v>
      </c>
      <c r="AJ10" s="25">
        <f ca="1">'TUSD BE'!$AJ$10*'TUSD BE'!$AJ$58</f>
        <v>0</v>
      </c>
      <c r="AK10" s="25">
        <f ca="1">'TUSD BE'!$AK$10*'TUSD BE'!$AK$58</f>
        <v>0</v>
      </c>
      <c r="AL10" s="25">
        <f ca="1">SUM($AH$10:$AK$10)</f>
        <v>0</v>
      </c>
      <c r="AM10" s="25">
        <f ca="1">SUMIF($L$4:$AL$4,"SUBTOTAL",$L$10:$AL$10)</f>
        <v>-2.4021791041144409</v>
      </c>
      <c r="AO10" s="30">
        <f ca="1">+'TUSD BE'!$T$10+'TUSD BE'!$AB$10+'TUSD BE'!$AD$10+'TUSD BE'!$AL$10</f>
        <v>83.443155443625102</v>
      </c>
      <c r="AP10" s="30">
        <f ca="1">+'TUSD BE'!$T$10+'TUSD BE'!$AB$10+'TUSD BE'!$AD$10+'TUSD BE'!$AL$10</f>
        <v>83.443155443625102</v>
      </c>
    </row>
    <row r="11" spans="1:42" ht="11.25" customHeight="1" x14ac:dyDescent="0.3">
      <c r="A11" s="120"/>
      <c r="B11" s="120"/>
      <c r="C11" s="120"/>
      <c r="D11" s="120"/>
      <c r="E11" s="120"/>
      <c r="F11" s="120"/>
      <c r="G11" s="21" t="s">
        <v>73</v>
      </c>
      <c r="H11" s="21" t="s">
        <v>72</v>
      </c>
      <c r="I11" s="21">
        <f>'MERCADO TUSD'!$U$8</f>
        <v>47.495999999999995</v>
      </c>
      <c r="J11" s="17"/>
      <c r="L11" s="25">
        <f>'TUSD BE'!$L$11*'TUSD BE'!$L$58</f>
        <v>0</v>
      </c>
      <c r="M11" s="25">
        <f>'TUSD BE'!$M$11*'TUSD BE'!$M$58</f>
        <v>-1.7123173244638898E-2</v>
      </c>
      <c r="N11" s="25">
        <f ca="1">'TUSD BE'!$N$11*'TUSD BE'!$N$58</f>
        <v>0</v>
      </c>
      <c r="O11" s="25">
        <f>'TUSD BE'!$O$11*'TUSD BE'!$O$58</f>
        <v>0</v>
      </c>
      <c r="P11" s="25">
        <f>'TUSD BE'!$P$11*'TUSD BE'!$P$58</f>
        <v>0</v>
      </c>
      <c r="Q11" s="25">
        <f>'TUSD BE'!$Q$11*'TUSD BE'!$Q$58</f>
        <v>-0.12992298545995068</v>
      </c>
      <c r="R11" s="25">
        <f>'TUSD BE'!$R$11*'TUSD BE'!$R$58</f>
        <v>-6.8589520341706981E-3</v>
      </c>
      <c r="S11" s="25">
        <f>'TUSD BE'!$R$11*'TUSD BE'!$S$58</f>
        <v>0</v>
      </c>
      <c r="T11" s="25">
        <f ca="1">SUM($L$11:$S$11)</f>
        <v>-0.15390511073876029</v>
      </c>
      <c r="U11" s="25">
        <f>'TUSD BE'!$U$11*'TUSD BE'!$U$58</f>
        <v>0</v>
      </c>
      <c r="V11" s="25">
        <f>'TUSD BE'!$V$11*'TUSD BE'!$V$58</f>
        <v>0</v>
      </c>
      <c r="W11" s="25">
        <f>'TUSD BE'!$W$11*'TUSD BE'!$W$58</f>
        <v>0</v>
      </c>
      <c r="X11" s="25">
        <f>'TUSD BE'!$X$11*'TUSD BE'!$X$58</f>
        <v>0</v>
      </c>
      <c r="Y11" s="25">
        <f>'TUSD BE'!$Y$11*'TUSD BE'!$Y$58</f>
        <v>337.24640965995985</v>
      </c>
      <c r="Z11" s="25">
        <f>'TUSD BE'!$Z$11*'TUSD BE'!$Z$58</f>
        <v>0</v>
      </c>
      <c r="AA11" s="25">
        <f>'TUSD BE'!$AA$11*'TUSD BE'!$AA$58</f>
        <v>0</v>
      </c>
      <c r="AB11" s="25">
        <f>SUM($U$11:$AA$11)</f>
        <v>337.24640965995985</v>
      </c>
      <c r="AC11" s="25">
        <f>'TUSD BE'!$AC$11*'TUSD BE'!$AC$58</f>
        <v>-755.0032303635536</v>
      </c>
      <c r="AD11" s="25">
        <f>SUM($AC$11:$AC$11)</f>
        <v>-755.0032303635536</v>
      </c>
      <c r="AE11" s="25">
        <f ca="1">$AO$11*$AO$55</f>
        <v>0</v>
      </c>
      <c r="AF11" s="25">
        <f ca="1">$AP$11*$AP$55</f>
        <v>0</v>
      </c>
      <c r="AG11" s="25">
        <f ca="1">SUM($AE$11:$AF$11)</f>
        <v>0</v>
      </c>
      <c r="AH11" s="25">
        <f>'TUSD BE'!$AH$11*'TUSD BE'!$AH$58</f>
        <v>2.9982935238328707</v>
      </c>
      <c r="AI11" s="25">
        <f>'TUSD BE'!$AI$11*'TUSD BE'!$AI$58</f>
        <v>0</v>
      </c>
      <c r="AJ11" s="25">
        <f ca="1">'TUSD BE'!$AJ$11*'TUSD BE'!$AJ$58</f>
        <v>3.2089382569058715</v>
      </c>
      <c r="AK11" s="25">
        <f ca="1">'TUSD BE'!$AK$11*'TUSD BE'!$AK$58</f>
        <v>0</v>
      </c>
      <c r="AL11" s="25">
        <f ca="1">SUM($AH$11:$AK$11)</f>
        <v>6.2072317807387423</v>
      </c>
      <c r="AM11" s="25">
        <f ca="1">SUMIF($L$4:$AL$4,"SUBTOTAL",$L$11:$AL$11)</f>
        <v>-411.70349403359376</v>
      </c>
      <c r="AO11" s="30">
        <f ca="1">+'TUSD BE'!$T$11+'TUSD BE'!$AB$11+'TUSD BE'!$AD$11+'TUSD BE'!$AL$11</f>
        <v>5459.159033341708</v>
      </c>
      <c r="AP11" s="30">
        <f ca="1">+'TUSD BE'!$T$11+'TUSD BE'!$AB$11+'TUSD BE'!$AD$11+'TUSD BE'!$AL$11</f>
        <v>5459.159033341708</v>
      </c>
    </row>
    <row r="12" spans="1:42" ht="11.25" customHeight="1" x14ac:dyDescent="0.3">
      <c r="A12" s="120"/>
      <c r="B12" s="120"/>
      <c r="C12" s="120"/>
      <c r="D12" s="120"/>
      <c r="E12" s="120"/>
      <c r="F12" s="120"/>
      <c r="G12" s="21" t="s">
        <v>74</v>
      </c>
      <c r="H12" s="21" t="s">
        <v>72</v>
      </c>
      <c r="I12" s="21">
        <f>'MERCADO TUSD'!$U$9</f>
        <v>2868.4139999999998</v>
      </c>
      <c r="J12" s="17"/>
      <c r="L12" s="25">
        <f>'TUSD BE'!$L$12*'TUSD BE'!$L$58</f>
        <v>0</v>
      </c>
      <c r="M12" s="25">
        <f>'TUSD BE'!$M$12*'TUSD BE'!$M$58</f>
        <v>-1.7123173244638898E-2</v>
      </c>
      <c r="N12" s="25">
        <f ca="1">'TUSD BE'!$N$12*'TUSD BE'!$N$58</f>
        <v>0</v>
      </c>
      <c r="O12" s="25">
        <f>'TUSD BE'!$O$12*'TUSD BE'!$O$58</f>
        <v>0</v>
      </c>
      <c r="P12" s="25">
        <f>'TUSD BE'!$P$12*'TUSD BE'!$P$58</f>
        <v>0</v>
      </c>
      <c r="Q12" s="25">
        <f>'TUSD BE'!$Q$12*'TUSD BE'!$Q$58</f>
        <v>-0.12992298545995068</v>
      </c>
      <c r="R12" s="25">
        <f>'TUSD BE'!$R$12*'TUSD BE'!$R$58</f>
        <v>-6.8589520341706981E-3</v>
      </c>
      <c r="S12" s="25">
        <f>'TUSD BE'!$R$12*'TUSD BE'!$S$58</f>
        <v>0</v>
      </c>
      <c r="T12" s="25">
        <f ca="1">SUM($L$12:$S$12)</f>
        <v>-0.15390511073876029</v>
      </c>
      <c r="U12" s="25">
        <f>'TUSD BE'!$U$12*'TUSD BE'!$U$58</f>
        <v>0</v>
      </c>
      <c r="V12" s="25">
        <f>'TUSD BE'!$V$12*'TUSD BE'!$V$58</f>
        <v>0</v>
      </c>
      <c r="W12" s="25">
        <f>'TUSD BE'!$W$12*'TUSD BE'!$W$58</f>
        <v>0</v>
      </c>
      <c r="X12" s="25">
        <f>'TUSD BE'!$X$12*'TUSD BE'!$X$58</f>
        <v>0</v>
      </c>
      <c r="Y12" s="25">
        <f>'TUSD BE'!$Y$12*'TUSD BE'!$Y$58</f>
        <v>0</v>
      </c>
      <c r="Z12" s="25">
        <f>'TUSD BE'!$Z$12*'TUSD BE'!$Z$58</f>
        <v>0</v>
      </c>
      <c r="AA12" s="25">
        <f>'TUSD BE'!$AA$12*'TUSD BE'!$AA$58</f>
        <v>0</v>
      </c>
      <c r="AB12" s="25">
        <f>SUM($U$12:$AA$12)</f>
        <v>0</v>
      </c>
      <c r="AC12" s="25">
        <f>'TUSD BE'!$AC$12*'TUSD BE'!$AC$58</f>
        <v>0</v>
      </c>
      <c r="AD12" s="25">
        <f>SUM($AC$12:$AC$12)</f>
        <v>0</v>
      </c>
      <c r="AE12" s="25">
        <f ca="1">$AO$12*$AO$55</f>
        <v>0</v>
      </c>
      <c r="AF12" s="25">
        <f ca="1">$AP$12*$AP$55</f>
        <v>0</v>
      </c>
      <c r="AG12" s="25">
        <f ca="1">SUM($AE$12:$AF$12)</f>
        <v>0</v>
      </c>
      <c r="AH12" s="25">
        <f>'TUSD BE'!$AH$12*'TUSD BE'!$AH$58</f>
        <v>2.9982935238328707</v>
      </c>
      <c r="AI12" s="25">
        <f>'TUSD BE'!$AI$12*'TUSD BE'!$AI$58</f>
        <v>0</v>
      </c>
      <c r="AJ12" s="25">
        <f ca="1">'TUSD BE'!$AJ$12*'TUSD BE'!$AJ$58</f>
        <v>3.2089382569058715</v>
      </c>
      <c r="AK12" s="25">
        <f ca="1">'TUSD BE'!$AK$12*'TUSD BE'!$AK$58</f>
        <v>0</v>
      </c>
      <c r="AL12" s="25">
        <f ca="1">SUM($AH$12:$AK$12)</f>
        <v>6.2072317807387423</v>
      </c>
      <c r="AM12" s="25">
        <f ca="1">SUMIF($L$4:$AL$4,"SUBTOTAL",$L$12:$AL$12)</f>
        <v>6.0533266699999819</v>
      </c>
      <c r="AO12" s="30">
        <f ca="1">+'TUSD BE'!$T$12+'TUSD BE'!$AB$12+'TUSD BE'!$AD$12+'TUSD BE'!$AL$12</f>
        <v>127.12279320332399</v>
      </c>
      <c r="AP12" s="30">
        <f ca="1">+'TUSD BE'!$T$12+'TUSD BE'!$AB$12+'TUSD BE'!$AD$12+'TUSD BE'!$AL$12</f>
        <v>127.12279320332399</v>
      </c>
    </row>
    <row r="13" spans="1:42" ht="11.25" customHeight="1" x14ac:dyDescent="0.3">
      <c r="A13" s="120"/>
      <c r="B13" s="120"/>
      <c r="C13" s="120"/>
      <c r="D13" s="120"/>
      <c r="E13" s="120" t="s">
        <v>80</v>
      </c>
      <c r="F13" s="120" t="s">
        <v>25</v>
      </c>
      <c r="G13" s="21" t="s">
        <v>73</v>
      </c>
      <c r="H13" s="21" t="s">
        <v>72</v>
      </c>
      <c r="I13" s="21">
        <f>'MERCADO TUSD'!$U$10</f>
        <v>0</v>
      </c>
      <c r="J13" s="17"/>
      <c r="L13" s="25">
        <f>'TUSD BE'!$L$13*'TUSD BE'!$L$58</f>
        <v>0</v>
      </c>
      <c r="M13" s="25">
        <f>'TUSD BE'!$M$13*'TUSD BE'!$M$58</f>
        <v>-1.7123173244638898E-2</v>
      </c>
      <c r="N13" s="25">
        <f ca="1">'TUSD BE'!$N$13*'TUSD BE'!$N$58</f>
        <v>0</v>
      </c>
      <c r="O13" s="25">
        <f>'TUSD BE'!$O$13*'TUSD BE'!$O$58</f>
        <v>0</v>
      </c>
      <c r="P13" s="25">
        <f>'TUSD BE'!$P$13*'TUSD BE'!$P$58</f>
        <v>0</v>
      </c>
      <c r="Q13" s="25">
        <f>'TUSD BE'!$Q$13*'TUSD BE'!$Q$58</f>
        <v>0</v>
      </c>
      <c r="R13" s="25">
        <f>'TUSD BE'!$R$13*'TUSD BE'!$R$58</f>
        <v>0</v>
      </c>
      <c r="S13" s="25">
        <f>'TUSD BE'!$R$13*'TUSD BE'!$S$58</f>
        <v>0</v>
      </c>
      <c r="T13" s="25">
        <f ca="1">SUM($L$13:$S$13)</f>
        <v>-1.7123173244638898E-2</v>
      </c>
      <c r="U13" s="25">
        <f>'TUSD BE'!$U$13*'TUSD BE'!$U$58</f>
        <v>0</v>
      </c>
      <c r="V13" s="25">
        <f>'TUSD BE'!$V$13*'TUSD BE'!$V$58</f>
        <v>0</v>
      </c>
      <c r="W13" s="25">
        <f>'TUSD BE'!$W$13*'TUSD BE'!$W$58</f>
        <v>0</v>
      </c>
      <c r="X13" s="25">
        <f>'TUSD BE'!$X$13*'TUSD BE'!$X$58</f>
        <v>0</v>
      </c>
      <c r="Y13" s="25">
        <f>'TUSD BE'!$Y$13*'TUSD BE'!$Y$58</f>
        <v>337.24640965995985</v>
      </c>
      <c r="Z13" s="25">
        <f>'TUSD BE'!$Z$13*'TUSD BE'!$Z$58</f>
        <v>0</v>
      </c>
      <c r="AA13" s="25">
        <f>'TUSD BE'!$AA$13*'TUSD BE'!$AA$58</f>
        <v>0</v>
      </c>
      <c r="AB13" s="25">
        <f>SUM($U$13:$AA$13)</f>
        <v>337.24640965995985</v>
      </c>
      <c r="AC13" s="25">
        <f>'TUSD BE'!$AC$13*'TUSD BE'!$AC$58</f>
        <v>-755.0032303635536</v>
      </c>
      <c r="AD13" s="25">
        <f>SUM($AC$13:$AC$13)</f>
        <v>-755.0032303635536</v>
      </c>
      <c r="AE13" s="25">
        <f ca="1">$AO$13*$AO$55</f>
        <v>0</v>
      </c>
      <c r="AF13" s="25">
        <f ca="1">$AP$13*$AP$55</f>
        <v>0</v>
      </c>
      <c r="AG13" s="25">
        <f ca="1">SUM($AE$13:$AF$13)</f>
        <v>0</v>
      </c>
      <c r="AH13" s="25">
        <f>'TUSD BE'!$AH$13*'TUSD BE'!$AH$58</f>
        <v>2.9982935238328707</v>
      </c>
      <c r="AI13" s="25">
        <f>'TUSD BE'!$AI$13*'TUSD BE'!$AI$58</f>
        <v>0</v>
      </c>
      <c r="AJ13" s="25">
        <f ca="1">'TUSD BE'!$AJ$13*'TUSD BE'!$AJ$58</f>
        <v>3.2089382569058715</v>
      </c>
      <c r="AK13" s="25">
        <f ca="1">'TUSD BE'!$AK$13*'TUSD BE'!$AK$58</f>
        <v>0</v>
      </c>
      <c r="AL13" s="25">
        <f ca="1">SUM($AH$13:$AK$13)</f>
        <v>6.2072317807387423</v>
      </c>
      <c r="AM13" s="25">
        <f ca="1">SUMIF($L$4:$AL$4,"SUBTOTAL",$L$13:$AL$13)</f>
        <v>-411.56671209609959</v>
      </c>
      <c r="AO13" s="30">
        <f ca="1">+'TUSD BE'!$T$13+'TUSD BE'!$AB$13+'TUSD BE'!$AD$13+'TUSD BE'!$AL$13</f>
        <v>5354.5859753681698</v>
      </c>
      <c r="AP13" s="30">
        <f ca="1">+'TUSD BE'!$T$13+'TUSD BE'!$AB$13+'TUSD BE'!$AD$13+'TUSD BE'!$AL$13</f>
        <v>5354.5859753681698</v>
      </c>
    </row>
    <row r="14" spans="1:42" ht="11.25" customHeight="1" x14ac:dyDescent="0.3">
      <c r="A14" s="120"/>
      <c r="B14" s="120"/>
      <c r="C14" s="120"/>
      <c r="D14" s="120"/>
      <c r="E14" s="120"/>
      <c r="F14" s="120"/>
      <c r="G14" s="21" t="s">
        <v>74</v>
      </c>
      <c r="H14" s="21" t="s">
        <v>72</v>
      </c>
      <c r="I14" s="21">
        <f>'MERCADO TUSD'!$U$11</f>
        <v>0</v>
      </c>
      <c r="J14" s="17"/>
      <c r="L14" s="25">
        <f>'TUSD BE'!$L$14*'TUSD BE'!$L$58</f>
        <v>0</v>
      </c>
      <c r="M14" s="25">
        <f>'TUSD BE'!$M$14*'TUSD BE'!$M$58</f>
        <v>-1.7123173244638898E-2</v>
      </c>
      <c r="N14" s="25">
        <f ca="1">'TUSD BE'!$N$14*'TUSD BE'!$N$58</f>
        <v>0</v>
      </c>
      <c r="O14" s="25">
        <f>'TUSD BE'!$O$14*'TUSD BE'!$O$58</f>
        <v>0</v>
      </c>
      <c r="P14" s="25">
        <f>'TUSD BE'!$P$14*'TUSD BE'!$P$58</f>
        <v>0</v>
      </c>
      <c r="Q14" s="25">
        <f>'TUSD BE'!$Q$14*'TUSD BE'!$Q$58</f>
        <v>0</v>
      </c>
      <c r="R14" s="25">
        <f>'TUSD BE'!$R$14*'TUSD BE'!$R$58</f>
        <v>0</v>
      </c>
      <c r="S14" s="25">
        <f>'TUSD BE'!$R$14*'TUSD BE'!$S$58</f>
        <v>0</v>
      </c>
      <c r="T14" s="25">
        <f ca="1">SUM($L$14:$S$14)</f>
        <v>-1.7123173244638898E-2</v>
      </c>
      <c r="U14" s="25">
        <f>'TUSD BE'!$U$14*'TUSD BE'!$U$58</f>
        <v>0</v>
      </c>
      <c r="V14" s="25">
        <f>'TUSD BE'!$V$14*'TUSD BE'!$V$58</f>
        <v>0</v>
      </c>
      <c r="W14" s="25">
        <f>'TUSD BE'!$W$14*'TUSD BE'!$W$58</f>
        <v>0</v>
      </c>
      <c r="X14" s="25">
        <f>'TUSD BE'!$X$14*'TUSD BE'!$X$58</f>
        <v>0</v>
      </c>
      <c r="Y14" s="25">
        <f>'TUSD BE'!$Y$14*'TUSD BE'!$Y$58</f>
        <v>0</v>
      </c>
      <c r="Z14" s="25">
        <f>'TUSD BE'!$Z$14*'TUSD BE'!$Z$58</f>
        <v>0</v>
      </c>
      <c r="AA14" s="25">
        <f>'TUSD BE'!$AA$14*'TUSD BE'!$AA$58</f>
        <v>0</v>
      </c>
      <c r="AB14" s="25">
        <f>SUM($U$14:$AA$14)</f>
        <v>0</v>
      </c>
      <c r="AC14" s="25">
        <f>'TUSD BE'!$AC$14*'TUSD BE'!$AC$58</f>
        <v>0</v>
      </c>
      <c r="AD14" s="25">
        <f>SUM($AC$14:$AC$14)</f>
        <v>0</v>
      </c>
      <c r="AE14" s="25">
        <f ca="1">$AO$14*$AO$55</f>
        <v>0</v>
      </c>
      <c r="AF14" s="25">
        <f ca="1">$AP$14*$AP$55</f>
        <v>0</v>
      </c>
      <c r="AG14" s="25">
        <f ca="1">SUM($AE$14:$AF$14)</f>
        <v>0</v>
      </c>
      <c r="AH14" s="25">
        <f>'TUSD BE'!$AH$14*'TUSD BE'!$AH$58</f>
        <v>2.9982935238328707</v>
      </c>
      <c r="AI14" s="25">
        <f>'TUSD BE'!$AI$14*'TUSD BE'!$AI$58</f>
        <v>0</v>
      </c>
      <c r="AJ14" s="25">
        <f ca="1">'TUSD BE'!$AJ$14*'TUSD BE'!$AJ$58</f>
        <v>3.2089382569058715</v>
      </c>
      <c r="AK14" s="25">
        <f ca="1">'TUSD BE'!$AK$14*'TUSD BE'!$AK$58</f>
        <v>0</v>
      </c>
      <c r="AL14" s="25">
        <f ca="1">SUM($AH$14:$AK$14)</f>
        <v>6.2072317807387423</v>
      </c>
      <c r="AM14" s="25">
        <f ca="1">SUMIF($L$4:$AL$4,"SUBTOTAL",$L$14:$AL$14)</f>
        <v>6.1901086074941034</v>
      </c>
      <c r="AO14" s="30">
        <f ca="1">+'TUSD BE'!$T$14+'TUSD BE'!$AB$14+'TUSD BE'!$AD$14+'TUSD BE'!$AL$14</f>
        <v>22.549735229786286</v>
      </c>
      <c r="AP14" s="30">
        <f ca="1">+'TUSD BE'!$T$14+'TUSD BE'!$AB$14+'TUSD BE'!$AD$14+'TUSD BE'!$AL$14</f>
        <v>22.549735229786286</v>
      </c>
    </row>
    <row r="15" spans="1:42" ht="11.25" customHeight="1" x14ac:dyDescent="0.3">
      <c r="A15" s="120" t="s">
        <v>82</v>
      </c>
      <c r="B15" s="120" t="s">
        <v>81</v>
      </c>
      <c r="C15" s="120" t="s">
        <v>25</v>
      </c>
      <c r="D15" s="120" t="s">
        <v>25</v>
      </c>
      <c r="E15" s="28" t="s">
        <v>83</v>
      </c>
      <c r="F15" s="28" t="s">
        <v>25</v>
      </c>
      <c r="G15" s="21" t="s">
        <v>9</v>
      </c>
      <c r="H15" s="21" t="s">
        <v>77</v>
      </c>
      <c r="I15" s="21">
        <f>'MERCADO TUSD'!$U$12+0.00000001</f>
        <v>1E-8</v>
      </c>
      <c r="J15" s="17"/>
      <c r="L15" s="25">
        <f>'TUSD BE'!$L$15*'TUSD BE'!$L$58</f>
        <v>0</v>
      </c>
      <c r="M15" s="25">
        <f>'TUSD BE'!$M$15*'TUSD BE'!$M$58</f>
        <v>-9.1899567747463702E-5</v>
      </c>
      <c r="N15" s="25">
        <f ca="1">'TUSD BE'!$N$15*'TUSD BE'!$N$58</f>
        <v>0</v>
      </c>
      <c r="O15" s="25">
        <f>'TUSD BE'!$O$15*'TUSD BE'!$O$58</f>
        <v>0</v>
      </c>
      <c r="P15" s="25">
        <f>'TUSD BE'!$P$15*'TUSD BE'!$P$58</f>
        <v>0</v>
      </c>
      <c r="Q15" s="25">
        <f>'TUSD BE'!$Q$15*'TUSD BE'!$Q$58</f>
        <v>0</v>
      </c>
      <c r="R15" s="25">
        <f>'TUSD BE'!$R$15*'TUSD BE'!$R$58</f>
        <v>0</v>
      </c>
      <c r="S15" s="25">
        <f>'TUSD BE'!$R$15*'TUSD BE'!$S$58</f>
        <v>0</v>
      </c>
      <c r="T15" s="25">
        <f ca="1">SUM($L$15:$S$15)</f>
        <v>-9.1899567747463702E-5</v>
      </c>
      <c r="U15" s="25">
        <f>'TUSD BE'!$U$15*'TUSD BE'!$U$58</f>
        <v>0</v>
      </c>
      <c r="V15" s="25">
        <f>'TUSD BE'!$V$15*'TUSD BE'!$V$58</f>
        <v>0</v>
      </c>
      <c r="W15" s="25">
        <f>'TUSD BE'!$W$15*'TUSD BE'!$W$58</f>
        <v>0</v>
      </c>
      <c r="X15" s="25">
        <f>'TUSD BE'!$X$15*'TUSD BE'!$X$58</f>
        <v>0</v>
      </c>
      <c r="Y15" s="25">
        <f>'TUSD BE'!$Y$15*'TUSD BE'!$Y$58</f>
        <v>0</v>
      </c>
      <c r="Z15" s="25">
        <f>'TUSD BE'!$Z$15*'TUSD BE'!$Z$58</f>
        <v>0</v>
      </c>
      <c r="AA15" s="25">
        <f>'TUSD BE'!$AA$15*'TUSD BE'!$AA$58</f>
        <v>0</v>
      </c>
      <c r="AB15" s="25">
        <f>SUM($U$15:$AA$15)</f>
        <v>0</v>
      </c>
      <c r="AC15" s="25">
        <f>'TUSD BE'!$AC$15*'TUSD BE'!$AC$58</f>
        <v>-1.7101877969180339</v>
      </c>
      <c r="AD15" s="25">
        <f>SUM($AC$15:$AC$15)</f>
        <v>-1.7101877969180339</v>
      </c>
      <c r="AE15" s="25">
        <f ca="1">$AO$15*$AO$55</f>
        <v>0</v>
      </c>
      <c r="AF15" s="25">
        <f ca="1">$AP$15*$AP$55</f>
        <v>0</v>
      </c>
      <c r="AG15" s="25">
        <f ca="1">SUM($AE$15:$AF$15)</f>
        <v>0</v>
      </c>
      <c r="AH15" s="25">
        <f>'TUSD BE'!$AH$15*'TUSD BE'!$AH$58</f>
        <v>0</v>
      </c>
      <c r="AI15" s="25">
        <f>'TUSD BE'!$AI$15*'TUSD BE'!$AI$58</f>
        <v>0</v>
      </c>
      <c r="AJ15" s="25">
        <f ca="1">'TUSD BE'!$AJ$15*'TUSD BE'!$AJ$58</f>
        <v>0</v>
      </c>
      <c r="AK15" s="25">
        <f ca="1">'TUSD BE'!$AK$15*'TUSD BE'!$AK$58</f>
        <v>0</v>
      </c>
      <c r="AL15" s="25">
        <f ca="1">SUM($AH$15:$AK$15)</f>
        <v>0</v>
      </c>
      <c r="AM15" s="25">
        <f ca="1">SUMIF($L$4:$AL$4,"SUBTOTAL",$L$15:$AL$15)</f>
        <v>-1.7102796964857814</v>
      </c>
      <c r="AO15" s="30">
        <f ca="1">+'TUSD BE'!$T$15+'TUSD BE'!$AB$15+'TUSD BE'!$AD$15+'TUSD BE'!$AL$15</f>
        <v>8.9942412845878383</v>
      </c>
      <c r="AP15" s="30">
        <f ca="1">+'TUSD BE'!$T$15+'TUSD BE'!$AB$15+'TUSD BE'!$AD$15+'TUSD BE'!$AL$15</f>
        <v>8.9942412845878383</v>
      </c>
    </row>
    <row r="16" spans="1:42" ht="11.25" customHeight="1" x14ac:dyDescent="0.3">
      <c r="A16" s="120"/>
      <c r="B16" s="120"/>
      <c r="C16" s="120"/>
      <c r="D16" s="120"/>
      <c r="E16" s="28" t="s">
        <v>84</v>
      </c>
      <c r="F16" s="28" t="s">
        <v>25</v>
      </c>
      <c r="G16" s="21" t="s">
        <v>9</v>
      </c>
      <c r="H16" s="21" t="s">
        <v>77</v>
      </c>
      <c r="I16" s="21">
        <f>'MERCADO TUSD'!$U$13+0.00000001</f>
        <v>1E-8</v>
      </c>
      <c r="J16" s="17"/>
      <c r="L16" s="25">
        <f>'TUSD BE'!$L$16*'TUSD BE'!$L$58</f>
        <v>0</v>
      </c>
      <c r="M16" s="25">
        <f>'TUSD BE'!$M$16*'TUSD BE'!$M$58</f>
        <v>-9.1899567747463702E-5</v>
      </c>
      <c r="N16" s="25">
        <f ca="1">'TUSD BE'!$N$16*'TUSD BE'!$N$58</f>
        <v>0</v>
      </c>
      <c r="O16" s="25">
        <f>'TUSD BE'!$O$16*'TUSD BE'!$O$58</f>
        <v>0</v>
      </c>
      <c r="P16" s="25">
        <f>'TUSD BE'!$P$16*'TUSD BE'!$P$58</f>
        <v>0</v>
      </c>
      <c r="Q16" s="25">
        <f>'TUSD BE'!$Q$16*'TUSD BE'!$Q$58</f>
        <v>0</v>
      </c>
      <c r="R16" s="25">
        <f>'TUSD BE'!$R$16*'TUSD BE'!$R$58</f>
        <v>0</v>
      </c>
      <c r="S16" s="25">
        <f>'TUSD BE'!$R$16*'TUSD BE'!$S$58</f>
        <v>0</v>
      </c>
      <c r="T16" s="25">
        <f ca="1">SUM($L$16:$S$16)</f>
        <v>-9.1899567747463702E-5</v>
      </c>
      <c r="U16" s="25">
        <f>'TUSD BE'!$U$16*'TUSD BE'!$U$58</f>
        <v>0</v>
      </c>
      <c r="V16" s="25">
        <f>'TUSD BE'!$V$16*'TUSD BE'!$V$58</f>
        <v>0</v>
      </c>
      <c r="W16" s="25">
        <f>'TUSD BE'!$W$16*'TUSD BE'!$W$58</f>
        <v>0</v>
      </c>
      <c r="X16" s="25">
        <f>'TUSD BE'!$X$16*'TUSD BE'!$X$58</f>
        <v>0</v>
      </c>
      <c r="Y16" s="25">
        <f>'TUSD BE'!$Y$16*'TUSD BE'!$Y$58</f>
        <v>0</v>
      </c>
      <c r="Z16" s="25">
        <f>'TUSD BE'!$Z$16*'TUSD BE'!$Z$58</f>
        <v>0</v>
      </c>
      <c r="AA16" s="25">
        <f>'TUSD BE'!$AA$16*'TUSD BE'!$AA$58</f>
        <v>0</v>
      </c>
      <c r="AB16" s="25">
        <f>SUM($U$16:$AA$16)</f>
        <v>0</v>
      </c>
      <c r="AC16" s="25">
        <f>'TUSD BE'!$AC$16*'TUSD BE'!$AC$58</f>
        <v>-5.5119458405055193</v>
      </c>
      <c r="AD16" s="25">
        <f>SUM($AC$16:$AC$16)</f>
        <v>-5.5119458405055193</v>
      </c>
      <c r="AE16" s="25">
        <f ca="1">$AO$16*$AO$55</f>
        <v>0</v>
      </c>
      <c r="AF16" s="25">
        <f ca="1">$AP$16*$AP$55</f>
        <v>0</v>
      </c>
      <c r="AG16" s="25">
        <f ca="1">SUM($AE$16:$AF$16)</f>
        <v>0</v>
      </c>
      <c r="AH16" s="25">
        <f>'TUSD BE'!$AH$16*'TUSD BE'!$AH$58</f>
        <v>0</v>
      </c>
      <c r="AI16" s="25">
        <f>'TUSD BE'!$AI$16*'TUSD BE'!$AI$58</f>
        <v>0</v>
      </c>
      <c r="AJ16" s="25">
        <f ca="1">'TUSD BE'!$AJ$16*'TUSD BE'!$AJ$58</f>
        <v>0</v>
      </c>
      <c r="AK16" s="25">
        <f ca="1">'TUSD BE'!$AK$16*'TUSD BE'!$AK$58</f>
        <v>0</v>
      </c>
      <c r="AL16" s="25">
        <f ca="1">SUM($AH$16:$AK$16)</f>
        <v>0</v>
      </c>
      <c r="AM16" s="25">
        <f ca="1">SUMIF($L$4:$AL$4,"SUBTOTAL",$L$16:$AL$16)</f>
        <v>-5.512037740073267</v>
      </c>
      <c r="AO16" s="30">
        <f ca="1">+'TUSD BE'!$T$16+'TUSD BE'!$AB$16+'TUSD BE'!$AD$16+'TUSD BE'!$AL$16</f>
        <v>28.962882431670579</v>
      </c>
      <c r="AP16" s="30">
        <f ca="1">+'TUSD BE'!$T$16+'TUSD BE'!$AB$16+'TUSD BE'!$AD$16+'TUSD BE'!$AL$16</f>
        <v>28.962882431670579</v>
      </c>
    </row>
    <row r="17" spans="1:42" ht="11.25" customHeight="1" x14ac:dyDescent="0.3">
      <c r="A17" s="120" t="s">
        <v>22</v>
      </c>
      <c r="B17" s="120" t="s">
        <v>33</v>
      </c>
      <c r="C17" s="120" t="s">
        <v>24</v>
      </c>
      <c r="D17" s="120" t="s">
        <v>24</v>
      </c>
      <c r="E17" s="120" t="s">
        <v>25</v>
      </c>
      <c r="F17" s="120" t="s">
        <v>25</v>
      </c>
      <c r="G17" s="21" t="s">
        <v>73</v>
      </c>
      <c r="H17" s="21" t="s">
        <v>72</v>
      </c>
      <c r="I17" s="21">
        <f>'MERCADO TUSD'!$U$14</f>
        <v>3.1E-2</v>
      </c>
      <c r="J17" s="17"/>
      <c r="L17" s="25">
        <f>'TUSD BE'!$L$17*'TUSD BE'!$L$58</f>
        <v>0</v>
      </c>
      <c r="M17" s="25">
        <f>'TUSD BE'!$M$17*'TUSD BE'!$M$58</f>
        <v>-2.6326667105823032E-2</v>
      </c>
      <c r="N17" s="25">
        <f ca="1">'TUSD BE'!$N$17*'TUSD BE'!$N$58</f>
        <v>0</v>
      </c>
      <c r="O17" s="25">
        <f>'TUSD BE'!$O$17*'TUSD BE'!$O$58</f>
        <v>0</v>
      </c>
      <c r="P17" s="25">
        <f>'TUSD BE'!$P$17*'TUSD BE'!$P$58</f>
        <v>0</v>
      </c>
      <c r="Q17" s="25">
        <f>'TUSD BE'!$Q$17*'TUSD BE'!$Q$58</f>
        <v>-0.15467022078565557</v>
      </c>
      <c r="R17" s="25">
        <f>'TUSD BE'!$R$17*'TUSD BE'!$R$58</f>
        <v>-6.8589520341706981E-3</v>
      </c>
      <c r="S17" s="25">
        <f>'TUSD BE'!$R$17*'TUSD BE'!$S$58</f>
        <v>0</v>
      </c>
      <c r="T17" s="25">
        <f ca="1">SUM($L$17:$S$17)</f>
        <v>-0.1878558399256493</v>
      </c>
      <c r="U17" s="25">
        <f>'TUSD BE'!$U$17*'TUSD BE'!$U$58</f>
        <v>0</v>
      </c>
      <c r="V17" s="25">
        <f>'TUSD BE'!$V$17*'TUSD BE'!$V$58</f>
        <v>0</v>
      </c>
      <c r="W17" s="25">
        <f>'TUSD BE'!$W$17*'TUSD BE'!$W$58</f>
        <v>0</v>
      </c>
      <c r="X17" s="25">
        <f>'TUSD BE'!$X$17*'TUSD BE'!$X$58</f>
        <v>0</v>
      </c>
      <c r="Y17" s="25">
        <f>'TUSD BE'!$Y$17*'TUSD BE'!$Y$58</f>
        <v>141.14474076046696</v>
      </c>
      <c r="Z17" s="25">
        <f>'TUSD BE'!$Z$17*'TUSD BE'!$Z$58</f>
        <v>0</v>
      </c>
      <c r="AA17" s="25">
        <f>'TUSD BE'!$AA$17*'TUSD BE'!$AA$58</f>
        <v>0</v>
      </c>
      <c r="AB17" s="25">
        <f>SUM($U$17:$AA$17)</f>
        <v>141.14474076046696</v>
      </c>
      <c r="AC17" s="25">
        <f>'TUSD BE'!$AC$17*'TUSD BE'!$AC$58</f>
        <v>-347.09397080535837</v>
      </c>
      <c r="AD17" s="25">
        <f>SUM($AC$17:$AC$17)</f>
        <v>-347.09397080535837</v>
      </c>
      <c r="AE17" s="25">
        <f ca="1">$AO$17*$AO$55</f>
        <v>0</v>
      </c>
      <c r="AF17" s="25">
        <f ca="1">$AP$17*$AP$55</f>
        <v>0</v>
      </c>
      <c r="AG17" s="25">
        <f ca="1">SUM($AE$17:$AF$17)</f>
        <v>0</v>
      </c>
      <c r="AH17" s="25">
        <f>'TUSD BE'!$AH$17*'TUSD BE'!$AH$58</f>
        <v>7.0359185763695784</v>
      </c>
      <c r="AI17" s="25">
        <f>'TUSD BE'!$AI$17*'TUSD BE'!$AI$58</f>
        <v>0</v>
      </c>
      <c r="AJ17" s="25">
        <f ca="1">'TUSD BE'!$AJ$17*'TUSD BE'!$AJ$58</f>
        <v>3.8379547958797655</v>
      </c>
      <c r="AK17" s="25">
        <f ca="1">'TUSD BE'!$AK$17*'TUSD BE'!$AK$58</f>
        <v>0</v>
      </c>
      <c r="AL17" s="25">
        <f ca="1">SUM($AH$17:$AK$17)</f>
        <v>10.873873372249344</v>
      </c>
      <c r="AM17" s="25">
        <f ca="1">SUMIF($L$4:$AL$4,"SUBTOTAL",$L$17:$AL$17)</f>
        <v>-195.26321251256772</v>
      </c>
      <c r="AO17" s="30">
        <f ca="1">+'TUSD BE'!$T$17+'TUSD BE'!$AB$17+'TUSD BE'!$AD$17+'TUSD BE'!$AL$17</f>
        <v>2555.5922539377125</v>
      </c>
      <c r="AP17" s="30">
        <f ca="1">+'TUSD BE'!$T$17+'TUSD BE'!$AB$17+'TUSD BE'!$AD$17+'TUSD BE'!$AL$17</f>
        <v>2555.5922539377125</v>
      </c>
    </row>
    <row r="18" spans="1:42" ht="11.25" customHeight="1" x14ac:dyDescent="0.3">
      <c r="A18" s="120"/>
      <c r="B18" s="120"/>
      <c r="C18" s="120"/>
      <c r="D18" s="120"/>
      <c r="E18" s="120"/>
      <c r="F18" s="120"/>
      <c r="G18" s="21" t="s">
        <v>85</v>
      </c>
      <c r="H18" s="21" t="s">
        <v>72</v>
      </c>
      <c r="I18" s="21">
        <f>'MERCADO TUSD'!$U$15</f>
        <v>0</v>
      </c>
      <c r="J18" s="17"/>
      <c r="L18" s="25">
        <f>'TUSD BE'!$L$18*'TUSD BE'!$L$58</f>
        <v>0</v>
      </c>
      <c r="M18" s="25">
        <f>'TUSD BE'!$M$18*'TUSD BE'!$M$58</f>
        <v>-2.6326667105823032E-2</v>
      </c>
      <c r="N18" s="25">
        <f ca="1">'TUSD BE'!$N$18*'TUSD BE'!$N$58</f>
        <v>0</v>
      </c>
      <c r="O18" s="25">
        <f>'TUSD BE'!$O$18*'TUSD BE'!$O$58</f>
        <v>0</v>
      </c>
      <c r="P18" s="25">
        <f>'TUSD BE'!$P$18*'TUSD BE'!$P$58</f>
        <v>0</v>
      </c>
      <c r="Q18" s="25">
        <f>'TUSD BE'!$Q$18*'TUSD BE'!$Q$58</f>
        <v>-0.15467022078565557</v>
      </c>
      <c r="R18" s="25">
        <f>'TUSD BE'!$R$18*'TUSD BE'!$R$58</f>
        <v>-6.8589520341706981E-3</v>
      </c>
      <c r="S18" s="25">
        <f>'TUSD BE'!$R$18*'TUSD BE'!$S$58</f>
        <v>0</v>
      </c>
      <c r="T18" s="25">
        <f ca="1">SUM($L$18:$S$18)</f>
        <v>-0.1878558399256493</v>
      </c>
      <c r="U18" s="25">
        <f>'TUSD BE'!$U$18*'TUSD BE'!$U$58</f>
        <v>0</v>
      </c>
      <c r="V18" s="25">
        <f>'TUSD BE'!$V$18*'TUSD BE'!$V$58</f>
        <v>0</v>
      </c>
      <c r="W18" s="25">
        <f>'TUSD BE'!$W$18*'TUSD BE'!$W$58</f>
        <v>0</v>
      </c>
      <c r="X18" s="25">
        <f>'TUSD BE'!$X$18*'TUSD BE'!$X$58</f>
        <v>0</v>
      </c>
      <c r="Y18" s="25">
        <f>'TUSD BE'!$Y$18*'TUSD BE'!$Y$58</f>
        <v>84.686844456280184</v>
      </c>
      <c r="Z18" s="25">
        <f>'TUSD BE'!$Z$18*'TUSD BE'!$Z$58</f>
        <v>0</v>
      </c>
      <c r="AA18" s="25">
        <f>'TUSD BE'!$AA$18*'TUSD BE'!$AA$58</f>
        <v>0</v>
      </c>
      <c r="AB18" s="25">
        <f>SUM($U$18:$AA$18)</f>
        <v>84.686844456280184</v>
      </c>
      <c r="AC18" s="25">
        <f>'TUSD BE'!$AC$18*'TUSD BE'!$AC$58</f>
        <v>-208.25642373604896</v>
      </c>
      <c r="AD18" s="25">
        <f>SUM($AC$18:$AC$18)</f>
        <v>-208.25642373604896</v>
      </c>
      <c r="AE18" s="25">
        <f ca="1">$AO$18*$AO$55</f>
        <v>0</v>
      </c>
      <c r="AF18" s="25">
        <f ca="1">$AP$18*$AP$55</f>
        <v>0</v>
      </c>
      <c r="AG18" s="25">
        <f ca="1">SUM($AE$18:$AF$18)</f>
        <v>0</v>
      </c>
      <c r="AH18" s="25">
        <f>'TUSD BE'!$AH$18*'TUSD BE'!$AH$58</f>
        <v>7.0359185763695784</v>
      </c>
      <c r="AI18" s="25">
        <f>'TUSD BE'!$AI$18*'TUSD BE'!$AI$58</f>
        <v>0</v>
      </c>
      <c r="AJ18" s="25">
        <f ca="1">'TUSD BE'!$AJ$18*'TUSD BE'!$AJ$58</f>
        <v>3.8379547958797655</v>
      </c>
      <c r="AK18" s="25">
        <f ca="1">'TUSD BE'!$AK$18*'TUSD BE'!$AK$58</f>
        <v>0</v>
      </c>
      <c r="AL18" s="25">
        <f ca="1">SUM($AH$18:$AK$18)</f>
        <v>10.873873372249344</v>
      </c>
      <c r="AM18" s="25">
        <f ca="1">SUMIF($L$4:$AL$4,"SUBTOTAL",$L$18:$AL$18)</f>
        <v>-112.88356174744507</v>
      </c>
      <c r="AO18" s="30">
        <f ca="1">+'TUSD BE'!$T$18+'TUSD BE'!$AB$18+'TUSD BE'!$AD$18+'TUSD BE'!$AL$18</f>
        <v>1597.6044973571552</v>
      </c>
      <c r="AP18" s="30">
        <f ca="1">+'TUSD BE'!$T$18+'TUSD BE'!$AB$18+'TUSD BE'!$AD$18+'TUSD BE'!$AL$18</f>
        <v>1597.6044973571552</v>
      </c>
    </row>
    <row r="19" spans="1:42" ht="11.25" customHeight="1" x14ac:dyDescent="0.3">
      <c r="A19" s="120"/>
      <c r="B19" s="120"/>
      <c r="C19" s="120"/>
      <c r="D19" s="120"/>
      <c r="E19" s="120"/>
      <c r="F19" s="120"/>
      <c r="G19" s="21" t="s">
        <v>74</v>
      </c>
      <c r="H19" s="21" t="s">
        <v>72</v>
      </c>
      <c r="I19" s="21">
        <f>'MERCADO TUSD'!$U$16</f>
        <v>0.71099999999999985</v>
      </c>
      <c r="J19" s="17"/>
      <c r="L19" s="25">
        <f>'TUSD BE'!$L$19*'TUSD BE'!$L$58</f>
        <v>0</v>
      </c>
      <c r="M19" s="25">
        <f>'TUSD BE'!$M$19*'TUSD BE'!$M$58</f>
        <v>-2.6326667105823032E-2</v>
      </c>
      <c r="N19" s="25">
        <f ca="1">'TUSD BE'!$N$19*'TUSD BE'!$N$58</f>
        <v>0</v>
      </c>
      <c r="O19" s="25">
        <f>'TUSD BE'!$O$19*'TUSD BE'!$O$58</f>
        <v>0</v>
      </c>
      <c r="P19" s="25">
        <f>'TUSD BE'!$P$19*'TUSD BE'!$P$58</f>
        <v>0</v>
      </c>
      <c r="Q19" s="25">
        <f>'TUSD BE'!$Q$19*'TUSD BE'!$Q$58</f>
        <v>-0.15467022078565557</v>
      </c>
      <c r="R19" s="25">
        <f>'TUSD BE'!$R$19*'TUSD BE'!$R$58</f>
        <v>-6.8589520341706981E-3</v>
      </c>
      <c r="S19" s="25">
        <f>'TUSD BE'!$R$19*'TUSD BE'!$S$58</f>
        <v>0</v>
      </c>
      <c r="T19" s="25">
        <f ca="1">SUM($L$19:$S$19)</f>
        <v>-0.1878558399256493</v>
      </c>
      <c r="U19" s="25">
        <f>'TUSD BE'!$U$19*'TUSD BE'!$U$58</f>
        <v>0</v>
      </c>
      <c r="V19" s="25">
        <f>'TUSD BE'!$V$19*'TUSD BE'!$V$58</f>
        <v>0</v>
      </c>
      <c r="W19" s="25">
        <f>'TUSD BE'!$W$19*'TUSD BE'!$W$58</f>
        <v>0</v>
      </c>
      <c r="X19" s="25">
        <f>'TUSD BE'!$X$19*'TUSD BE'!$X$58</f>
        <v>0</v>
      </c>
      <c r="Y19" s="25">
        <f>'TUSD BE'!$Y$19*'TUSD BE'!$Y$58</f>
        <v>28.229245020796949</v>
      </c>
      <c r="Z19" s="25">
        <f>'TUSD BE'!$Z$19*'TUSD BE'!$Z$58</f>
        <v>0</v>
      </c>
      <c r="AA19" s="25">
        <f>'TUSD BE'!$AA$19*'TUSD BE'!$AA$58</f>
        <v>0</v>
      </c>
      <c r="AB19" s="25">
        <f>SUM($U$19:$AA$19)</f>
        <v>28.229245020796949</v>
      </c>
      <c r="AC19" s="25">
        <f>'TUSD BE'!$AC$19*'TUSD BE'!$AC$58</f>
        <v>-69.418773534654704</v>
      </c>
      <c r="AD19" s="25">
        <f>SUM($AC$19:$AC$19)</f>
        <v>-69.418773534654704</v>
      </c>
      <c r="AE19" s="25">
        <f ca="1">$AO$19*$AO$55</f>
        <v>0</v>
      </c>
      <c r="AF19" s="25">
        <f ca="1">$AP$19*$AP$55</f>
        <v>0</v>
      </c>
      <c r="AG19" s="25">
        <f ca="1">SUM($AE$19:$AF$19)</f>
        <v>0</v>
      </c>
      <c r="AH19" s="25">
        <f>'TUSD BE'!$AH$19*'TUSD BE'!$AH$58</f>
        <v>7.0359185763695784</v>
      </c>
      <c r="AI19" s="25">
        <f>'TUSD BE'!$AI$19*'TUSD BE'!$AI$58</f>
        <v>0</v>
      </c>
      <c r="AJ19" s="25">
        <f ca="1">'TUSD BE'!$AJ$19*'TUSD BE'!$AJ$58</f>
        <v>3.8379547958797655</v>
      </c>
      <c r="AK19" s="25">
        <f ca="1">'TUSD BE'!$AK$19*'TUSD BE'!$AK$58</f>
        <v>0</v>
      </c>
      <c r="AL19" s="25">
        <f ca="1">SUM($AH$19:$AK$19)</f>
        <v>10.873873372249344</v>
      </c>
      <c r="AM19" s="25">
        <f ca="1">SUMIF($L$4:$AL$4,"SUBTOTAL",$L$19:$AL$19)</f>
        <v>-30.503510981534063</v>
      </c>
      <c r="AO19" s="30">
        <f ca="1">+'TUSD BE'!$T$19+'TUSD BE'!$AB$19+'TUSD BE'!$AD$19+'TUSD BE'!$AL$19</f>
        <v>639.61740188224928</v>
      </c>
      <c r="AP19" s="30">
        <f ca="1">+'TUSD BE'!$T$19+'TUSD BE'!$AB$19+'TUSD BE'!$AD$19+'TUSD BE'!$AL$19</f>
        <v>639.61740188224928</v>
      </c>
    </row>
    <row r="20" spans="1:42" ht="11.25" customHeight="1" x14ac:dyDescent="0.3">
      <c r="A20" s="120"/>
      <c r="B20" s="120" t="s">
        <v>23</v>
      </c>
      <c r="C20" s="120" t="s">
        <v>24</v>
      </c>
      <c r="D20" s="28" t="s">
        <v>24</v>
      </c>
      <c r="E20" s="28" t="s">
        <v>25</v>
      </c>
      <c r="F20" s="28" t="s">
        <v>25</v>
      </c>
      <c r="G20" s="21" t="s">
        <v>76</v>
      </c>
      <c r="H20" s="21" t="s">
        <v>72</v>
      </c>
      <c r="I20" s="21">
        <f>'MERCADO TUSD'!$U$17</f>
        <v>9876.3909999999996</v>
      </c>
      <c r="J20" s="17"/>
      <c r="L20" s="25">
        <f>'TUSD BE'!$L$20*'TUSD BE'!$L$58</f>
        <v>0</v>
      </c>
      <c r="M20" s="25">
        <f>'TUSD BE'!$M$20*'TUSD BE'!$M$58</f>
        <v>-2.6326667105823032E-2</v>
      </c>
      <c r="N20" s="25">
        <f ca="1">'TUSD BE'!$N$20*'TUSD BE'!$N$58</f>
        <v>0</v>
      </c>
      <c r="O20" s="25">
        <f>'TUSD BE'!$O$20*'TUSD BE'!$O$58</f>
        <v>0</v>
      </c>
      <c r="P20" s="25">
        <f>'TUSD BE'!$P$20*'TUSD BE'!$P$58</f>
        <v>0</v>
      </c>
      <c r="Q20" s="25">
        <f>'TUSD BE'!$Q$20*'TUSD BE'!$Q$58</f>
        <v>-0.15467022078565557</v>
      </c>
      <c r="R20" s="25">
        <f>'TUSD BE'!$R$20*'TUSD BE'!$R$58</f>
        <v>-6.8589520341706981E-3</v>
      </c>
      <c r="S20" s="25">
        <f>'TUSD BE'!$R$20*'TUSD BE'!$S$58</f>
        <v>0</v>
      </c>
      <c r="T20" s="25">
        <f ca="1">SUM($L$20:$S$20)</f>
        <v>-0.1878558399256493</v>
      </c>
      <c r="U20" s="25">
        <f>'TUSD BE'!$U$20*'TUSD BE'!$U$58</f>
        <v>0</v>
      </c>
      <c r="V20" s="25">
        <f>'TUSD BE'!$V$20*'TUSD BE'!$V$58</f>
        <v>0</v>
      </c>
      <c r="W20" s="25">
        <f>'TUSD BE'!$W$20*'TUSD BE'!$W$58</f>
        <v>0</v>
      </c>
      <c r="X20" s="25">
        <f>'TUSD BE'!$X$20*'TUSD BE'!$X$58</f>
        <v>0</v>
      </c>
      <c r="Y20" s="25">
        <f>'TUSD BE'!$Y$20*'TUSD BE'!$Y$58</f>
        <v>52.275906877244239</v>
      </c>
      <c r="Z20" s="25">
        <f>'TUSD BE'!$Z$20*'TUSD BE'!$Z$58</f>
        <v>0</v>
      </c>
      <c r="AA20" s="25">
        <f>'TUSD BE'!$AA$20*'TUSD BE'!$AA$58</f>
        <v>0</v>
      </c>
      <c r="AB20" s="25">
        <f>SUM($U$20:$AA$20)</f>
        <v>52.275906877244239</v>
      </c>
      <c r="AC20" s="25">
        <f>'TUSD BE'!$AC$20*'TUSD BE'!$AC$58</f>
        <v>-128.55337026683867</v>
      </c>
      <c r="AD20" s="25">
        <f>SUM($AC$20:$AC$20)</f>
        <v>-128.55337026683867</v>
      </c>
      <c r="AE20" s="25">
        <f ca="1">$AO$20*$AO$55</f>
        <v>0</v>
      </c>
      <c r="AF20" s="25">
        <f ca="1">$AP$20*$AP$55</f>
        <v>0</v>
      </c>
      <c r="AG20" s="25">
        <f ca="1">SUM($AE$20:$AF$20)</f>
        <v>0</v>
      </c>
      <c r="AH20" s="25">
        <f>'TUSD BE'!$AH$20*'TUSD BE'!$AH$58</f>
        <v>7.0359185763695784</v>
      </c>
      <c r="AI20" s="25">
        <f>'TUSD BE'!$AI$20*'TUSD BE'!$AI$58</f>
        <v>0</v>
      </c>
      <c r="AJ20" s="25">
        <f ca="1">'TUSD BE'!$AJ$20*'TUSD BE'!$AJ$58</f>
        <v>3.8379547958797655</v>
      </c>
      <c r="AK20" s="25">
        <f ca="1">'TUSD BE'!$AK$20*'TUSD BE'!$AK$58</f>
        <v>0</v>
      </c>
      <c r="AL20" s="25">
        <f ca="1">SUM($AH$20:$AK$20)</f>
        <v>10.873873372249344</v>
      </c>
      <c r="AM20" s="25">
        <f ca="1">SUMIF($L$4:$AL$4,"SUBTOTAL",$L$20:$AL$20)</f>
        <v>-65.591445857270728</v>
      </c>
      <c r="AO20" s="30">
        <f ca="1">+'TUSD BE'!$T$20+'TUSD BE'!$AB$20+'TUSD BE'!$AD$20+'TUSD BE'!$AL$20</f>
        <v>1047.6487845789259</v>
      </c>
      <c r="AP20" s="30">
        <f ca="1">+'TUSD BE'!$T$20+'TUSD BE'!$AB$20+'TUSD BE'!$AD$20+'TUSD BE'!$AL$20</f>
        <v>1047.6487845789259</v>
      </c>
    </row>
    <row r="21" spans="1:42" ht="11.25" customHeight="1" x14ac:dyDescent="0.3">
      <c r="A21" s="120"/>
      <c r="B21" s="120"/>
      <c r="C21" s="120"/>
      <c r="D21" s="28" t="s">
        <v>29</v>
      </c>
      <c r="E21" s="28" t="s">
        <v>25</v>
      </c>
      <c r="F21" s="28" t="s">
        <v>25</v>
      </c>
      <c r="G21" s="21" t="s">
        <v>76</v>
      </c>
      <c r="H21" s="21" t="s">
        <v>72</v>
      </c>
      <c r="I21" s="21">
        <f>'MERCADO TUSD'!$U$18</f>
        <v>38.58</v>
      </c>
      <c r="J21" s="17"/>
      <c r="L21" s="25">
        <f>'TUSD BE'!$L$21*'TUSD BE'!$L$58</f>
        <v>0</v>
      </c>
      <c r="M21" s="25">
        <f>'TUSD BE'!$M$21*'TUSD BE'!$M$58</f>
        <v>-2.6326667105823032E-2</v>
      </c>
      <c r="N21" s="25">
        <f ca="1">'TUSD BE'!$N$21*'TUSD BE'!$N$58</f>
        <v>0</v>
      </c>
      <c r="O21" s="25">
        <f>'TUSD BE'!$O$21*'TUSD BE'!$O$58</f>
        <v>0</v>
      </c>
      <c r="P21" s="25">
        <f>'TUSD BE'!$P$21*'TUSD BE'!$P$58</f>
        <v>0</v>
      </c>
      <c r="Q21" s="25">
        <f>'TUSD BE'!$Q$21*'TUSD BE'!$Q$58</f>
        <v>0</v>
      </c>
      <c r="R21" s="25">
        <f>'TUSD BE'!$R$21*'TUSD BE'!$R$58</f>
        <v>0</v>
      </c>
      <c r="S21" s="25">
        <f>'TUSD BE'!$R$21*'TUSD BE'!$S$58</f>
        <v>0</v>
      </c>
      <c r="T21" s="25">
        <f ca="1">SUM($L$21:$S$21)</f>
        <v>-2.6326667105823032E-2</v>
      </c>
      <c r="U21" s="25">
        <f>'TUSD BE'!$U$21*'TUSD BE'!$U$58</f>
        <v>0</v>
      </c>
      <c r="V21" s="25">
        <f>'TUSD BE'!$V$21*'TUSD BE'!$V$58</f>
        <v>0</v>
      </c>
      <c r="W21" s="25">
        <f>'TUSD BE'!$W$21*'TUSD BE'!$W$58</f>
        <v>0</v>
      </c>
      <c r="X21" s="25">
        <f>'TUSD BE'!$X$21*'TUSD BE'!$X$58</f>
        <v>0</v>
      </c>
      <c r="Y21" s="25">
        <f>'TUSD BE'!$Y$21*'TUSD BE'!$Y$58</f>
        <v>52.275906877244239</v>
      </c>
      <c r="Z21" s="25">
        <f>'TUSD BE'!$Z$21*'TUSD BE'!$Z$58</f>
        <v>0</v>
      </c>
      <c r="AA21" s="25">
        <f>'TUSD BE'!$AA$21*'TUSD BE'!$AA$58</f>
        <v>0</v>
      </c>
      <c r="AB21" s="25">
        <f>SUM($U$21:$AA$21)</f>
        <v>52.275906877244239</v>
      </c>
      <c r="AC21" s="25">
        <f>'TUSD BE'!$AC$21*'TUSD BE'!$AC$58</f>
        <v>-128.55337026683867</v>
      </c>
      <c r="AD21" s="25">
        <f>SUM($AC$21:$AC$21)</f>
        <v>-128.55337026683867</v>
      </c>
      <c r="AE21" s="25">
        <f ca="1">$AO$21*$AO$55</f>
        <v>0</v>
      </c>
      <c r="AF21" s="25">
        <f ca="1">$AP$21*$AP$55</f>
        <v>0</v>
      </c>
      <c r="AG21" s="25">
        <f ca="1">SUM($AE$21:$AF$21)</f>
        <v>0</v>
      </c>
      <c r="AH21" s="25">
        <f>'TUSD BE'!$AH$21*'TUSD BE'!$AH$58</f>
        <v>7.0359185763695784</v>
      </c>
      <c r="AI21" s="25">
        <f>'TUSD BE'!$AI$21*'TUSD BE'!$AI$58</f>
        <v>0</v>
      </c>
      <c r="AJ21" s="25">
        <f ca="1">'TUSD BE'!$AJ$21*'TUSD BE'!$AJ$58</f>
        <v>3.8379547958797655</v>
      </c>
      <c r="AK21" s="25">
        <f ca="1">'TUSD BE'!$AK$21*'TUSD BE'!$AK$58</f>
        <v>0</v>
      </c>
      <c r="AL21" s="25">
        <f ca="1">SUM($AH$21:$AK$21)</f>
        <v>10.873873372249344</v>
      </c>
      <c r="AM21" s="25">
        <f ca="1">SUMIF($L$4:$AL$4,"SUBTOTAL",$L$21:$AL$21)</f>
        <v>-65.429916684450902</v>
      </c>
      <c r="AO21" s="30">
        <f ca="1">+'TUSD BE'!$T$21+'TUSD BE'!$AB$21+'TUSD BE'!$AD$21+'TUSD BE'!$AL$21</f>
        <v>926.06915548230791</v>
      </c>
      <c r="AP21" s="30">
        <f ca="1">+'TUSD BE'!$T$21+'TUSD BE'!$AB$21+'TUSD BE'!$AD$21+'TUSD BE'!$AL$21</f>
        <v>926.06915548230791</v>
      </c>
    </row>
    <row r="22" spans="1:42" ht="11.25" customHeight="1" x14ac:dyDescent="0.3">
      <c r="A22" s="120"/>
      <c r="B22" s="120"/>
      <c r="C22" s="120"/>
      <c r="D22" s="28" t="s">
        <v>30</v>
      </c>
      <c r="E22" s="28" t="s">
        <v>25</v>
      </c>
      <c r="F22" s="28" t="s">
        <v>25</v>
      </c>
      <c r="G22" s="21" t="s">
        <v>76</v>
      </c>
      <c r="H22" s="21" t="s">
        <v>72</v>
      </c>
      <c r="I22" s="21">
        <f>'MERCADO TUSD'!$U$19</f>
        <v>77.120999999999995</v>
      </c>
      <c r="J22" s="17"/>
      <c r="L22" s="25">
        <f>'TUSD BE'!$L$22*'TUSD BE'!$L$58</f>
        <v>0</v>
      </c>
      <c r="M22" s="25">
        <f>'TUSD BE'!$M$22*'TUSD BE'!$M$58</f>
        <v>-2.6326667105823032E-2</v>
      </c>
      <c r="N22" s="25">
        <f ca="1">'TUSD BE'!$N$22*'TUSD BE'!$N$58</f>
        <v>0</v>
      </c>
      <c r="O22" s="25">
        <f>'TUSD BE'!$O$22*'TUSD BE'!$O$58</f>
        <v>0</v>
      </c>
      <c r="P22" s="25">
        <f>'TUSD BE'!$P$22*'TUSD BE'!$P$58</f>
        <v>0</v>
      </c>
      <c r="Q22" s="25">
        <f>'TUSD BE'!$Q$22*'TUSD BE'!$Q$58</f>
        <v>0</v>
      </c>
      <c r="R22" s="25">
        <f>'TUSD BE'!$R$22*'TUSD BE'!$R$58</f>
        <v>0</v>
      </c>
      <c r="S22" s="25">
        <f>'TUSD BE'!$R$22*'TUSD BE'!$S$58</f>
        <v>0</v>
      </c>
      <c r="T22" s="25">
        <f ca="1">SUM($L$22:$S$22)</f>
        <v>-2.6326667105823032E-2</v>
      </c>
      <c r="U22" s="25">
        <f>'TUSD BE'!$U$22*'TUSD BE'!$U$58</f>
        <v>0</v>
      </c>
      <c r="V22" s="25">
        <f>'TUSD BE'!$V$22*'TUSD BE'!$V$58</f>
        <v>0</v>
      </c>
      <c r="W22" s="25">
        <f>'TUSD BE'!$W$22*'TUSD BE'!$W$58</f>
        <v>0</v>
      </c>
      <c r="X22" s="25">
        <f>'TUSD BE'!$X$22*'TUSD BE'!$X$58</f>
        <v>0</v>
      </c>
      <c r="Y22" s="25">
        <f>'TUSD BE'!$Y$22*'TUSD BE'!$Y$58</f>
        <v>52.275906877244239</v>
      </c>
      <c r="Z22" s="25">
        <f>'TUSD BE'!$Z$22*'TUSD BE'!$Z$58</f>
        <v>0</v>
      </c>
      <c r="AA22" s="25">
        <f>'TUSD BE'!$AA$22*'TUSD BE'!$AA$58</f>
        <v>0</v>
      </c>
      <c r="AB22" s="25">
        <f>SUM($U$22:$AA$22)</f>
        <v>52.275906877244239</v>
      </c>
      <c r="AC22" s="25">
        <f>'TUSD BE'!$AC$22*'TUSD BE'!$AC$58</f>
        <v>-128.55337026683867</v>
      </c>
      <c r="AD22" s="25">
        <f>SUM($AC$22:$AC$22)</f>
        <v>-128.55337026683867</v>
      </c>
      <c r="AE22" s="25">
        <f ca="1">$AO$22*$AO$55</f>
        <v>0</v>
      </c>
      <c r="AF22" s="25">
        <f ca="1">$AP$22*$AP$55</f>
        <v>0</v>
      </c>
      <c r="AG22" s="25">
        <f ca="1">SUM($AE$22:$AF$22)</f>
        <v>0</v>
      </c>
      <c r="AH22" s="25">
        <f>'TUSD BE'!$AH$22*'TUSD BE'!$AH$58</f>
        <v>7.0359185763695784</v>
      </c>
      <c r="AI22" s="25">
        <f>'TUSD BE'!$AI$22*'TUSD BE'!$AI$58</f>
        <v>0</v>
      </c>
      <c r="AJ22" s="25">
        <f ca="1">'TUSD BE'!$AJ$22*'TUSD BE'!$AJ$58</f>
        <v>3.8379547958797655</v>
      </c>
      <c r="AK22" s="25">
        <f ca="1">'TUSD BE'!$AK$22*'TUSD BE'!$AK$58</f>
        <v>0</v>
      </c>
      <c r="AL22" s="25">
        <f ca="1">SUM($AH$22:$AK$22)</f>
        <v>10.873873372249344</v>
      </c>
      <c r="AM22" s="25">
        <f ca="1">SUMIF($L$4:$AL$4,"SUBTOTAL",$L$22:$AL$22)</f>
        <v>-65.429916684450902</v>
      </c>
      <c r="AO22" s="30">
        <f ca="1">+'TUSD BE'!$T$22+'TUSD BE'!$AB$22+'TUSD BE'!$AD$22+'TUSD BE'!$AL$22</f>
        <v>926.06915548230791</v>
      </c>
      <c r="AP22" s="30">
        <f ca="1">+'TUSD BE'!$T$22+'TUSD BE'!$AB$22+'TUSD BE'!$AD$22+'TUSD BE'!$AL$22</f>
        <v>926.06915548230791</v>
      </c>
    </row>
    <row r="23" spans="1:42" ht="11.25" customHeight="1" x14ac:dyDescent="0.3">
      <c r="A23" s="120"/>
      <c r="B23" s="120"/>
      <c r="C23" s="120"/>
      <c r="D23" s="28" t="s">
        <v>31</v>
      </c>
      <c r="E23" s="28" t="s">
        <v>25</v>
      </c>
      <c r="F23" s="28" t="s">
        <v>25</v>
      </c>
      <c r="G23" s="21" t="s">
        <v>76</v>
      </c>
      <c r="H23" s="21" t="s">
        <v>72</v>
      </c>
      <c r="I23" s="21">
        <f>'MERCADO TUSD'!$U$20</f>
        <v>54.47</v>
      </c>
      <c r="J23" s="17"/>
      <c r="L23" s="25">
        <f>'TUSD BE'!$L$23*'TUSD BE'!$L$58</f>
        <v>0</v>
      </c>
      <c r="M23" s="25">
        <f>'TUSD BE'!$M$23*'TUSD BE'!$M$58</f>
        <v>-2.6326667105823032E-2</v>
      </c>
      <c r="N23" s="25">
        <f ca="1">'TUSD BE'!$N$23*'TUSD BE'!$N$58</f>
        <v>0</v>
      </c>
      <c r="O23" s="25">
        <f>'TUSD BE'!$O$23*'TUSD BE'!$O$58</f>
        <v>0</v>
      </c>
      <c r="P23" s="25">
        <f>'TUSD BE'!$P$23*'TUSD BE'!$P$58</f>
        <v>0</v>
      </c>
      <c r="Q23" s="25">
        <f>'TUSD BE'!$Q$23*'TUSD BE'!$Q$58</f>
        <v>0</v>
      </c>
      <c r="R23" s="25">
        <f>'TUSD BE'!$R$23*'TUSD BE'!$R$58</f>
        <v>0</v>
      </c>
      <c r="S23" s="25">
        <f>'TUSD BE'!$R$23*'TUSD BE'!$S$58</f>
        <v>0</v>
      </c>
      <c r="T23" s="25">
        <f ca="1">SUM($L$23:$S$23)</f>
        <v>-2.6326667105823032E-2</v>
      </c>
      <c r="U23" s="25">
        <f>'TUSD BE'!$U$23*'TUSD BE'!$U$58</f>
        <v>0</v>
      </c>
      <c r="V23" s="25">
        <f>'TUSD BE'!$V$23*'TUSD BE'!$V$58</f>
        <v>0</v>
      </c>
      <c r="W23" s="25">
        <f>'TUSD BE'!$W$23*'TUSD BE'!$W$58</f>
        <v>0</v>
      </c>
      <c r="X23" s="25">
        <f>'TUSD BE'!$X$23*'TUSD BE'!$X$58</f>
        <v>0</v>
      </c>
      <c r="Y23" s="25">
        <f>'TUSD BE'!$Y$23*'TUSD BE'!$Y$58</f>
        <v>52.275906877244239</v>
      </c>
      <c r="Z23" s="25">
        <f>'TUSD BE'!$Z$23*'TUSD BE'!$Z$58</f>
        <v>0</v>
      </c>
      <c r="AA23" s="25">
        <f>'TUSD BE'!$AA$23*'TUSD BE'!$AA$58</f>
        <v>0</v>
      </c>
      <c r="AB23" s="25">
        <f>SUM($U$23:$AA$23)</f>
        <v>52.275906877244239</v>
      </c>
      <c r="AC23" s="25">
        <f>'TUSD BE'!$AC$23*'TUSD BE'!$AC$58</f>
        <v>-128.55337026683867</v>
      </c>
      <c r="AD23" s="25">
        <f>SUM($AC$23:$AC$23)</f>
        <v>-128.55337026683867</v>
      </c>
      <c r="AE23" s="25">
        <f ca="1">$AO$23*$AO$55</f>
        <v>0</v>
      </c>
      <c r="AF23" s="25">
        <f ca="1">$AP$23*$AP$55</f>
        <v>0</v>
      </c>
      <c r="AG23" s="25">
        <f ca="1">SUM($AE$23:$AF$23)</f>
        <v>0</v>
      </c>
      <c r="AH23" s="25">
        <f>'TUSD BE'!$AH$23*'TUSD BE'!$AH$58</f>
        <v>7.0359185763695784</v>
      </c>
      <c r="AI23" s="25">
        <f>'TUSD BE'!$AI$23*'TUSD BE'!$AI$58</f>
        <v>0</v>
      </c>
      <c r="AJ23" s="25">
        <f ca="1">'TUSD BE'!$AJ$23*'TUSD BE'!$AJ$58</f>
        <v>3.8379547958797655</v>
      </c>
      <c r="AK23" s="25">
        <f ca="1">'TUSD BE'!$AK$23*'TUSD BE'!$AK$58</f>
        <v>0</v>
      </c>
      <c r="AL23" s="25">
        <f ca="1">SUM($AH$23:$AK$23)</f>
        <v>10.873873372249344</v>
      </c>
      <c r="AM23" s="25">
        <f ca="1">SUMIF($L$4:$AL$4,"SUBTOTAL",$L$23:$AL$23)</f>
        <v>-65.429916684450902</v>
      </c>
      <c r="AO23" s="30">
        <f ca="1">+'TUSD BE'!$T$23+'TUSD BE'!$AB$23+'TUSD BE'!$AD$23+'TUSD BE'!$AL$23</f>
        <v>926.06915548230791</v>
      </c>
      <c r="AP23" s="30">
        <f ca="1">+'TUSD BE'!$T$23+'TUSD BE'!$AB$23+'TUSD BE'!$AD$23+'TUSD BE'!$AL$23</f>
        <v>926.06915548230791</v>
      </c>
    </row>
    <row r="24" spans="1:42" ht="11.25" customHeight="1" x14ac:dyDescent="0.3">
      <c r="A24" s="120"/>
      <c r="B24" s="120"/>
      <c r="C24" s="120"/>
      <c r="D24" s="28" t="s">
        <v>32</v>
      </c>
      <c r="E24" s="28" t="s">
        <v>25</v>
      </c>
      <c r="F24" s="28" t="s">
        <v>25</v>
      </c>
      <c r="G24" s="21" t="s">
        <v>76</v>
      </c>
      <c r="H24" s="21" t="s">
        <v>72</v>
      </c>
      <c r="I24" s="21">
        <f>'MERCADO TUSD'!$U$21</f>
        <v>9.1170000000000009</v>
      </c>
      <c r="J24" s="17"/>
      <c r="L24" s="25">
        <f>'TUSD BE'!$L$24*'TUSD BE'!$L$58</f>
        <v>0</v>
      </c>
      <c r="M24" s="25">
        <f>'TUSD BE'!$M$24*'TUSD BE'!$M$58</f>
        <v>-2.6326667105823032E-2</v>
      </c>
      <c r="N24" s="25">
        <f ca="1">'TUSD BE'!$N$24*'TUSD BE'!$N$58</f>
        <v>0</v>
      </c>
      <c r="O24" s="25">
        <f>'TUSD BE'!$O$24*'TUSD BE'!$O$58</f>
        <v>0</v>
      </c>
      <c r="P24" s="25">
        <f>'TUSD BE'!$P$24*'TUSD BE'!$P$58</f>
        <v>0</v>
      </c>
      <c r="Q24" s="25">
        <f>'TUSD BE'!$Q$24*'TUSD BE'!$Q$58</f>
        <v>0</v>
      </c>
      <c r="R24" s="25">
        <f>'TUSD BE'!$R$24*'TUSD BE'!$R$58</f>
        <v>0</v>
      </c>
      <c r="S24" s="25">
        <f>'TUSD BE'!$R$24*'TUSD BE'!$S$58</f>
        <v>0</v>
      </c>
      <c r="T24" s="25">
        <f ca="1">SUM($L$24:$S$24)</f>
        <v>-2.6326667105823032E-2</v>
      </c>
      <c r="U24" s="25">
        <f>'TUSD BE'!$U$24*'TUSD BE'!$U$58</f>
        <v>0</v>
      </c>
      <c r="V24" s="25">
        <f>'TUSD BE'!$V$24*'TUSD BE'!$V$58</f>
        <v>0</v>
      </c>
      <c r="W24" s="25">
        <f>'TUSD BE'!$W$24*'TUSD BE'!$W$58</f>
        <v>0</v>
      </c>
      <c r="X24" s="25">
        <f>'TUSD BE'!$X$24*'TUSD BE'!$X$58</f>
        <v>0</v>
      </c>
      <c r="Y24" s="25">
        <f>'TUSD BE'!$Y$24*'TUSD BE'!$Y$58</f>
        <v>52.275906877244239</v>
      </c>
      <c r="Z24" s="25">
        <f>'TUSD BE'!$Z$24*'TUSD BE'!$Z$58</f>
        <v>0</v>
      </c>
      <c r="AA24" s="25">
        <f>'TUSD BE'!$AA$24*'TUSD BE'!$AA$58</f>
        <v>0</v>
      </c>
      <c r="AB24" s="25">
        <f>SUM($U$24:$AA$24)</f>
        <v>52.275906877244239</v>
      </c>
      <c r="AC24" s="25">
        <f>'TUSD BE'!$AC$24*'TUSD BE'!$AC$58</f>
        <v>-128.55337026683867</v>
      </c>
      <c r="AD24" s="25">
        <f>SUM($AC$24:$AC$24)</f>
        <v>-128.55337026683867</v>
      </c>
      <c r="AE24" s="25">
        <f ca="1">$AO$24*$AO$55</f>
        <v>0</v>
      </c>
      <c r="AF24" s="25">
        <f ca="1">$AP$24*$AP$55</f>
        <v>0</v>
      </c>
      <c r="AG24" s="25">
        <f ca="1">SUM($AE$24:$AF$24)</f>
        <v>0</v>
      </c>
      <c r="AH24" s="25">
        <f>'TUSD BE'!$AH$24*'TUSD BE'!$AH$58</f>
        <v>7.0359185763695784</v>
      </c>
      <c r="AI24" s="25">
        <f>'TUSD BE'!$AI$24*'TUSD BE'!$AI$58</f>
        <v>0</v>
      </c>
      <c r="AJ24" s="25">
        <f ca="1">'TUSD BE'!$AJ$24*'TUSD BE'!$AJ$58</f>
        <v>3.8379547958797655</v>
      </c>
      <c r="AK24" s="25">
        <f ca="1">'TUSD BE'!$AK$24*'TUSD BE'!$AK$58</f>
        <v>0</v>
      </c>
      <c r="AL24" s="25">
        <f ca="1">SUM($AH$24:$AK$24)</f>
        <v>10.873873372249344</v>
      </c>
      <c r="AM24" s="25">
        <f ca="1">SUMIF($L$4:$AL$4,"SUBTOTAL",$L$24:$AL$24)</f>
        <v>-65.429916684450902</v>
      </c>
      <c r="AO24" s="30">
        <f ca="1">+'TUSD BE'!$T$24+'TUSD BE'!$AB$24+'TUSD BE'!$AD$24+'TUSD BE'!$AL$24</f>
        <v>926.06915548230791</v>
      </c>
      <c r="AP24" s="30">
        <f ca="1">+'TUSD BE'!$T$24+'TUSD BE'!$AB$24+'TUSD BE'!$AD$24+'TUSD BE'!$AL$24</f>
        <v>926.06915548230791</v>
      </c>
    </row>
    <row r="25" spans="1:42" ht="11.25" customHeight="1" x14ac:dyDescent="0.3">
      <c r="A25" s="120"/>
      <c r="B25" s="120" t="s">
        <v>87</v>
      </c>
      <c r="C25" s="120" t="s">
        <v>24</v>
      </c>
      <c r="D25" s="28" t="s">
        <v>24</v>
      </c>
      <c r="E25" s="28" t="s">
        <v>25</v>
      </c>
      <c r="F25" s="28" t="s">
        <v>25</v>
      </c>
      <c r="G25" s="21" t="s">
        <v>76</v>
      </c>
      <c r="H25" s="21" t="s">
        <v>72</v>
      </c>
      <c r="I25" s="21">
        <f>'MERCADO TUSD'!$U$22</f>
        <v>0</v>
      </c>
      <c r="J25" s="17"/>
      <c r="L25" s="25">
        <f>'TUSD BE'!$L$25*'TUSD BE'!$L$58</f>
        <v>0</v>
      </c>
      <c r="M25" s="25">
        <f>'TUSD BE'!$M$25*'TUSD BE'!$M$58</f>
        <v>-2.6326667105823032E-2</v>
      </c>
      <c r="N25" s="25">
        <f ca="1">'TUSD BE'!$N$25*'TUSD BE'!$N$58</f>
        <v>0</v>
      </c>
      <c r="O25" s="25">
        <f>'TUSD BE'!$O$25*'TUSD BE'!$O$58</f>
        <v>0</v>
      </c>
      <c r="P25" s="25">
        <f>'TUSD BE'!$P$25*'TUSD BE'!$P$58</f>
        <v>0</v>
      </c>
      <c r="Q25" s="25">
        <f>'TUSD BE'!$Q$25*'TUSD BE'!$Q$58</f>
        <v>-0.15467022078565557</v>
      </c>
      <c r="R25" s="25">
        <f>'TUSD BE'!$R$25*'TUSD BE'!$R$58</f>
        <v>-6.8589520341706981E-3</v>
      </c>
      <c r="S25" s="25">
        <f>'TUSD BE'!$R$25*'TUSD BE'!$S$58</f>
        <v>0</v>
      </c>
      <c r="T25" s="25">
        <f ca="1">SUM($L$25:$S$25)</f>
        <v>-0.1878558399256493</v>
      </c>
      <c r="U25" s="25">
        <f>'TUSD BE'!$U$25*'TUSD BE'!$U$58</f>
        <v>0</v>
      </c>
      <c r="V25" s="25">
        <f>'TUSD BE'!$V$25*'TUSD BE'!$V$58</f>
        <v>0</v>
      </c>
      <c r="W25" s="25">
        <f>'TUSD BE'!$W$25*'TUSD BE'!$W$58</f>
        <v>0</v>
      </c>
      <c r="X25" s="25">
        <f>'TUSD BE'!$X$25*'TUSD BE'!$X$58</f>
        <v>0</v>
      </c>
      <c r="Y25" s="25">
        <f>'TUSD BE'!$Y$25*'TUSD BE'!$Y$58</f>
        <v>52.275906877244239</v>
      </c>
      <c r="Z25" s="25">
        <f>'TUSD BE'!$Z$25*'TUSD BE'!$Z$58</f>
        <v>0</v>
      </c>
      <c r="AA25" s="25">
        <f>'TUSD BE'!$AA$25*'TUSD BE'!$AA$58</f>
        <v>0</v>
      </c>
      <c r="AB25" s="25">
        <f>SUM($U$25:$AA$25)</f>
        <v>52.275906877244239</v>
      </c>
      <c r="AC25" s="25">
        <f>'TUSD BE'!$AC$25*'TUSD BE'!$AC$58</f>
        <v>-128.55337026683867</v>
      </c>
      <c r="AD25" s="25">
        <f>SUM($AC$25:$AC$25)</f>
        <v>-128.55337026683867</v>
      </c>
      <c r="AE25" s="25">
        <f ca="1">$AO$25*$AO$55</f>
        <v>0</v>
      </c>
      <c r="AF25" s="25">
        <f ca="1">$AP$25*$AP$55</f>
        <v>0</v>
      </c>
      <c r="AG25" s="25">
        <f ca="1">SUM($AE$25:$AF$25)</f>
        <v>0</v>
      </c>
      <c r="AH25" s="25">
        <f>'TUSD BE'!$AH$25*'TUSD BE'!$AH$58</f>
        <v>7.0359185763695784</v>
      </c>
      <c r="AI25" s="25">
        <f>'TUSD BE'!$AI$25*'TUSD BE'!$AI$58</f>
        <v>0</v>
      </c>
      <c r="AJ25" s="25">
        <f ca="1">'TUSD BE'!$AJ$25*'TUSD BE'!$AJ$58</f>
        <v>3.8379547958797655</v>
      </c>
      <c r="AK25" s="25">
        <f ca="1">'TUSD BE'!$AK$25*'TUSD BE'!$AK$58</f>
        <v>0</v>
      </c>
      <c r="AL25" s="25">
        <f ca="1">SUM($AH$25:$AK$25)</f>
        <v>10.873873372249344</v>
      </c>
      <c r="AM25" s="25">
        <f ca="1">SUMIF($L$4:$AL$4,"SUBTOTAL",$L$25:$AL$25)</f>
        <v>-65.591445857270728</v>
      </c>
      <c r="AO25" s="30">
        <f ca="1">+'TUSD BE'!$T$25+'TUSD BE'!$AB$25+'TUSD BE'!$AD$25+'TUSD BE'!$AL$25</f>
        <v>1047.6487845789259</v>
      </c>
      <c r="AP25" s="30">
        <f ca="1">+'TUSD BE'!$T$25+'TUSD BE'!$AB$25+'TUSD BE'!$AD$25+'TUSD BE'!$AL$25</f>
        <v>1047.6487845789259</v>
      </c>
    </row>
    <row r="26" spans="1:42" ht="11.25" customHeight="1" x14ac:dyDescent="0.3">
      <c r="A26" s="120"/>
      <c r="B26" s="120"/>
      <c r="C26" s="120"/>
      <c r="D26" s="28" t="s">
        <v>29</v>
      </c>
      <c r="E26" s="28" t="s">
        <v>25</v>
      </c>
      <c r="F26" s="28" t="s">
        <v>25</v>
      </c>
      <c r="G26" s="21" t="s">
        <v>76</v>
      </c>
      <c r="H26" s="21" t="s">
        <v>72</v>
      </c>
      <c r="I26" s="21">
        <f>'MERCADO TUSD'!$U$23</f>
        <v>0</v>
      </c>
      <c r="J26" s="17"/>
      <c r="L26" s="25">
        <f>'TUSD BE'!$L$26*'TUSD BE'!$L$58</f>
        <v>0</v>
      </c>
      <c r="M26" s="25">
        <f>'TUSD BE'!$M$26*'TUSD BE'!$M$58</f>
        <v>-2.6326667105823032E-2</v>
      </c>
      <c r="N26" s="25">
        <f ca="1">'TUSD BE'!$N$26*'TUSD BE'!$N$58</f>
        <v>0</v>
      </c>
      <c r="O26" s="25">
        <f>'TUSD BE'!$O$26*'TUSD BE'!$O$58</f>
        <v>0</v>
      </c>
      <c r="P26" s="25">
        <f>'TUSD BE'!$P$26*'TUSD BE'!$P$58</f>
        <v>0</v>
      </c>
      <c r="Q26" s="25">
        <f>'TUSD BE'!$Q$26*'TUSD BE'!$Q$58</f>
        <v>0</v>
      </c>
      <c r="R26" s="25">
        <f>'TUSD BE'!$R$26*'TUSD BE'!$R$58</f>
        <v>0</v>
      </c>
      <c r="S26" s="25">
        <f>'TUSD BE'!$R$26*'TUSD BE'!$S$58</f>
        <v>0</v>
      </c>
      <c r="T26" s="25">
        <f ca="1">SUM($L$26:$S$26)</f>
        <v>-2.6326667105823032E-2</v>
      </c>
      <c r="U26" s="25">
        <f>'TUSD BE'!$U$26*'TUSD BE'!$U$58</f>
        <v>0</v>
      </c>
      <c r="V26" s="25">
        <f>'TUSD BE'!$V$26*'TUSD BE'!$V$58</f>
        <v>0</v>
      </c>
      <c r="W26" s="25">
        <f>'TUSD BE'!$W$26*'TUSD BE'!$W$58</f>
        <v>0</v>
      </c>
      <c r="X26" s="25">
        <f>'TUSD BE'!$X$26*'TUSD BE'!$X$58</f>
        <v>0</v>
      </c>
      <c r="Y26" s="25">
        <f>'TUSD BE'!$Y$26*'TUSD BE'!$Y$58</f>
        <v>52.275906877244239</v>
      </c>
      <c r="Z26" s="25">
        <f>'TUSD BE'!$Z$26*'TUSD BE'!$Z$58</f>
        <v>0</v>
      </c>
      <c r="AA26" s="25">
        <f>'TUSD BE'!$AA$26*'TUSD BE'!$AA$58</f>
        <v>0</v>
      </c>
      <c r="AB26" s="25">
        <f>SUM($U$26:$AA$26)</f>
        <v>52.275906877244239</v>
      </c>
      <c r="AC26" s="25">
        <f>'TUSD BE'!$AC$26*'TUSD BE'!$AC$58</f>
        <v>-128.55337026683867</v>
      </c>
      <c r="AD26" s="25">
        <f>SUM($AC$26:$AC$26)</f>
        <v>-128.55337026683867</v>
      </c>
      <c r="AE26" s="25">
        <f ca="1">$AO$26*$AO$55</f>
        <v>0</v>
      </c>
      <c r="AF26" s="25">
        <f ca="1">$AP$26*$AP$55</f>
        <v>0</v>
      </c>
      <c r="AG26" s="25">
        <f ca="1">SUM($AE$26:$AF$26)</f>
        <v>0</v>
      </c>
      <c r="AH26" s="25">
        <f>'TUSD BE'!$AH$26*'TUSD BE'!$AH$58</f>
        <v>7.0359185763695784</v>
      </c>
      <c r="AI26" s="25">
        <f>'TUSD BE'!$AI$26*'TUSD BE'!$AI$58</f>
        <v>0</v>
      </c>
      <c r="AJ26" s="25">
        <f ca="1">'TUSD BE'!$AJ$26*'TUSD BE'!$AJ$58</f>
        <v>3.8379547958797655</v>
      </c>
      <c r="AK26" s="25">
        <f ca="1">'TUSD BE'!$AK$26*'TUSD BE'!$AK$58</f>
        <v>0</v>
      </c>
      <c r="AL26" s="25">
        <f ca="1">SUM($AH$26:$AK$26)</f>
        <v>10.873873372249344</v>
      </c>
      <c r="AM26" s="25">
        <f ca="1">SUMIF($L$4:$AL$4,"SUBTOTAL",$L$26:$AL$26)</f>
        <v>-65.429916684450902</v>
      </c>
      <c r="AO26" s="30">
        <f ca="1">+'TUSD BE'!$T$26+'TUSD BE'!$AB$26+'TUSD BE'!$AD$26+'TUSD BE'!$AL$26</f>
        <v>926.06915548230791</v>
      </c>
      <c r="AP26" s="30">
        <f ca="1">+'TUSD BE'!$T$26+'TUSD BE'!$AB$26+'TUSD BE'!$AD$26+'TUSD BE'!$AL$26</f>
        <v>926.06915548230791</v>
      </c>
    </row>
    <row r="27" spans="1:42" ht="11.25" customHeight="1" x14ac:dyDescent="0.3">
      <c r="A27" s="120"/>
      <c r="B27" s="120"/>
      <c r="C27" s="120"/>
      <c r="D27" s="28" t="s">
        <v>30</v>
      </c>
      <c r="E27" s="28" t="s">
        <v>25</v>
      </c>
      <c r="F27" s="28" t="s">
        <v>25</v>
      </c>
      <c r="G27" s="21" t="s">
        <v>76</v>
      </c>
      <c r="H27" s="21" t="s">
        <v>72</v>
      </c>
      <c r="I27" s="21">
        <f>'MERCADO TUSD'!$U$24</f>
        <v>0</v>
      </c>
      <c r="J27" s="17"/>
      <c r="L27" s="25">
        <f>'TUSD BE'!$L$27*'TUSD BE'!$L$58</f>
        <v>0</v>
      </c>
      <c r="M27" s="25">
        <f>'TUSD BE'!$M$27*'TUSD BE'!$M$58</f>
        <v>-2.6326667105823032E-2</v>
      </c>
      <c r="N27" s="25">
        <f ca="1">'TUSD BE'!$N$27*'TUSD BE'!$N$58</f>
        <v>0</v>
      </c>
      <c r="O27" s="25">
        <f>'TUSD BE'!$O$27*'TUSD BE'!$O$58</f>
        <v>0</v>
      </c>
      <c r="P27" s="25">
        <f>'TUSD BE'!$P$27*'TUSD BE'!$P$58</f>
        <v>0</v>
      </c>
      <c r="Q27" s="25">
        <f>'TUSD BE'!$Q$27*'TUSD BE'!$Q$58</f>
        <v>0</v>
      </c>
      <c r="R27" s="25">
        <f>'TUSD BE'!$R$27*'TUSD BE'!$R$58</f>
        <v>0</v>
      </c>
      <c r="S27" s="25">
        <f>'TUSD BE'!$R$27*'TUSD BE'!$S$58</f>
        <v>0</v>
      </c>
      <c r="T27" s="25">
        <f ca="1">SUM($L$27:$S$27)</f>
        <v>-2.6326667105823032E-2</v>
      </c>
      <c r="U27" s="25">
        <f>'TUSD BE'!$U$27*'TUSD BE'!$U$58</f>
        <v>0</v>
      </c>
      <c r="V27" s="25">
        <f>'TUSD BE'!$V$27*'TUSD BE'!$V$58</f>
        <v>0</v>
      </c>
      <c r="W27" s="25">
        <f>'TUSD BE'!$W$27*'TUSD BE'!$W$58</f>
        <v>0</v>
      </c>
      <c r="X27" s="25">
        <f>'TUSD BE'!$X$27*'TUSD BE'!$X$58</f>
        <v>0</v>
      </c>
      <c r="Y27" s="25">
        <f>'TUSD BE'!$Y$27*'TUSD BE'!$Y$58</f>
        <v>52.275906877244239</v>
      </c>
      <c r="Z27" s="25">
        <f>'TUSD BE'!$Z$27*'TUSD BE'!$Z$58</f>
        <v>0</v>
      </c>
      <c r="AA27" s="25">
        <f>'TUSD BE'!$AA$27*'TUSD BE'!$AA$58</f>
        <v>0</v>
      </c>
      <c r="AB27" s="25">
        <f>SUM($U$27:$AA$27)</f>
        <v>52.275906877244239</v>
      </c>
      <c r="AC27" s="25">
        <f>'TUSD BE'!$AC$27*'TUSD BE'!$AC$58</f>
        <v>-128.55337026683867</v>
      </c>
      <c r="AD27" s="25">
        <f>SUM($AC$27:$AC$27)</f>
        <v>-128.55337026683867</v>
      </c>
      <c r="AE27" s="25">
        <f ca="1">$AO$27*$AO$55</f>
        <v>0</v>
      </c>
      <c r="AF27" s="25">
        <f ca="1">$AP$27*$AP$55</f>
        <v>0</v>
      </c>
      <c r="AG27" s="25">
        <f ca="1">SUM($AE$27:$AF$27)</f>
        <v>0</v>
      </c>
      <c r="AH27" s="25">
        <f>'TUSD BE'!$AH$27*'TUSD BE'!$AH$58</f>
        <v>7.0359185763695784</v>
      </c>
      <c r="AI27" s="25">
        <f>'TUSD BE'!$AI$27*'TUSD BE'!$AI$58</f>
        <v>0</v>
      </c>
      <c r="AJ27" s="25">
        <f ca="1">'TUSD BE'!$AJ$27*'TUSD BE'!$AJ$58</f>
        <v>3.8379547958797655</v>
      </c>
      <c r="AK27" s="25">
        <f ca="1">'TUSD BE'!$AK$27*'TUSD BE'!$AK$58</f>
        <v>0</v>
      </c>
      <c r="AL27" s="25">
        <f ca="1">SUM($AH$27:$AK$27)</f>
        <v>10.873873372249344</v>
      </c>
      <c r="AM27" s="25">
        <f ca="1">SUMIF($L$4:$AL$4,"SUBTOTAL",$L$27:$AL$27)</f>
        <v>-65.429916684450902</v>
      </c>
      <c r="AO27" s="30">
        <f ca="1">+'TUSD BE'!$T$27+'TUSD BE'!$AB$27+'TUSD BE'!$AD$27+'TUSD BE'!$AL$27</f>
        <v>926.06915548230791</v>
      </c>
      <c r="AP27" s="30">
        <f ca="1">+'TUSD BE'!$T$27+'TUSD BE'!$AB$27+'TUSD BE'!$AD$27+'TUSD BE'!$AL$27</f>
        <v>926.06915548230791</v>
      </c>
    </row>
    <row r="28" spans="1:42" ht="11.25" customHeight="1" x14ac:dyDescent="0.3">
      <c r="A28" s="120"/>
      <c r="B28" s="120"/>
      <c r="C28" s="120"/>
      <c r="D28" s="28" t="s">
        <v>31</v>
      </c>
      <c r="E28" s="28" t="s">
        <v>25</v>
      </c>
      <c r="F28" s="28" t="s">
        <v>25</v>
      </c>
      <c r="G28" s="21" t="s">
        <v>76</v>
      </c>
      <c r="H28" s="21" t="s">
        <v>72</v>
      </c>
      <c r="I28" s="21">
        <f>'MERCADO TUSD'!$U$25</f>
        <v>0</v>
      </c>
      <c r="J28" s="17"/>
      <c r="L28" s="25">
        <f>'TUSD BE'!$L$28*'TUSD BE'!$L$58</f>
        <v>0</v>
      </c>
      <c r="M28" s="25">
        <f>'TUSD BE'!$M$28*'TUSD BE'!$M$58</f>
        <v>-2.6326667105823032E-2</v>
      </c>
      <c r="N28" s="25">
        <f ca="1">'TUSD BE'!$N$28*'TUSD BE'!$N$58</f>
        <v>0</v>
      </c>
      <c r="O28" s="25">
        <f>'TUSD BE'!$O$28*'TUSD BE'!$O$58</f>
        <v>0</v>
      </c>
      <c r="P28" s="25">
        <f>'TUSD BE'!$P$28*'TUSD BE'!$P$58</f>
        <v>0</v>
      </c>
      <c r="Q28" s="25">
        <f>'TUSD BE'!$Q$28*'TUSD BE'!$Q$58</f>
        <v>0</v>
      </c>
      <c r="R28" s="25">
        <f>'TUSD BE'!$R$28*'TUSD BE'!$R$58</f>
        <v>0</v>
      </c>
      <c r="S28" s="25">
        <f>'TUSD BE'!$R$28*'TUSD BE'!$S$58</f>
        <v>0</v>
      </c>
      <c r="T28" s="25">
        <f ca="1">SUM($L$28:$S$28)</f>
        <v>-2.6326667105823032E-2</v>
      </c>
      <c r="U28" s="25">
        <f>'TUSD BE'!$U$28*'TUSD BE'!$U$58</f>
        <v>0</v>
      </c>
      <c r="V28" s="25">
        <f>'TUSD BE'!$V$28*'TUSD BE'!$V$58</f>
        <v>0</v>
      </c>
      <c r="W28" s="25">
        <f>'TUSD BE'!$W$28*'TUSD BE'!$W$58</f>
        <v>0</v>
      </c>
      <c r="X28" s="25">
        <f>'TUSD BE'!$X$28*'TUSD BE'!$X$58</f>
        <v>0</v>
      </c>
      <c r="Y28" s="25">
        <f>'TUSD BE'!$Y$28*'TUSD BE'!$Y$58</f>
        <v>52.275906877244239</v>
      </c>
      <c r="Z28" s="25">
        <f>'TUSD BE'!$Z$28*'TUSD BE'!$Z$58</f>
        <v>0</v>
      </c>
      <c r="AA28" s="25">
        <f>'TUSD BE'!$AA$28*'TUSD BE'!$AA$58</f>
        <v>0</v>
      </c>
      <c r="AB28" s="25">
        <f>SUM($U$28:$AA$28)</f>
        <v>52.275906877244239</v>
      </c>
      <c r="AC28" s="25">
        <f>'TUSD BE'!$AC$28*'TUSD BE'!$AC$58</f>
        <v>-128.55337026683867</v>
      </c>
      <c r="AD28" s="25">
        <f>SUM($AC$28:$AC$28)</f>
        <v>-128.55337026683867</v>
      </c>
      <c r="AE28" s="25">
        <f ca="1">$AO$28*$AO$55</f>
        <v>0</v>
      </c>
      <c r="AF28" s="25">
        <f ca="1">$AP$28*$AP$55</f>
        <v>0</v>
      </c>
      <c r="AG28" s="25">
        <f ca="1">SUM($AE$28:$AF$28)</f>
        <v>0</v>
      </c>
      <c r="AH28" s="25">
        <f>'TUSD BE'!$AH$28*'TUSD BE'!$AH$58</f>
        <v>7.0359185763695784</v>
      </c>
      <c r="AI28" s="25">
        <f>'TUSD BE'!$AI$28*'TUSD BE'!$AI$58</f>
        <v>0</v>
      </c>
      <c r="AJ28" s="25">
        <f ca="1">'TUSD BE'!$AJ$28*'TUSD BE'!$AJ$58</f>
        <v>3.8379547958797655</v>
      </c>
      <c r="AK28" s="25">
        <f ca="1">'TUSD BE'!$AK$28*'TUSD BE'!$AK$58</f>
        <v>0</v>
      </c>
      <c r="AL28" s="25">
        <f ca="1">SUM($AH$28:$AK$28)</f>
        <v>10.873873372249344</v>
      </c>
      <c r="AM28" s="25">
        <f ca="1">SUMIF($L$4:$AL$4,"SUBTOTAL",$L$28:$AL$28)</f>
        <v>-65.429916684450902</v>
      </c>
      <c r="AO28" s="30">
        <f ca="1">+'TUSD BE'!$T$28+'TUSD BE'!$AB$28+'TUSD BE'!$AD$28+'TUSD BE'!$AL$28</f>
        <v>926.06915548230791</v>
      </c>
      <c r="AP28" s="30">
        <f ca="1">+'TUSD BE'!$T$28+'TUSD BE'!$AB$28+'TUSD BE'!$AD$28+'TUSD BE'!$AL$28</f>
        <v>926.06915548230791</v>
      </c>
    </row>
    <row r="29" spans="1:42" ht="11.25" customHeight="1" x14ac:dyDescent="0.3">
      <c r="A29" s="120"/>
      <c r="B29" s="120"/>
      <c r="C29" s="120"/>
      <c r="D29" s="28" t="s">
        <v>32</v>
      </c>
      <c r="E29" s="28" t="s">
        <v>25</v>
      </c>
      <c r="F29" s="28" t="s">
        <v>25</v>
      </c>
      <c r="G29" s="21" t="s">
        <v>76</v>
      </c>
      <c r="H29" s="21" t="s">
        <v>72</v>
      </c>
      <c r="I29" s="21">
        <f>'MERCADO TUSD'!$U$26</f>
        <v>0</v>
      </c>
      <c r="J29" s="17"/>
      <c r="L29" s="25">
        <f>'TUSD BE'!$L$29*'TUSD BE'!$L$58</f>
        <v>0</v>
      </c>
      <c r="M29" s="25">
        <f>'TUSD BE'!$M$29*'TUSD BE'!$M$58</f>
        <v>-2.6326667105823032E-2</v>
      </c>
      <c r="N29" s="25">
        <f ca="1">'TUSD BE'!$N$29*'TUSD BE'!$N$58</f>
        <v>0</v>
      </c>
      <c r="O29" s="25">
        <f>'TUSD BE'!$O$29*'TUSD BE'!$O$58</f>
        <v>0</v>
      </c>
      <c r="P29" s="25">
        <f>'TUSD BE'!$P$29*'TUSD BE'!$P$58</f>
        <v>0</v>
      </c>
      <c r="Q29" s="25">
        <f>'TUSD BE'!$Q$29*'TUSD BE'!$Q$58</f>
        <v>0</v>
      </c>
      <c r="R29" s="25">
        <f>'TUSD BE'!$R$29*'TUSD BE'!$R$58</f>
        <v>0</v>
      </c>
      <c r="S29" s="25">
        <f>'TUSD BE'!$R$29*'TUSD BE'!$S$58</f>
        <v>0</v>
      </c>
      <c r="T29" s="25">
        <f ca="1">SUM($L$29:$S$29)</f>
        <v>-2.6326667105823032E-2</v>
      </c>
      <c r="U29" s="25">
        <f>'TUSD BE'!$U$29*'TUSD BE'!$U$58</f>
        <v>0</v>
      </c>
      <c r="V29" s="25">
        <f>'TUSD BE'!$V$29*'TUSD BE'!$V$58</f>
        <v>0</v>
      </c>
      <c r="W29" s="25">
        <f>'TUSD BE'!$W$29*'TUSD BE'!$W$58</f>
        <v>0</v>
      </c>
      <c r="X29" s="25">
        <f>'TUSD BE'!$X$29*'TUSD BE'!$X$58</f>
        <v>0</v>
      </c>
      <c r="Y29" s="25">
        <f>'TUSD BE'!$Y$29*'TUSD BE'!$Y$58</f>
        <v>52.275906877244239</v>
      </c>
      <c r="Z29" s="25">
        <f>'TUSD BE'!$Z$29*'TUSD BE'!$Z$58</f>
        <v>0</v>
      </c>
      <c r="AA29" s="25">
        <f>'TUSD BE'!$AA$29*'TUSD BE'!$AA$58</f>
        <v>0</v>
      </c>
      <c r="AB29" s="25">
        <f>SUM($U$29:$AA$29)</f>
        <v>52.275906877244239</v>
      </c>
      <c r="AC29" s="25">
        <f>'TUSD BE'!$AC$29*'TUSD BE'!$AC$58</f>
        <v>-128.55337026683867</v>
      </c>
      <c r="AD29" s="25">
        <f>SUM($AC$29:$AC$29)</f>
        <v>-128.55337026683867</v>
      </c>
      <c r="AE29" s="25">
        <f ca="1">$AO$29*$AO$55</f>
        <v>0</v>
      </c>
      <c r="AF29" s="25">
        <f ca="1">$AP$29*$AP$55</f>
        <v>0</v>
      </c>
      <c r="AG29" s="25">
        <f ca="1">SUM($AE$29:$AF$29)</f>
        <v>0</v>
      </c>
      <c r="AH29" s="25">
        <f>'TUSD BE'!$AH$29*'TUSD BE'!$AH$58</f>
        <v>7.0359185763695784</v>
      </c>
      <c r="AI29" s="25">
        <f>'TUSD BE'!$AI$29*'TUSD BE'!$AI$58</f>
        <v>0</v>
      </c>
      <c r="AJ29" s="25">
        <f ca="1">'TUSD BE'!$AJ$29*'TUSD BE'!$AJ$58</f>
        <v>3.8379547958797655</v>
      </c>
      <c r="AK29" s="25">
        <f ca="1">'TUSD BE'!$AK$29*'TUSD BE'!$AK$58</f>
        <v>0</v>
      </c>
      <c r="AL29" s="25">
        <f ca="1">SUM($AH$29:$AK$29)</f>
        <v>10.873873372249344</v>
      </c>
      <c r="AM29" s="25">
        <f ca="1">SUMIF($L$4:$AL$4,"SUBTOTAL",$L$29:$AL$29)</f>
        <v>-65.429916684450902</v>
      </c>
      <c r="AO29" s="30">
        <f ca="1">+'TUSD BE'!$T$29+'TUSD BE'!$AB$29+'TUSD BE'!$AD$29+'TUSD BE'!$AL$29</f>
        <v>926.06915548230791</v>
      </c>
      <c r="AP29" s="30">
        <f ca="1">+'TUSD BE'!$T$29+'TUSD BE'!$AB$29+'TUSD BE'!$AD$29+'TUSD BE'!$AL$29</f>
        <v>926.06915548230791</v>
      </c>
    </row>
    <row r="30" spans="1:42" ht="11.25" customHeight="1" x14ac:dyDescent="0.3">
      <c r="A30" s="120" t="s">
        <v>43</v>
      </c>
      <c r="B30" s="120" t="s">
        <v>33</v>
      </c>
      <c r="C30" s="120" t="s">
        <v>44</v>
      </c>
      <c r="D30" s="120" t="s">
        <v>25</v>
      </c>
      <c r="E30" s="120" t="s">
        <v>25</v>
      </c>
      <c r="F30" s="120" t="s">
        <v>25</v>
      </c>
      <c r="G30" s="21" t="s">
        <v>73</v>
      </c>
      <c r="H30" s="21" t="s">
        <v>72</v>
      </c>
      <c r="I30" s="21">
        <f>'MERCADO TUSD'!$U$27</f>
        <v>0</v>
      </c>
      <c r="J30" s="17"/>
      <c r="L30" s="25">
        <f>'TUSD BE'!$L$30*'TUSD BE'!$L$58</f>
        <v>0</v>
      </c>
      <c r="M30" s="25">
        <f>'TUSD BE'!$M$30*'TUSD BE'!$M$58</f>
        <v>-2.6326667105823032E-2</v>
      </c>
      <c r="N30" s="25">
        <f ca="1">'TUSD BE'!$N$30*'TUSD BE'!$N$58</f>
        <v>0</v>
      </c>
      <c r="O30" s="25">
        <f>'TUSD BE'!$O$30*'TUSD BE'!$O$58</f>
        <v>0</v>
      </c>
      <c r="P30" s="25">
        <f>'TUSD BE'!$P$30*'TUSD BE'!$P$58</f>
        <v>0</v>
      </c>
      <c r="Q30" s="25">
        <f>'TUSD BE'!$Q$30*'TUSD BE'!$Q$58</f>
        <v>-0.15467022078565557</v>
      </c>
      <c r="R30" s="25">
        <f>'TUSD BE'!$R$30*'TUSD BE'!$R$58</f>
        <v>-6.8589520341706981E-3</v>
      </c>
      <c r="S30" s="25">
        <f>'TUSD BE'!$R$30*'TUSD BE'!$S$58</f>
        <v>0</v>
      </c>
      <c r="T30" s="25">
        <f ca="1">SUM($L$30:$S$30)</f>
        <v>-0.1878558399256493</v>
      </c>
      <c r="U30" s="25">
        <f>'TUSD BE'!$U$30*'TUSD BE'!$U$58</f>
        <v>0</v>
      </c>
      <c r="V30" s="25">
        <f>'TUSD BE'!$V$30*'TUSD BE'!$V$58</f>
        <v>0</v>
      </c>
      <c r="W30" s="25">
        <f>'TUSD BE'!$W$30*'TUSD BE'!$W$58</f>
        <v>0</v>
      </c>
      <c r="X30" s="25">
        <f>'TUSD BE'!$X$30*'TUSD BE'!$X$58</f>
        <v>0</v>
      </c>
      <c r="Y30" s="25">
        <f>'TUSD BE'!$Y$30*'TUSD BE'!$Y$58</f>
        <v>135.91747662831648</v>
      </c>
      <c r="Z30" s="25">
        <f>'TUSD BE'!$Z$30*'TUSD BE'!$Z$58</f>
        <v>0</v>
      </c>
      <c r="AA30" s="25">
        <f>'TUSD BE'!$AA$30*'TUSD BE'!$AA$58</f>
        <v>0</v>
      </c>
      <c r="AB30" s="25">
        <f>SUM($U$30:$AA$30)</f>
        <v>135.91747662831648</v>
      </c>
      <c r="AC30" s="25">
        <f>'TUSD BE'!$AC$30*'TUSD BE'!$AC$58</f>
        <v>-334.23865956169567</v>
      </c>
      <c r="AD30" s="25">
        <f>SUM($AC$30:$AC$30)</f>
        <v>-334.23865956169567</v>
      </c>
      <c r="AE30" s="25">
        <f ca="1">$AO$30*$AO$55</f>
        <v>0</v>
      </c>
      <c r="AF30" s="25">
        <f ca="1">$AP$30*$AP$55</f>
        <v>0</v>
      </c>
      <c r="AG30" s="25">
        <f ca="1">SUM($AE$30:$AF$30)</f>
        <v>0</v>
      </c>
      <c r="AH30" s="25">
        <f>'TUSD BE'!$AH$30*'TUSD BE'!$AH$58</f>
        <v>7.0359185763695784</v>
      </c>
      <c r="AI30" s="25">
        <f>'TUSD BE'!$AI$30*'TUSD BE'!$AI$58</f>
        <v>0</v>
      </c>
      <c r="AJ30" s="25">
        <f ca="1">'TUSD BE'!$AJ$30*'TUSD BE'!$AJ$58</f>
        <v>3.8379547958797655</v>
      </c>
      <c r="AK30" s="25">
        <f ca="1">'TUSD BE'!$AK$30*'TUSD BE'!$AK$58</f>
        <v>0</v>
      </c>
      <c r="AL30" s="25">
        <f ca="1">SUM($AH$30:$AK$30)</f>
        <v>10.873873372249344</v>
      </c>
      <c r="AM30" s="25">
        <f ca="1">SUMIF($L$4:$AL$4,"SUBTOTAL",$L$30:$AL$30)</f>
        <v>-187.6351654010555</v>
      </c>
      <c r="AO30" s="30">
        <f ca="1">+'TUSD BE'!$T$30+'TUSD BE'!$AB$30+'TUSD BE'!$AD$30+'TUSD BE'!$AL$30</f>
        <v>2466.8910660681099</v>
      </c>
      <c r="AP30" s="30">
        <f ca="1">+'TUSD BE'!$T$30+'TUSD BE'!$AB$30+'TUSD BE'!$AD$30+'TUSD BE'!$AL$30</f>
        <v>2466.8910660681099</v>
      </c>
    </row>
    <row r="31" spans="1:42" ht="11.25" customHeight="1" x14ac:dyDescent="0.3">
      <c r="A31" s="120"/>
      <c r="B31" s="120"/>
      <c r="C31" s="120"/>
      <c r="D31" s="120"/>
      <c r="E31" s="120"/>
      <c r="F31" s="120"/>
      <c r="G31" s="21" t="s">
        <v>85</v>
      </c>
      <c r="H31" s="21" t="s">
        <v>72</v>
      </c>
      <c r="I31" s="21">
        <f>'MERCADO TUSD'!$U$28</f>
        <v>0</v>
      </c>
      <c r="J31" s="17"/>
      <c r="L31" s="25">
        <f>'TUSD BE'!$L$31*'TUSD BE'!$L$58</f>
        <v>0</v>
      </c>
      <c r="M31" s="25">
        <f>'TUSD BE'!$M$31*'TUSD BE'!$M$58</f>
        <v>-2.6326667105823032E-2</v>
      </c>
      <c r="N31" s="25">
        <f ca="1">'TUSD BE'!$N$31*'TUSD BE'!$N$58</f>
        <v>0</v>
      </c>
      <c r="O31" s="25">
        <f>'TUSD BE'!$O$31*'TUSD BE'!$O$58</f>
        <v>0</v>
      </c>
      <c r="P31" s="25">
        <f>'TUSD BE'!$P$31*'TUSD BE'!$P$58</f>
        <v>0</v>
      </c>
      <c r="Q31" s="25">
        <f>'TUSD BE'!$Q$31*'TUSD BE'!$Q$58</f>
        <v>-0.15467022078565557</v>
      </c>
      <c r="R31" s="25">
        <f>'TUSD BE'!$R$31*'TUSD BE'!$R$58</f>
        <v>-6.8589520341706981E-3</v>
      </c>
      <c r="S31" s="25">
        <f>'TUSD BE'!$R$31*'TUSD BE'!$S$58</f>
        <v>0</v>
      </c>
      <c r="T31" s="25">
        <f ca="1">SUM($L$31:$S$31)</f>
        <v>-0.1878558399256493</v>
      </c>
      <c r="U31" s="25">
        <f>'TUSD BE'!$U$31*'TUSD BE'!$U$58</f>
        <v>0</v>
      </c>
      <c r="V31" s="25">
        <f>'TUSD BE'!$V$31*'TUSD BE'!$V$58</f>
        <v>0</v>
      </c>
      <c r="W31" s="25">
        <f>'TUSD BE'!$W$31*'TUSD BE'!$W$58</f>
        <v>0</v>
      </c>
      <c r="X31" s="25">
        <f>'TUSD BE'!$X$31*'TUSD BE'!$X$58</f>
        <v>0</v>
      </c>
      <c r="Y31" s="25">
        <f>'TUSD BE'!$Y$31*'TUSD BE'!$Y$58</f>
        <v>81.55042660324915</v>
      </c>
      <c r="Z31" s="25">
        <f>'TUSD BE'!$Z$31*'TUSD BE'!$Z$58</f>
        <v>0</v>
      </c>
      <c r="AA31" s="25">
        <f>'TUSD BE'!$AA$31*'TUSD BE'!$AA$58</f>
        <v>0</v>
      </c>
      <c r="AB31" s="25">
        <f>SUM($U$31:$AA$31)</f>
        <v>81.55042660324915</v>
      </c>
      <c r="AC31" s="25">
        <f>'TUSD BE'!$AC$31*'TUSD BE'!$AC$58</f>
        <v>-200.54322667664286</v>
      </c>
      <c r="AD31" s="25">
        <f>SUM($AC$31:$AC$31)</f>
        <v>-200.54322667664286</v>
      </c>
      <c r="AE31" s="25">
        <f ca="1">$AO$31*$AO$55</f>
        <v>0</v>
      </c>
      <c r="AF31" s="25">
        <f ca="1">$AP$31*$AP$55</f>
        <v>0</v>
      </c>
      <c r="AG31" s="25">
        <f ca="1">SUM($AE$31:$AF$31)</f>
        <v>0</v>
      </c>
      <c r="AH31" s="25">
        <f>'TUSD BE'!$AH$31*'TUSD BE'!$AH$58</f>
        <v>7.0359185763695784</v>
      </c>
      <c r="AI31" s="25">
        <f>'TUSD BE'!$AI$31*'TUSD BE'!$AI$58</f>
        <v>0</v>
      </c>
      <c r="AJ31" s="25">
        <f ca="1">'TUSD BE'!$AJ$31*'TUSD BE'!$AJ$58</f>
        <v>3.8379547958797655</v>
      </c>
      <c r="AK31" s="25">
        <f ca="1">'TUSD BE'!$AK$31*'TUSD BE'!$AK$58</f>
        <v>0</v>
      </c>
      <c r="AL31" s="25">
        <f ca="1">SUM($AH$31:$AK$31)</f>
        <v>10.873873372249344</v>
      </c>
      <c r="AM31" s="25">
        <f ca="1">SUMIF($L$4:$AL$4,"SUBTOTAL",$L$31:$AL$31)</f>
        <v>-108.30678254107001</v>
      </c>
      <c r="AO31" s="30">
        <f ca="1">+'TUSD BE'!$T$31+'TUSD BE'!$AB$31+'TUSD BE'!$AD$31+'TUSD BE'!$AL$31</f>
        <v>1544.3834899046374</v>
      </c>
      <c r="AP31" s="30">
        <f ca="1">+'TUSD BE'!$T$31+'TUSD BE'!$AB$31+'TUSD BE'!$AD$31+'TUSD BE'!$AL$31</f>
        <v>1544.3834899046374</v>
      </c>
    </row>
    <row r="32" spans="1:42" ht="11.25" customHeight="1" x14ac:dyDescent="0.3">
      <c r="A32" s="120"/>
      <c r="B32" s="120"/>
      <c r="C32" s="120"/>
      <c r="D32" s="120"/>
      <c r="E32" s="120"/>
      <c r="F32" s="120"/>
      <c r="G32" s="21" t="s">
        <v>74</v>
      </c>
      <c r="H32" s="21" t="s">
        <v>72</v>
      </c>
      <c r="I32" s="21">
        <f>'MERCADO TUSD'!$U$29</f>
        <v>0</v>
      </c>
      <c r="J32" s="17"/>
      <c r="L32" s="25">
        <f>'TUSD BE'!$L$32*'TUSD BE'!$L$58</f>
        <v>0</v>
      </c>
      <c r="M32" s="25">
        <f>'TUSD BE'!$M$32*'TUSD BE'!$M$58</f>
        <v>-2.6326667105823032E-2</v>
      </c>
      <c r="N32" s="25">
        <f ca="1">'TUSD BE'!$N$32*'TUSD BE'!$N$58</f>
        <v>0</v>
      </c>
      <c r="O32" s="25">
        <f>'TUSD BE'!$O$32*'TUSD BE'!$O$58</f>
        <v>0</v>
      </c>
      <c r="P32" s="25">
        <f>'TUSD BE'!$P$32*'TUSD BE'!$P$58</f>
        <v>0</v>
      </c>
      <c r="Q32" s="25">
        <f>'TUSD BE'!$Q$32*'TUSD BE'!$Q$58</f>
        <v>-0.15467022078565557</v>
      </c>
      <c r="R32" s="25">
        <f>'TUSD BE'!$R$32*'TUSD BE'!$R$58</f>
        <v>-6.8589520341706981E-3</v>
      </c>
      <c r="S32" s="25">
        <f>'TUSD BE'!$R$32*'TUSD BE'!$S$58</f>
        <v>0</v>
      </c>
      <c r="T32" s="25">
        <f ca="1">SUM($L$32:$S$32)</f>
        <v>-0.1878558399256493</v>
      </c>
      <c r="U32" s="25">
        <f>'TUSD BE'!$U$32*'TUSD BE'!$U$58</f>
        <v>0</v>
      </c>
      <c r="V32" s="25">
        <f>'TUSD BE'!$V$32*'TUSD BE'!$V$58</f>
        <v>0</v>
      </c>
      <c r="W32" s="25">
        <f>'TUSD BE'!$W$32*'TUSD BE'!$W$58</f>
        <v>0</v>
      </c>
      <c r="X32" s="25">
        <f>'TUSD BE'!$X$32*'TUSD BE'!$X$58</f>
        <v>0</v>
      </c>
      <c r="Y32" s="25">
        <f>'TUSD BE'!$Y$32*'TUSD BE'!$Y$58</f>
        <v>27.183376578181868</v>
      </c>
      <c r="Z32" s="25">
        <f>'TUSD BE'!$Z$32*'TUSD BE'!$Z$58</f>
        <v>0</v>
      </c>
      <c r="AA32" s="25">
        <f>'TUSD BE'!$AA$32*'TUSD BE'!$AA$58</f>
        <v>0</v>
      </c>
      <c r="AB32" s="25">
        <f>SUM($U$32:$AA$32)</f>
        <v>27.183376578181868</v>
      </c>
      <c r="AC32" s="25">
        <f>'TUSD BE'!$AC$32*'TUSD BE'!$AC$58</f>
        <v>-66.84774222554762</v>
      </c>
      <c r="AD32" s="25">
        <f>SUM($AC$32:$AC$32)</f>
        <v>-66.84774222554762</v>
      </c>
      <c r="AE32" s="25">
        <f ca="1">$AO$32*$AO$55</f>
        <v>0</v>
      </c>
      <c r="AF32" s="25">
        <f ca="1">$AP$32*$AP$55</f>
        <v>0</v>
      </c>
      <c r="AG32" s="25">
        <f ca="1">SUM($AE$32:$AF$32)</f>
        <v>0</v>
      </c>
      <c r="AH32" s="25">
        <f>'TUSD BE'!$AH$32*'TUSD BE'!$AH$58</f>
        <v>7.0359185763695784</v>
      </c>
      <c r="AI32" s="25">
        <f>'TUSD BE'!$AI$32*'TUSD BE'!$AI$58</f>
        <v>0</v>
      </c>
      <c r="AJ32" s="25">
        <f ca="1">'TUSD BE'!$AJ$32*'TUSD BE'!$AJ$58</f>
        <v>3.8379547958797655</v>
      </c>
      <c r="AK32" s="25">
        <f ca="1">'TUSD BE'!$AK$32*'TUSD BE'!$AK$58</f>
        <v>0</v>
      </c>
      <c r="AL32" s="25">
        <f ca="1">SUM($AH$32:$AK$32)</f>
        <v>10.873873372249344</v>
      </c>
      <c r="AM32" s="25">
        <f ca="1">SUMIF($L$4:$AL$4,"SUBTOTAL",$L$32:$AL$32)</f>
        <v>-28.97834811504206</v>
      </c>
      <c r="AO32" s="30">
        <f ca="1">+'TUSD BE'!$T$32+'TUSD BE'!$AB$32+'TUSD BE'!$AD$32+'TUSD BE'!$AL$32</f>
        <v>621.87564289178829</v>
      </c>
      <c r="AP32" s="30">
        <f ca="1">+'TUSD BE'!$T$32+'TUSD BE'!$AB$32+'TUSD BE'!$AD$32+'TUSD BE'!$AL$32</f>
        <v>621.87564289178829</v>
      </c>
    </row>
    <row r="33" spans="1:42" ht="11.25" customHeight="1" x14ac:dyDescent="0.3">
      <c r="A33" s="120"/>
      <c r="B33" s="28" t="s">
        <v>23</v>
      </c>
      <c r="C33" s="28" t="s">
        <v>44</v>
      </c>
      <c r="D33" s="28" t="s">
        <v>25</v>
      </c>
      <c r="E33" s="28" t="s">
        <v>25</v>
      </c>
      <c r="F33" s="28" t="s">
        <v>25</v>
      </c>
      <c r="G33" s="21" t="s">
        <v>76</v>
      </c>
      <c r="H33" s="21" t="s">
        <v>72</v>
      </c>
      <c r="I33" s="21">
        <f>'MERCADO TUSD'!$U$30</f>
        <v>600.24900000000002</v>
      </c>
      <c r="J33" s="17"/>
      <c r="L33" s="25">
        <f>'TUSD BE'!$L$33*'TUSD BE'!$L$58</f>
        <v>0</v>
      </c>
      <c r="M33" s="25">
        <f>'TUSD BE'!$M$33*'TUSD BE'!$M$58</f>
        <v>-2.6326667105823032E-2</v>
      </c>
      <c r="N33" s="25">
        <f ca="1">'TUSD BE'!$N$33*'TUSD BE'!$N$58</f>
        <v>0</v>
      </c>
      <c r="O33" s="25">
        <f>'TUSD BE'!$O$33*'TUSD BE'!$O$58</f>
        <v>0</v>
      </c>
      <c r="P33" s="25">
        <f>'TUSD BE'!$P$33*'TUSD BE'!$P$58</f>
        <v>0</v>
      </c>
      <c r="Q33" s="25">
        <f>'TUSD BE'!$Q$33*'TUSD BE'!$Q$58</f>
        <v>-0.15467022078565557</v>
      </c>
      <c r="R33" s="25">
        <f>'TUSD BE'!$R$33*'TUSD BE'!$R$58</f>
        <v>-6.8589520341706981E-3</v>
      </c>
      <c r="S33" s="25">
        <f>'TUSD BE'!$R$33*'TUSD BE'!$S$58</f>
        <v>0</v>
      </c>
      <c r="T33" s="25">
        <f ca="1">SUM($L$33:$S$33)</f>
        <v>-0.1878558399256493</v>
      </c>
      <c r="U33" s="25">
        <f>'TUSD BE'!$U$33*'TUSD BE'!$U$58</f>
        <v>0</v>
      </c>
      <c r="V33" s="25">
        <f>'TUSD BE'!$V$33*'TUSD BE'!$V$58</f>
        <v>0</v>
      </c>
      <c r="W33" s="25">
        <f>'TUSD BE'!$W$33*'TUSD BE'!$W$58</f>
        <v>0</v>
      </c>
      <c r="X33" s="25">
        <f>'TUSD BE'!$X$33*'TUSD BE'!$X$58</f>
        <v>0</v>
      </c>
      <c r="Y33" s="25">
        <f>'TUSD BE'!$Y$33*'TUSD BE'!$Y$58</f>
        <v>52.275906877244239</v>
      </c>
      <c r="Z33" s="25">
        <f>'TUSD BE'!$Z$33*'TUSD BE'!$Z$58</f>
        <v>0</v>
      </c>
      <c r="AA33" s="25">
        <f>'TUSD BE'!$AA$33*'TUSD BE'!$AA$58</f>
        <v>0</v>
      </c>
      <c r="AB33" s="25">
        <f>SUM($U$33:$AA$33)</f>
        <v>52.275906877244239</v>
      </c>
      <c r="AC33" s="25">
        <f>'TUSD BE'!$AC$33*'TUSD BE'!$AC$58</f>
        <v>-128.55337026683867</v>
      </c>
      <c r="AD33" s="25">
        <f>SUM($AC$33:$AC$33)</f>
        <v>-128.55337026683867</v>
      </c>
      <c r="AE33" s="25">
        <f ca="1">$AO$33*$AO$55</f>
        <v>0</v>
      </c>
      <c r="AF33" s="25">
        <f ca="1">$AP$33*$AP$55</f>
        <v>0</v>
      </c>
      <c r="AG33" s="25">
        <f ca="1">SUM($AE$33:$AF$33)</f>
        <v>0</v>
      </c>
      <c r="AH33" s="25">
        <f>'TUSD BE'!$AH$33*'TUSD BE'!$AH$58</f>
        <v>7.0359185763695784</v>
      </c>
      <c r="AI33" s="25">
        <f>'TUSD BE'!$AI$33*'TUSD BE'!$AI$58</f>
        <v>0</v>
      </c>
      <c r="AJ33" s="25">
        <f ca="1">'TUSD BE'!$AJ$33*'TUSD BE'!$AJ$58</f>
        <v>3.8379547958797655</v>
      </c>
      <c r="AK33" s="25">
        <f ca="1">'TUSD BE'!$AK$33*'TUSD BE'!$AK$58</f>
        <v>0</v>
      </c>
      <c r="AL33" s="25">
        <f ca="1">SUM($AH$33:$AK$33)</f>
        <v>10.873873372249344</v>
      </c>
      <c r="AM33" s="25">
        <f ca="1">SUMIF($L$4:$AL$4,"SUBTOTAL",$L$33:$AL$33)</f>
        <v>-65.591445857270728</v>
      </c>
      <c r="AO33" s="30">
        <f ca="1">+'TUSD BE'!$T$33+'TUSD BE'!$AB$33+'TUSD BE'!$AD$33+'TUSD BE'!$AL$33</f>
        <v>1047.6487845789259</v>
      </c>
      <c r="AP33" s="30">
        <f ca="1">+'TUSD BE'!$T$33+'TUSD BE'!$AB$33+'TUSD BE'!$AD$33+'TUSD BE'!$AL$33</f>
        <v>1047.6487845789259</v>
      </c>
    </row>
    <row r="34" spans="1:42" ht="11.25" customHeight="1" x14ac:dyDescent="0.3">
      <c r="A34" s="120"/>
      <c r="B34" s="120" t="s">
        <v>33</v>
      </c>
      <c r="C34" s="120" t="s">
        <v>44</v>
      </c>
      <c r="D34" s="120" t="s">
        <v>88</v>
      </c>
      <c r="E34" s="120" t="s">
        <v>25</v>
      </c>
      <c r="F34" s="120" t="s">
        <v>25</v>
      </c>
      <c r="G34" s="21" t="s">
        <v>73</v>
      </c>
      <c r="H34" s="21" t="s">
        <v>72</v>
      </c>
      <c r="I34" s="21">
        <f>'MERCADO TUSD'!$U$31</f>
        <v>0</v>
      </c>
      <c r="J34" s="17"/>
      <c r="L34" s="25">
        <f>'TUSD BE'!$L$34*'TUSD BE'!$L$58</f>
        <v>0</v>
      </c>
      <c r="M34" s="25">
        <f>'TUSD BE'!$M$34*'TUSD BE'!$M$58</f>
        <v>-2.6326667105823032E-2</v>
      </c>
      <c r="N34" s="25">
        <f ca="1">'TUSD BE'!$N$34*'TUSD BE'!$N$58</f>
        <v>0</v>
      </c>
      <c r="O34" s="25">
        <f>'TUSD BE'!$O$34*'TUSD BE'!$O$58</f>
        <v>0</v>
      </c>
      <c r="P34" s="25">
        <f>'TUSD BE'!$P$34*'TUSD BE'!$P$58</f>
        <v>0</v>
      </c>
      <c r="Q34" s="25">
        <f>'TUSD BE'!$Q$34*'TUSD BE'!$Q$58</f>
        <v>-0.15467022078565557</v>
      </c>
      <c r="R34" s="25">
        <f>'TUSD BE'!$R$34*'TUSD BE'!$R$58</f>
        <v>-6.8589520341706981E-3</v>
      </c>
      <c r="S34" s="25">
        <f>'TUSD BE'!$R$34*'TUSD BE'!$S$58</f>
        <v>0</v>
      </c>
      <c r="T34" s="25">
        <f ca="1">SUM($L$34:$S$34)</f>
        <v>-0.1878558399256493</v>
      </c>
      <c r="U34" s="25">
        <f>'TUSD BE'!$U$34*'TUSD BE'!$U$58</f>
        <v>0</v>
      </c>
      <c r="V34" s="25">
        <f>'TUSD BE'!$V$34*'TUSD BE'!$V$58</f>
        <v>0</v>
      </c>
      <c r="W34" s="25">
        <f>'TUSD BE'!$W$34*'TUSD BE'!$W$58</f>
        <v>0</v>
      </c>
      <c r="X34" s="25">
        <f>'TUSD BE'!$X$34*'TUSD BE'!$X$58</f>
        <v>0</v>
      </c>
      <c r="Y34" s="25">
        <f>'TUSD BE'!$Y$34*'TUSD BE'!$Y$58</f>
        <v>135.91747662831648</v>
      </c>
      <c r="Z34" s="25">
        <f>'TUSD BE'!$Z$34*'TUSD BE'!$Z$58</f>
        <v>0</v>
      </c>
      <c r="AA34" s="25">
        <f>'TUSD BE'!$AA$34*'TUSD BE'!$AA$58</f>
        <v>0</v>
      </c>
      <c r="AB34" s="25">
        <f>SUM($U$34:$AA$34)</f>
        <v>135.91747662831648</v>
      </c>
      <c r="AC34" s="25">
        <f>'TUSD BE'!$AC$34*'TUSD BE'!$AC$58</f>
        <v>-334.23865956169567</v>
      </c>
      <c r="AD34" s="25">
        <f>SUM($AC$34:$AC$34)</f>
        <v>-334.23865956169567</v>
      </c>
      <c r="AE34" s="25">
        <f ca="1">$AO$34*$AO$55</f>
        <v>0</v>
      </c>
      <c r="AF34" s="25">
        <f ca="1">$AP$34*$AP$55</f>
        <v>0</v>
      </c>
      <c r="AG34" s="25">
        <f ca="1">SUM($AE$34:$AF$34)</f>
        <v>0</v>
      </c>
      <c r="AH34" s="25">
        <f>'TUSD BE'!$AH$34*'TUSD BE'!$AH$58</f>
        <v>7.0359185763695784</v>
      </c>
      <c r="AI34" s="25">
        <f>'TUSD BE'!$AI$34*'TUSD BE'!$AI$58</f>
        <v>0</v>
      </c>
      <c r="AJ34" s="25">
        <f ca="1">'TUSD BE'!$AJ$34*'TUSD BE'!$AJ$58</f>
        <v>3.8379547958797655</v>
      </c>
      <c r="AK34" s="25">
        <f ca="1">'TUSD BE'!$AK$34*'TUSD BE'!$AK$58</f>
        <v>0</v>
      </c>
      <c r="AL34" s="25">
        <f ca="1">SUM($AH$34:$AK$34)</f>
        <v>10.873873372249344</v>
      </c>
      <c r="AM34" s="25">
        <f ca="1">SUMIF($L$4:$AL$4,"SUBTOTAL",$L$34:$AL$34)</f>
        <v>-187.6351654010555</v>
      </c>
      <c r="AO34" s="30">
        <f ca="1">+'TUSD BE'!$T$34+'TUSD BE'!$AB$34+'TUSD BE'!$AD$34+'TUSD BE'!$AL$34</f>
        <v>2466.8910660681099</v>
      </c>
      <c r="AP34" s="30">
        <f ca="1">+'TUSD BE'!$T$34+'TUSD BE'!$AB$34+'TUSD BE'!$AD$34+'TUSD BE'!$AL$34</f>
        <v>2466.8910660681099</v>
      </c>
    </row>
    <row r="35" spans="1:42" ht="11.25" customHeight="1" x14ac:dyDescent="0.3">
      <c r="A35" s="120"/>
      <c r="B35" s="120"/>
      <c r="C35" s="120"/>
      <c r="D35" s="120"/>
      <c r="E35" s="120"/>
      <c r="F35" s="120"/>
      <c r="G35" s="21" t="s">
        <v>85</v>
      </c>
      <c r="H35" s="21" t="s">
        <v>72</v>
      </c>
      <c r="I35" s="21">
        <f>'MERCADO TUSD'!$U$32</f>
        <v>0</v>
      </c>
      <c r="J35" s="17"/>
      <c r="L35" s="25">
        <f>'TUSD BE'!$L$35*'TUSD BE'!$L$58</f>
        <v>0</v>
      </c>
      <c r="M35" s="25">
        <f>'TUSD BE'!$M$35*'TUSD BE'!$M$58</f>
        <v>-2.6326667105823032E-2</v>
      </c>
      <c r="N35" s="25">
        <f ca="1">'TUSD BE'!$N$35*'TUSD BE'!$N$58</f>
        <v>0</v>
      </c>
      <c r="O35" s="25">
        <f>'TUSD BE'!$O$35*'TUSD BE'!$O$58</f>
        <v>0</v>
      </c>
      <c r="P35" s="25">
        <f>'TUSD BE'!$P$35*'TUSD BE'!$P$58</f>
        <v>0</v>
      </c>
      <c r="Q35" s="25">
        <f>'TUSD BE'!$Q$35*'TUSD BE'!$Q$58</f>
        <v>-0.15467022078565557</v>
      </c>
      <c r="R35" s="25">
        <f>'TUSD BE'!$R$35*'TUSD BE'!$R$58</f>
        <v>-6.8589520341706981E-3</v>
      </c>
      <c r="S35" s="25">
        <f>'TUSD BE'!$R$35*'TUSD BE'!$S$58</f>
        <v>0</v>
      </c>
      <c r="T35" s="25">
        <f ca="1">SUM($L$35:$S$35)</f>
        <v>-0.1878558399256493</v>
      </c>
      <c r="U35" s="25">
        <f>'TUSD BE'!$U$35*'TUSD BE'!$U$58</f>
        <v>0</v>
      </c>
      <c r="V35" s="25">
        <f>'TUSD BE'!$V$35*'TUSD BE'!$V$58</f>
        <v>0</v>
      </c>
      <c r="W35" s="25">
        <f>'TUSD BE'!$W$35*'TUSD BE'!$W$58</f>
        <v>0</v>
      </c>
      <c r="X35" s="25">
        <f>'TUSD BE'!$X$35*'TUSD BE'!$X$58</f>
        <v>0</v>
      </c>
      <c r="Y35" s="25">
        <f>'TUSD BE'!$Y$35*'TUSD BE'!$Y$58</f>
        <v>81.55042660324915</v>
      </c>
      <c r="Z35" s="25">
        <f>'TUSD BE'!$Z$35*'TUSD BE'!$Z$58</f>
        <v>0</v>
      </c>
      <c r="AA35" s="25">
        <f>'TUSD BE'!$AA$35*'TUSD BE'!$AA$58</f>
        <v>0</v>
      </c>
      <c r="AB35" s="25">
        <f>SUM($U$35:$AA$35)</f>
        <v>81.55042660324915</v>
      </c>
      <c r="AC35" s="25">
        <f>'TUSD BE'!$AC$35*'TUSD BE'!$AC$58</f>
        <v>-200.54322667664286</v>
      </c>
      <c r="AD35" s="25">
        <f>SUM($AC$35:$AC$35)</f>
        <v>-200.54322667664286</v>
      </c>
      <c r="AE35" s="25">
        <f ca="1">$AO$35*$AO$55</f>
        <v>0</v>
      </c>
      <c r="AF35" s="25">
        <f ca="1">$AP$35*$AP$55</f>
        <v>0</v>
      </c>
      <c r="AG35" s="25">
        <f ca="1">SUM($AE$35:$AF$35)</f>
        <v>0</v>
      </c>
      <c r="AH35" s="25">
        <f>'TUSD BE'!$AH$35*'TUSD BE'!$AH$58</f>
        <v>7.0359185763695784</v>
      </c>
      <c r="AI35" s="25">
        <f>'TUSD BE'!$AI$35*'TUSD BE'!$AI$58</f>
        <v>0</v>
      </c>
      <c r="AJ35" s="25">
        <f ca="1">'TUSD BE'!$AJ$35*'TUSD BE'!$AJ$58</f>
        <v>3.8379547958797655</v>
      </c>
      <c r="AK35" s="25">
        <f ca="1">'TUSD BE'!$AK$35*'TUSD BE'!$AK$58</f>
        <v>0</v>
      </c>
      <c r="AL35" s="25">
        <f ca="1">SUM($AH$35:$AK$35)</f>
        <v>10.873873372249344</v>
      </c>
      <c r="AM35" s="25">
        <f ca="1">SUMIF($L$4:$AL$4,"SUBTOTAL",$L$35:$AL$35)</f>
        <v>-108.30678254107001</v>
      </c>
      <c r="AO35" s="30">
        <f ca="1">+'TUSD BE'!$T$35+'TUSD BE'!$AB$35+'TUSD BE'!$AD$35+'TUSD BE'!$AL$35</f>
        <v>1544.3834899046374</v>
      </c>
      <c r="AP35" s="30">
        <f ca="1">+'TUSD BE'!$T$35+'TUSD BE'!$AB$35+'TUSD BE'!$AD$35+'TUSD BE'!$AL$35</f>
        <v>1544.3834899046374</v>
      </c>
    </row>
    <row r="36" spans="1:42" ht="11.25" customHeight="1" x14ac:dyDescent="0.3">
      <c r="A36" s="120"/>
      <c r="B36" s="120"/>
      <c r="C36" s="120"/>
      <c r="D36" s="120"/>
      <c r="E36" s="120"/>
      <c r="F36" s="120"/>
      <c r="G36" s="21" t="s">
        <v>74</v>
      </c>
      <c r="H36" s="21" t="s">
        <v>72</v>
      </c>
      <c r="I36" s="21">
        <f>'MERCADO TUSD'!$U$33</f>
        <v>0</v>
      </c>
      <c r="J36" s="17"/>
      <c r="L36" s="25">
        <f>'TUSD BE'!$L$36*'TUSD BE'!$L$58</f>
        <v>0</v>
      </c>
      <c r="M36" s="25">
        <f>'TUSD BE'!$M$36*'TUSD BE'!$M$58</f>
        <v>-2.6326667105823032E-2</v>
      </c>
      <c r="N36" s="25">
        <f ca="1">'TUSD BE'!$N$36*'TUSD BE'!$N$58</f>
        <v>0</v>
      </c>
      <c r="O36" s="25">
        <f>'TUSD BE'!$O$36*'TUSD BE'!$O$58</f>
        <v>0</v>
      </c>
      <c r="P36" s="25">
        <f>'TUSD BE'!$P$36*'TUSD BE'!$P$58</f>
        <v>0</v>
      </c>
      <c r="Q36" s="25">
        <f>'TUSD BE'!$Q$36*'TUSD BE'!$Q$58</f>
        <v>-0.15467022078565557</v>
      </c>
      <c r="R36" s="25">
        <f>'TUSD BE'!$R$36*'TUSD BE'!$R$58</f>
        <v>-6.8589520341706981E-3</v>
      </c>
      <c r="S36" s="25">
        <f>'TUSD BE'!$R$36*'TUSD BE'!$S$58</f>
        <v>0</v>
      </c>
      <c r="T36" s="25">
        <f ca="1">SUM($L$36:$S$36)</f>
        <v>-0.1878558399256493</v>
      </c>
      <c r="U36" s="25">
        <f>'TUSD BE'!$U$36*'TUSD BE'!$U$58</f>
        <v>0</v>
      </c>
      <c r="V36" s="25">
        <f>'TUSD BE'!$V$36*'TUSD BE'!$V$58</f>
        <v>0</v>
      </c>
      <c r="W36" s="25">
        <f>'TUSD BE'!$W$36*'TUSD BE'!$W$58</f>
        <v>0</v>
      </c>
      <c r="X36" s="25">
        <f>'TUSD BE'!$X$36*'TUSD BE'!$X$58</f>
        <v>0</v>
      </c>
      <c r="Y36" s="25">
        <f>'TUSD BE'!$Y$36*'TUSD BE'!$Y$58</f>
        <v>27.183376578181868</v>
      </c>
      <c r="Z36" s="25">
        <f>'TUSD BE'!$Z$36*'TUSD BE'!$Z$58</f>
        <v>0</v>
      </c>
      <c r="AA36" s="25">
        <f>'TUSD BE'!$AA$36*'TUSD BE'!$AA$58</f>
        <v>0</v>
      </c>
      <c r="AB36" s="25">
        <f>SUM($U$36:$AA$36)</f>
        <v>27.183376578181868</v>
      </c>
      <c r="AC36" s="25">
        <f>'TUSD BE'!$AC$36*'TUSD BE'!$AC$58</f>
        <v>-66.84774222554762</v>
      </c>
      <c r="AD36" s="25">
        <f>SUM($AC$36:$AC$36)</f>
        <v>-66.84774222554762</v>
      </c>
      <c r="AE36" s="25">
        <f ca="1">$AO$36*$AO$55</f>
        <v>0</v>
      </c>
      <c r="AF36" s="25">
        <f ca="1">$AP$36*$AP$55</f>
        <v>0</v>
      </c>
      <c r="AG36" s="25">
        <f ca="1">SUM($AE$36:$AF$36)</f>
        <v>0</v>
      </c>
      <c r="AH36" s="25">
        <f>'TUSD BE'!$AH$36*'TUSD BE'!$AH$58</f>
        <v>7.0359185763695784</v>
      </c>
      <c r="AI36" s="25">
        <f>'TUSD BE'!$AI$36*'TUSD BE'!$AI$58</f>
        <v>0</v>
      </c>
      <c r="AJ36" s="25">
        <f ca="1">'TUSD BE'!$AJ$36*'TUSD BE'!$AJ$58</f>
        <v>3.8379547958797655</v>
      </c>
      <c r="AK36" s="25">
        <f ca="1">'TUSD BE'!$AK$36*'TUSD BE'!$AK$58</f>
        <v>0</v>
      </c>
      <c r="AL36" s="25">
        <f ca="1">SUM($AH$36:$AK$36)</f>
        <v>10.873873372249344</v>
      </c>
      <c r="AM36" s="25">
        <f ca="1">SUMIF($L$4:$AL$4,"SUBTOTAL",$L$36:$AL$36)</f>
        <v>-28.97834811504206</v>
      </c>
      <c r="AO36" s="30">
        <f ca="1">+'TUSD BE'!$T$36+'TUSD BE'!$AB$36+'TUSD BE'!$AD$36+'TUSD BE'!$AL$36</f>
        <v>621.87564289178829</v>
      </c>
      <c r="AP36" s="30">
        <f ca="1">+'TUSD BE'!$T$36+'TUSD BE'!$AB$36+'TUSD BE'!$AD$36+'TUSD BE'!$AL$36</f>
        <v>621.87564289178829</v>
      </c>
    </row>
    <row r="37" spans="1:42" ht="11.25" customHeight="1" x14ac:dyDescent="0.3">
      <c r="A37" s="120"/>
      <c r="B37" s="28" t="s">
        <v>23</v>
      </c>
      <c r="C37" s="28" t="s">
        <v>44</v>
      </c>
      <c r="D37" s="28" t="s">
        <v>88</v>
      </c>
      <c r="E37" s="28" t="s">
        <v>25</v>
      </c>
      <c r="F37" s="28" t="s">
        <v>25</v>
      </c>
      <c r="G37" s="21" t="s">
        <v>76</v>
      </c>
      <c r="H37" s="21" t="s">
        <v>72</v>
      </c>
      <c r="I37" s="21">
        <f>'MERCADO TUSD'!$U$34</f>
        <v>0</v>
      </c>
      <c r="J37" s="17"/>
      <c r="L37" s="25">
        <f>'TUSD BE'!$L$37*'TUSD BE'!$L$58</f>
        <v>0</v>
      </c>
      <c r="M37" s="25">
        <f>'TUSD BE'!$M$37*'TUSD BE'!$M$58</f>
        <v>-2.6326667105823032E-2</v>
      </c>
      <c r="N37" s="25">
        <f ca="1">'TUSD BE'!$N$37*'TUSD BE'!$N$58</f>
        <v>0</v>
      </c>
      <c r="O37" s="25">
        <f>'TUSD BE'!$O$37*'TUSD BE'!$O$58</f>
        <v>0</v>
      </c>
      <c r="P37" s="25">
        <f>'TUSD BE'!$P$37*'TUSD BE'!$P$58</f>
        <v>0</v>
      </c>
      <c r="Q37" s="25">
        <f>'TUSD BE'!$Q$37*'TUSD BE'!$Q$58</f>
        <v>-0.15467022078565557</v>
      </c>
      <c r="R37" s="25">
        <f>'TUSD BE'!$R$37*'TUSD BE'!$R$58</f>
        <v>-6.8589520341706981E-3</v>
      </c>
      <c r="S37" s="25">
        <f>'TUSD BE'!$R$37*'TUSD BE'!$S$58</f>
        <v>0</v>
      </c>
      <c r="T37" s="25">
        <f ca="1">SUM($L$37:$S$37)</f>
        <v>-0.1878558399256493</v>
      </c>
      <c r="U37" s="25">
        <f>'TUSD BE'!$U$37*'TUSD BE'!$U$58</f>
        <v>0</v>
      </c>
      <c r="V37" s="25">
        <f>'TUSD BE'!$V$37*'TUSD BE'!$V$58</f>
        <v>0</v>
      </c>
      <c r="W37" s="25">
        <f>'TUSD BE'!$W$37*'TUSD BE'!$W$58</f>
        <v>0</v>
      </c>
      <c r="X37" s="25">
        <f>'TUSD BE'!$X$37*'TUSD BE'!$X$58</f>
        <v>0</v>
      </c>
      <c r="Y37" s="25">
        <f>'TUSD BE'!$Y$37*'TUSD BE'!$Y$58</f>
        <v>52.275906877244239</v>
      </c>
      <c r="Z37" s="25">
        <f>'TUSD BE'!$Z$37*'TUSD BE'!$Z$58</f>
        <v>0</v>
      </c>
      <c r="AA37" s="25">
        <f>'TUSD BE'!$AA$37*'TUSD BE'!$AA$58</f>
        <v>0</v>
      </c>
      <c r="AB37" s="25">
        <f>SUM($U$37:$AA$37)</f>
        <v>52.275906877244239</v>
      </c>
      <c r="AC37" s="25">
        <f>'TUSD BE'!$AC$37*'TUSD BE'!$AC$58</f>
        <v>-128.55337026683867</v>
      </c>
      <c r="AD37" s="25">
        <f>SUM($AC$37:$AC$37)</f>
        <v>-128.55337026683867</v>
      </c>
      <c r="AE37" s="25">
        <f ca="1">$AO$37*$AO$55</f>
        <v>0</v>
      </c>
      <c r="AF37" s="25">
        <f ca="1">$AP$37*$AP$55</f>
        <v>0</v>
      </c>
      <c r="AG37" s="25">
        <f ca="1">SUM($AE$37:$AF$37)</f>
        <v>0</v>
      </c>
      <c r="AH37" s="25">
        <f>'TUSD BE'!$AH$37*'TUSD BE'!$AH$58</f>
        <v>7.0359185763695784</v>
      </c>
      <c r="AI37" s="25">
        <f>'TUSD BE'!$AI$37*'TUSD BE'!$AI$58</f>
        <v>0</v>
      </c>
      <c r="AJ37" s="25">
        <f ca="1">'TUSD BE'!$AJ$37*'TUSD BE'!$AJ$58</f>
        <v>3.8379547958797655</v>
      </c>
      <c r="AK37" s="25">
        <f ca="1">'TUSD BE'!$AK$37*'TUSD BE'!$AK$58</f>
        <v>0</v>
      </c>
      <c r="AL37" s="25">
        <f ca="1">SUM($AH$37:$AK$37)</f>
        <v>10.873873372249344</v>
      </c>
      <c r="AM37" s="25">
        <f ca="1">SUMIF($L$4:$AL$4,"SUBTOTAL",$L$37:$AL$37)</f>
        <v>-65.591445857270728</v>
      </c>
      <c r="AO37" s="30">
        <f ca="1">+'TUSD BE'!$T$37+'TUSD BE'!$AB$37+'TUSD BE'!$AD$37+'TUSD BE'!$AL$37</f>
        <v>1047.6487845789259</v>
      </c>
      <c r="AP37" s="30">
        <f ca="1">+'TUSD BE'!$T$37+'TUSD BE'!$AB$37+'TUSD BE'!$AD$37+'TUSD BE'!$AL$37</f>
        <v>1047.6487845789259</v>
      </c>
    </row>
    <row r="38" spans="1:42" ht="11.25" customHeight="1" x14ac:dyDescent="0.3">
      <c r="A38" s="120"/>
      <c r="B38" s="120" t="s">
        <v>33</v>
      </c>
      <c r="C38" s="120" t="s">
        <v>44</v>
      </c>
      <c r="D38" s="120" t="s">
        <v>89</v>
      </c>
      <c r="E38" s="120" t="s">
        <v>25</v>
      </c>
      <c r="F38" s="120" t="s">
        <v>25</v>
      </c>
      <c r="G38" s="21" t="s">
        <v>73</v>
      </c>
      <c r="H38" s="21" t="s">
        <v>72</v>
      </c>
      <c r="I38" s="21">
        <f>'MERCADO TUSD'!$U$35</f>
        <v>0</v>
      </c>
      <c r="J38" s="17"/>
      <c r="L38" s="25">
        <f>'TUSD BE'!$L$38*'TUSD BE'!$L$58</f>
        <v>0</v>
      </c>
      <c r="M38" s="25">
        <f>'TUSD BE'!$M$38*'TUSD BE'!$M$58</f>
        <v>-2.6326667105823032E-2</v>
      </c>
      <c r="N38" s="25">
        <f ca="1">'TUSD BE'!$N$38*'TUSD BE'!$N$58</f>
        <v>0</v>
      </c>
      <c r="O38" s="25">
        <f>'TUSD BE'!$O$38*'TUSD BE'!$O$58</f>
        <v>0</v>
      </c>
      <c r="P38" s="25">
        <f>'TUSD BE'!$P$38*'TUSD BE'!$P$58</f>
        <v>0</v>
      </c>
      <c r="Q38" s="25">
        <f>'TUSD BE'!$Q$38*'TUSD BE'!$Q$58</f>
        <v>-0.15467022078565557</v>
      </c>
      <c r="R38" s="25">
        <f>'TUSD BE'!$R$38*'TUSD BE'!$R$58</f>
        <v>-6.8589520341706981E-3</v>
      </c>
      <c r="S38" s="25">
        <f>'TUSD BE'!$R$38*'TUSD BE'!$S$58</f>
        <v>0</v>
      </c>
      <c r="T38" s="25">
        <f ca="1">SUM($L$38:$S$38)</f>
        <v>-0.1878558399256493</v>
      </c>
      <c r="U38" s="25">
        <f>'TUSD BE'!$U$38*'TUSD BE'!$U$58</f>
        <v>0</v>
      </c>
      <c r="V38" s="25">
        <f>'TUSD BE'!$V$38*'TUSD BE'!$V$58</f>
        <v>0</v>
      </c>
      <c r="W38" s="25">
        <f>'TUSD BE'!$W$38*'TUSD BE'!$W$58</f>
        <v>0</v>
      </c>
      <c r="X38" s="25">
        <f>'TUSD BE'!$X$38*'TUSD BE'!$X$58</f>
        <v>0</v>
      </c>
      <c r="Y38" s="25">
        <f>'TUSD BE'!$Y$38*'TUSD BE'!$Y$58</f>
        <v>135.91747662831648</v>
      </c>
      <c r="Z38" s="25">
        <f>'TUSD BE'!$Z$38*'TUSD BE'!$Z$58</f>
        <v>0</v>
      </c>
      <c r="AA38" s="25">
        <f>'TUSD BE'!$AA$38*'TUSD BE'!$AA$58</f>
        <v>0</v>
      </c>
      <c r="AB38" s="25">
        <f>SUM($U$38:$AA$38)</f>
        <v>135.91747662831648</v>
      </c>
      <c r="AC38" s="25">
        <f>'TUSD BE'!$AC$38*'TUSD BE'!$AC$58</f>
        <v>-334.23865956169567</v>
      </c>
      <c r="AD38" s="25">
        <f>SUM($AC$38:$AC$38)</f>
        <v>-334.23865956169567</v>
      </c>
      <c r="AE38" s="25">
        <f ca="1">$AO$38*$AO$55</f>
        <v>0</v>
      </c>
      <c r="AF38" s="25">
        <f ca="1">$AP$38*$AP$55</f>
        <v>0</v>
      </c>
      <c r="AG38" s="25">
        <f ca="1">SUM($AE$38:$AF$38)</f>
        <v>0</v>
      </c>
      <c r="AH38" s="25">
        <f>'TUSD BE'!$AH$38*'TUSD BE'!$AH$58</f>
        <v>7.0359185763695784</v>
      </c>
      <c r="AI38" s="25">
        <f>'TUSD BE'!$AI$38*'TUSD BE'!$AI$58</f>
        <v>0</v>
      </c>
      <c r="AJ38" s="25">
        <f ca="1">'TUSD BE'!$AJ$38*'TUSD BE'!$AJ$58</f>
        <v>3.8379547958797655</v>
      </c>
      <c r="AK38" s="25">
        <f ca="1">'TUSD BE'!$AK$38*'TUSD BE'!$AK$58</f>
        <v>0</v>
      </c>
      <c r="AL38" s="25">
        <f ca="1">SUM($AH$38:$AK$38)</f>
        <v>10.873873372249344</v>
      </c>
      <c r="AM38" s="25">
        <f ca="1">SUMIF($L$4:$AL$4,"SUBTOTAL",$L$38:$AL$38)</f>
        <v>-187.6351654010555</v>
      </c>
      <c r="AO38" s="30">
        <f ca="1">+'TUSD BE'!$T$38+'TUSD BE'!$AB$38+'TUSD BE'!$AD$38+'TUSD BE'!$AL$38</f>
        <v>2466.8910660681099</v>
      </c>
      <c r="AP38" s="30">
        <f ca="1">+'TUSD BE'!$T$38+'TUSD BE'!$AB$38+'TUSD BE'!$AD$38+'TUSD BE'!$AL$38</f>
        <v>2466.8910660681099</v>
      </c>
    </row>
    <row r="39" spans="1:42" ht="11.25" customHeight="1" x14ac:dyDescent="0.3">
      <c r="A39" s="120"/>
      <c r="B39" s="120"/>
      <c r="C39" s="120"/>
      <c r="D39" s="120"/>
      <c r="E39" s="120"/>
      <c r="F39" s="120"/>
      <c r="G39" s="21" t="s">
        <v>85</v>
      </c>
      <c r="H39" s="21" t="s">
        <v>72</v>
      </c>
      <c r="I39" s="21">
        <f>'MERCADO TUSD'!$U$36</f>
        <v>0</v>
      </c>
      <c r="J39" s="17"/>
      <c r="L39" s="25">
        <f>'TUSD BE'!$L$39*'TUSD BE'!$L$58</f>
        <v>0</v>
      </c>
      <c r="M39" s="25">
        <f>'TUSD BE'!$M$39*'TUSD BE'!$M$58</f>
        <v>-2.6326667105823032E-2</v>
      </c>
      <c r="N39" s="25">
        <f ca="1">'TUSD BE'!$N$39*'TUSD BE'!$N$58</f>
        <v>0</v>
      </c>
      <c r="O39" s="25">
        <f>'TUSD BE'!$O$39*'TUSD BE'!$O$58</f>
        <v>0</v>
      </c>
      <c r="P39" s="25">
        <f>'TUSD BE'!$P$39*'TUSD BE'!$P$58</f>
        <v>0</v>
      </c>
      <c r="Q39" s="25">
        <f>'TUSD BE'!$Q$39*'TUSD BE'!$Q$58</f>
        <v>-0.15467022078565557</v>
      </c>
      <c r="R39" s="25">
        <f>'TUSD BE'!$R$39*'TUSD BE'!$R$58</f>
        <v>-6.8589520341706981E-3</v>
      </c>
      <c r="S39" s="25">
        <f>'TUSD BE'!$R$39*'TUSD BE'!$S$58</f>
        <v>0</v>
      </c>
      <c r="T39" s="25">
        <f ca="1">SUM($L$39:$S$39)</f>
        <v>-0.1878558399256493</v>
      </c>
      <c r="U39" s="25">
        <f>'TUSD BE'!$U$39*'TUSD BE'!$U$58</f>
        <v>0</v>
      </c>
      <c r="V39" s="25">
        <f>'TUSD BE'!$V$39*'TUSD BE'!$V$58</f>
        <v>0</v>
      </c>
      <c r="W39" s="25">
        <f>'TUSD BE'!$W$39*'TUSD BE'!$W$58</f>
        <v>0</v>
      </c>
      <c r="X39" s="25">
        <f>'TUSD BE'!$X$39*'TUSD BE'!$X$58</f>
        <v>0</v>
      </c>
      <c r="Y39" s="25">
        <f>'TUSD BE'!$Y$39*'TUSD BE'!$Y$58</f>
        <v>81.55042660324915</v>
      </c>
      <c r="Z39" s="25">
        <f>'TUSD BE'!$Z$39*'TUSD BE'!$Z$58</f>
        <v>0</v>
      </c>
      <c r="AA39" s="25">
        <f>'TUSD BE'!$AA$39*'TUSD BE'!$AA$58</f>
        <v>0</v>
      </c>
      <c r="AB39" s="25">
        <f>SUM($U$39:$AA$39)</f>
        <v>81.55042660324915</v>
      </c>
      <c r="AC39" s="25">
        <f>'TUSD BE'!$AC$39*'TUSD BE'!$AC$58</f>
        <v>-200.54322667664286</v>
      </c>
      <c r="AD39" s="25">
        <f>SUM($AC$39:$AC$39)</f>
        <v>-200.54322667664286</v>
      </c>
      <c r="AE39" s="25">
        <f ca="1">$AO$39*$AO$55</f>
        <v>0</v>
      </c>
      <c r="AF39" s="25">
        <f ca="1">$AP$39*$AP$55</f>
        <v>0</v>
      </c>
      <c r="AG39" s="25">
        <f ca="1">SUM($AE$39:$AF$39)</f>
        <v>0</v>
      </c>
      <c r="AH39" s="25">
        <f>'TUSD BE'!$AH$39*'TUSD BE'!$AH$58</f>
        <v>7.0359185763695784</v>
      </c>
      <c r="AI39" s="25">
        <f>'TUSD BE'!$AI$39*'TUSD BE'!$AI$58</f>
        <v>0</v>
      </c>
      <c r="AJ39" s="25">
        <f ca="1">'TUSD BE'!$AJ$39*'TUSD BE'!$AJ$58</f>
        <v>3.8379547958797655</v>
      </c>
      <c r="AK39" s="25">
        <f ca="1">'TUSD BE'!$AK$39*'TUSD BE'!$AK$58</f>
        <v>0</v>
      </c>
      <c r="AL39" s="25">
        <f ca="1">SUM($AH$39:$AK$39)</f>
        <v>10.873873372249344</v>
      </c>
      <c r="AM39" s="25">
        <f ca="1">SUMIF($L$4:$AL$4,"SUBTOTAL",$L$39:$AL$39)</f>
        <v>-108.30678254107001</v>
      </c>
      <c r="AO39" s="30">
        <f ca="1">+'TUSD BE'!$T$39+'TUSD BE'!$AB$39+'TUSD BE'!$AD$39+'TUSD BE'!$AL$39</f>
        <v>1544.3834899046374</v>
      </c>
      <c r="AP39" s="30">
        <f ca="1">+'TUSD BE'!$T$39+'TUSD BE'!$AB$39+'TUSD BE'!$AD$39+'TUSD BE'!$AL$39</f>
        <v>1544.3834899046374</v>
      </c>
    </row>
    <row r="40" spans="1:42" ht="11.25" customHeight="1" x14ac:dyDescent="0.3">
      <c r="A40" s="120"/>
      <c r="B40" s="120"/>
      <c r="C40" s="120"/>
      <c r="D40" s="120"/>
      <c r="E40" s="120"/>
      <c r="F40" s="120"/>
      <c r="G40" s="21" t="s">
        <v>74</v>
      </c>
      <c r="H40" s="21" t="s">
        <v>72</v>
      </c>
      <c r="I40" s="21">
        <f>'MERCADO TUSD'!$U$37</f>
        <v>0</v>
      </c>
      <c r="J40" s="17"/>
      <c r="L40" s="25">
        <f>'TUSD BE'!$L$40*'TUSD BE'!$L$58</f>
        <v>0</v>
      </c>
      <c r="M40" s="25">
        <f>'TUSD BE'!$M$40*'TUSD BE'!$M$58</f>
        <v>-2.6326667105823032E-2</v>
      </c>
      <c r="N40" s="25">
        <f ca="1">'TUSD BE'!$N$40*'TUSD BE'!$N$58</f>
        <v>0</v>
      </c>
      <c r="O40" s="25">
        <f>'TUSD BE'!$O$40*'TUSD BE'!$O$58</f>
        <v>0</v>
      </c>
      <c r="P40" s="25">
        <f>'TUSD BE'!$P$40*'TUSD BE'!$P$58</f>
        <v>0</v>
      </c>
      <c r="Q40" s="25">
        <f>'TUSD BE'!$Q$40*'TUSD BE'!$Q$58</f>
        <v>-0.15467022078565557</v>
      </c>
      <c r="R40" s="25">
        <f>'TUSD BE'!$R$40*'TUSD BE'!$R$58</f>
        <v>-6.8589520341706981E-3</v>
      </c>
      <c r="S40" s="25">
        <f>'TUSD BE'!$R$40*'TUSD BE'!$S$58</f>
        <v>0</v>
      </c>
      <c r="T40" s="25">
        <f ca="1">SUM($L$40:$S$40)</f>
        <v>-0.1878558399256493</v>
      </c>
      <c r="U40" s="25">
        <f>'TUSD BE'!$U$40*'TUSD BE'!$U$58</f>
        <v>0</v>
      </c>
      <c r="V40" s="25">
        <f>'TUSD BE'!$V$40*'TUSD BE'!$V$58</f>
        <v>0</v>
      </c>
      <c r="W40" s="25">
        <f>'TUSD BE'!$W$40*'TUSD BE'!$W$58</f>
        <v>0</v>
      </c>
      <c r="X40" s="25">
        <f>'TUSD BE'!$X$40*'TUSD BE'!$X$58</f>
        <v>0</v>
      </c>
      <c r="Y40" s="25">
        <f>'TUSD BE'!$Y$40*'TUSD BE'!$Y$58</f>
        <v>27.183376578181868</v>
      </c>
      <c r="Z40" s="25">
        <f>'TUSD BE'!$Z$40*'TUSD BE'!$Z$58</f>
        <v>0</v>
      </c>
      <c r="AA40" s="25">
        <f>'TUSD BE'!$AA$40*'TUSD BE'!$AA$58</f>
        <v>0</v>
      </c>
      <c r="AB40" s="25">
        <f>SUM($U$40:$AA$40)</f>
        <v>27.183376578181868</v>
      </c>
      <c r="AC40" s="25">
        <f>'TUSD BE'!$AC$40*'TUSD BE'!$AC$58</f>
        <v>-66.84774222554762</v>
      </c>
      <c r="AD40" s="25">
        <f>SUM($AC$40:$AC$40)</f>
        <v>-66.84774222554762</v>
      </c>
      <c r="AE40" s="25">
        <f ca="1">$AO$40*$AO$55</f>
        <v>0</v>
      </c>
      <c r="AF40" s="25">
        <f ca="1">$AP$40*$AP$55</f>
        <v>0</v>
      </c>
      <c r="AG40" s="25">
        <f ca="1">SUM($AE$40:$AF$40)</f>
        <v>0</v>
      </c>
      <c r="AH40" s="25">
        <f>'TUSD BE'!$AH$40*'TUSD BE'!$AH$58</f>
        <v>7.0359185763695784</v>
      </c>
      <c r="AI40" s="25">
        <f>'TUSD BE'!$AI$40*'TUSD BE'!$AI$58</f>
        <v>0</v>
      </c>
      <c r="AJ40" s="25">
        <f ca="1">'TUSD BE'!$AJ$40*'TUSD BE'!$AJ$58</f>
        <v>3.8379547958797655</v>
      </c>
      <c r="AK40" s="25">
        <f ca="1">'TUSD BE'!$AK$40*'TUSD BE'!$AK$58</f>
        <v>0</v>
      </c>
      <c r="AL40" s="25">
        <f ca="1">SUM($AH$40:$AK$40)</f>
        <v>10.873873372249344</v>
      </c>
      <c r="AM40" s="25">
        <f ca="1">SUMIF($L$4:$AL$4,"SUBTOTAL",$L$40:$AL$40)</f>
        <v>-28.97834811504206</v>
      </c>
      <c r="AO40" s="30">
        <f ca="1">+'TUSD BE'!$T$40+'TUSD BE'!$AB$40+'TUSD BE'!$AD$40+'TUSD BE'!$AL$40</f>
        <v>621.87564289178829</v>
      </c>
      <c r="AP40" s="30">
        <f ca="1">+'TUSD BE'!$T$40+'TUSD BE'!$AB$40+'TUSD BE'!$AD$40+'TUSD BE'!$AL$40</f>
        <v>621.87564289178829</v>
      </c>
    </row>
    <row r="41" spans="1:42" ht="11.25" customHeight="1" x14ac:dyDescent="0.3">
      <c r="A41" s="120"/>
      <c r="B41" s="28" t="s">
        <v>23</v>
      </c>
      <c r="C41" s="28" t="s">
        <v>44</v>
      </c>
      <c r="D41" s="28" t="s">
        <v>89</v>
      </c>
      <c r="E41" s="28" t="s">
        <v>25</v>
      </c>
      <c r="F41" s="28" t="s">
        <v>25</v>
      </c>
      <c r="G41" s="21" t="s">
        <v>76</v>
      </c>
      <c r="H41" s="21" t="s">
        <v>72</v>
      </c>
      <c r="I41" s="21">
        <f>'MERCADO TUSD'!$U$38</f>
        <v>0</v>
      </c>
      <c r="J41" s="17"/>
      <c r="L41" s="25">
        <f>'TUSD BE'!$L$41*'TUSD BE'!$L$58</f>
        <v>0</v>
      </c>
      <c r="M41" s="25">
        <f>'TUSD BE'!$M$41*'TUSD BE'!$M$58</f>
        <v>-2.6326667105823032E-2</v>
      </c>
      <c r="N41" s="25">
        <f ca="1">'TUSD BE'!$N$41*'TUSD BE'!$N$58</f>
        <v>0</v>
      </c>
      <c r="O41" s="25">
        <f>'TUSD BE'!$O$41*'TUSD BE'!$O$58</f>
        <v>0</v>
      </c>
      <c r="P41" s="25">
        <f>'TUSD BE'!$P$41*'TUSD BE'!$P$58</f>
        <v>0</v>
      </c>
      <c r="Q41" s="25">
        <f>'TUSD BE'!$Q$41*'TUSD BE'!$Q$58</f>
        <v>-0.15467022078565557</v>
      </c>
      <c r="R41" s="25">
        <f>'TUSD BE'!$R$41*'TUSD BE'!$R$58</f>
        <v>-6.8589520341706981E-3</v>
      </c>
      <c r="S41" s="25">
        <f>'TUSD BE'!$R$41*'TUSD BE'!$S$58</f>
        <v>0</v>
      </c>
      <c r="T41" s="25">
        <f ca="1">SUM($L$41:$S$41)</f>
        <v>-0.1878558399256493</v>
      </c>
      <c r="U41" s="25">
        <f>'TUSD BE'!$U$41*'TUSD BE'!$U$58</f>
        <v>0</v>
      </c>
      <c r="V41" s="25">
        <f>'TUSD BE'!$V$41*'TUSD BE'!$V$58</f>
        <v>0</v>
      </c>
      <c r="W41" s="25">
        <f>'TUSD BE'!$W$41*'TUSD BE'!$W$58</f>
        <v>0</v>
      </c>
      <c r="X41" s="25">
        <f>'TUSD BE'!$X$41*'TUSD BE'!$X$58</f>
        <v>0</v>
      </c>
      <c r="Y41" s="25">
        <f>'TUSD BE'!$Y$41*'TUSD BE'!$Y$58</f>
        <v>52.275906877244239</v>
      </c>
      <c r="Z41" s="25">
        <f>'TUSD BE'!$Z$41*'TUSD BE'!$Z$58</f>
        <v>0</v>
      </c>
      <c r="AA41" s="25">
        <f>'TUSD BE'!$AA$41*'TUSD BE'!$AA$58</f>
        <v>0</v>
      </c>
      <c r="AB41" s="25">
        <f>SUM($U$41:$AA$41)</f>
        <v>52.275906877244239</v>
      </c>
      <c r="AC41" s="25">
        <f>'TUSD BE'!$AC$41*'TUSD BE'!$AC$58</f>
        <v>-128.55337026683867</v>
      </c>
      <c r="AD41" s="25">
        <f>SUM($AC$41:$AC$41)</f>
        <v>-128.55337026683867</v>
      </c>
      <c r="AE41" s="25">
        <f ca="1">$AO$41*$AO$55</f>
        <v>0</v>
      </c>
      <c r="AF41" s="25">
        <f ca="1">$AP$41*$AP$55</f>
        <v>0</v>
      </c>
      <c r="AG41" s="25">
        <f ca="1">SUM($AE$41:$AF$41)</f>
        <v>0</v>
      </c>
      <c r="AH41" s="25">
        <f>'TUSD BE'!$AH$41*'TUSD BE'!$AH$58</f>
        <v>7.0359185763695784</v>
      </c>
      <c r="AI41" s="25">
        <f>'TUSD BE'!$AI$41*'TUSD BE'!$AI$58</f>
        <v>0</v>
      </c>
      <c r="AJ41" s="25">
        <f ca="1">'TUSD BE'!$AJ$41*'TUSD BE'!$AJ$58</f>
        <v>3.8379547958797655</v>
      </c>
      <c r="AK41" s="25">
        <f ca="1">'TUSD BE'!$AK$41*'TUSD BE'!$AK$58</f>
        <v>0</v>
      </c>
      <c r="AL41" s="25">
        <f ca="1">SUM($AH$41:$AK$41)</f>
        <v>10.873873372249344</v>
      </c>
      <c r="AM41" s="25">
        <f ca="1">SUMIF($L$4:$AL$4,"SUBTOTAL",$L$41:$AL$41)</f>
        <v>-65.591445857270728</v>
      </c>
      <c r="AO41" s="30">
        <f ca="1">+'TUSD BE'!$T$41+'TUSD BE'!$AB$41+'TUSD BE'!$AD$41+'TUSD BE'!$AL$41</f>
        <v>1047.6487845789259</v>
      </c>
      <c r="AP41" s="30">
        <f ca="1">+'TUSD BE'!$T$41+'TUSD BE'!$AB$41+'TUSD BE'!$AD$41+'TUSD BE'!$AL$41</f>
        <v>1047.6487845789259</v>
      </c>
    </row>
    <row r="42" spans="1:42" ht="11.25" customHeight="1" x14ac:dyDescent="0.3">
      <c r="A42" s="120"/>
      <c r="B42" s="120" t="s">
        <v>87</v>
      </c>
      <c r="C42" s="120" t="s">
        <v>44</v>
      </c>
      <c r="D42" s="28" t="s">
        <v>25</v>
      </c>
      <c r="E42" s="28" t="s">
        <v>25</v>
      </c>
      <c r="F42" s="28" t="s">
        <v>25</v>
      </c>
      <c r="G42" s="21" t="s">
        <v>76</v>
      </c>
      <c r="H42" s="21" t="s">
        <v>72</v>
      </c>
      <c r="I42" s="21">
        <f>'MERCADO TUSD'!$U$39</f>
        <v>0</v>
      </c>
      <c r="J42" s="17"/>
      <c r="L42" s="25">
        <f>'TUSD BE'!$L$42*'TUSD BE'!$L$58</f>
        <v>0</v>
      </c>
      <c r="M42" s="25">
        <f>'TUSD BE'!$M$42*'TUSD BE'!$M$58</f>
        <v>-2.6326667105823032E-2</v>
      </c>
      <c r="N42" s="25">
        <f ca="1">'TUSD BE'!$N$42*'TUSD BE'!$N$58</f>
        <v>0</v>
      </c>
      <c r="O42" s="25">
        <f>'TUSD BE'!$O$42*'TUSD BE'!$O$58</f>
        <v>0</v>
      </c>
      <c r="P42" s="25">
        <f>'TUSD BE'!$P$42*'TUSD BE'!$P$58</f>
        <v>0</v>
      </c>
      <c r="Q42" s="25">
        <f>'TUSD BE'!$Q$42*'TUSD BE'!$Q$58</f>
        <v>-0.15467022078565557</v>
      </c>
      <c r="R42" s="25">
        <f>'TUSD BE'!$R$42*'TUSD BE'!$R$58</f>
        <v>-6.8589520341706981E-3</v>
      </c>
      <c r="S42" s="25">
        <f>'TUSD BE'!$R$42*'TUSD BE'!$S$58</f>
        <v>0</v>
      </c>
      <c r="T42" s="25">
        <f ca="1">SUM($L$42:$S$42)</f>
        <v>-0.1878558399256493</v>
      </c>
      <c r="U42" s="25">
        <f>'TUSD BE'!$U$42*'TUSD BE'!$U$58</f>
        <v>0</v>
      </c>
      <c r="V42" s="25">
        <f>'TUSD BE'!$V$42*'TUSD BE'!$V$58</f>
        <v>0</v>
      </c>
      <c r="W42" s="25">
        <f>'TUSD BE'!$W$42*'TUSD BE'!$W$58</f>
        <v>0</v>
      </c>
      <c r="X42" s="25">
        <f>'TUSD BE'!$X$42*'TUSD BE'!$X$58</f>
        <v>0</v>
      </c>
      <c r="Y42" s="25">
        <f>'TUSD BE'!$Y$42*'TUSD BE'!$Y$58</f>
        <v>52.275906877244239</v>
      </c>
      <c r="Z42" s="25">
        <f>'TUSD BE'!$Z$42*'TUSD BE'!$Z$58</f>
        <v>0</v>
      </c>
      <c r="AA42" s="25">
        <f>'TUSD BE'!$AA$42*'TUSD BE'!$AA$58</f>
        <v>0</v>
      </c>
      <c r="AB42" s="25">
        <f>SUM($U$42:$AA$42)</f>
        <v>52.275906877244239</v>
      </c>
      <c r="AC42" s="25">
        <f>'TUSD BE'!$AC$42*'TUSD BE'!$AC$58</f>
        <v>-128.55337026683867</v>
      </c>
      <c r="AD42" s="25">
        <f>SUM($AC$42:$AC$42)</f>
        <v>-128.55337026683867</v>
      </c>
      <c r="AE42" s="25">
        <f ca="1">$AO$42*$AO$55</f>
        <v>0</v>
      </c>
      <c r="AF42" s="25">
        <f ca="1">$AP$42*$AP$55</f>
        <v>0</v>
      </c>
      <c r="AG42" s="25">
        <f ca="1">SUM($AE$42:$AF$42)</f>
        <v>0</v>
      </c>
      <c r="AH42" s="25">
        <f>'TUSD BE'!$AH$42*'TUSD BE'!$AH$58</f>
        <v>7.0359185763695784</v>
      </c>
      <c r="AI42" s="25">
        <f>'TUSD BE'!$AI$42*'TUSD BE'!$AI$58</f>
        <v>0</v>
      </c>
      <c r="AJ42" s="25">
        <f ca="1">'TUSD BE'!$AJ$42*'TUSD BE'!$AJ$58</f>
        <v>3.8379547958797655</v>
      </c>
      <c r="AK42" s="25">
        <f ca="1">'TUSD BE'!$AK$42*'TUSD BE'!$AK$58</f>
        <v>0</v>
      </c>
      <c r="AL42" s="25">
        <f ca="1">SUM($AH$42:$AK$42)</f>
        <v>10.873873372249344</v>
      </c>
      <c r="AM42" s="25">
        <f ca="1">SUMIF($L$4:$AL$4,"SUBTOTAL",$L$42:$AL$42)</f>
        <v>-65.591445857270728</v>
      </c>
      <c r="AO42" s="30">
        <f ca="1">+'TUSD BE'!$T$42+'TUSD BE'!$AB$42+'TUSD BE'!$AD$42+'TUSD BE'!$AL$42</f>
        <v>1047.6487845789259</v>
      </c>
      <c r="AP42" s="30">
        <f ca="1">+'TUSD BE'!$T$42+'TUSD BE'!$AB$42+'TUSD BE'!$AD$42+'TUSD BE'!$AL$42</f>
        <v>1047.6487845789259</v>
      </c>
    </row>
    <row r="43" spans="1:42" ht="11.25" customHeight="1" x14ac:dyDescent="0.3">
      <c r="A43" s="120"/>
      <c r="B43" s="120"/>
      <c r="C43" s="120"/>
      <c r="D43" s="28" t="s">
        <v>88</v>
      </c>
      <c r="E43" s="28" t="s">
        <v>25</v>
      </c>
      <c r="F43" s="28" t="s">
        <v>25</v>
      </c>
      <c r="G43" s="21" t="s">
        <v>76</v>
      </c>
      <c r="H43" s="21" t="s">
        <v>72</v>
      </c>
      <c r="I43" s="21">
        <f>'MERCADO TUSD'!$U$40</f>
        <v>0</v>
      </c>
      <c r="J43" s="17"/>
      <c r="L43" s="25">
        <f>'TUSD BE'!$L$43*'TUSD BE'!$L$58</f>
        <v>0</v>
      </c>
      <c r="M43" s="25">
        <f>'TUSD BE'!$M$43*'TUSD BE'!$M$58</f>
        <v>-2.6326667105823032E-2</v>
      </c>
      <c r="N43" s="25">
        <f ca="1">'TUSD BE'!$N$43*'TUSD BE'!$N$58</f>
        <v>0</v>
      </c>
      <c r="O43" s="25">
        <f>'TUSD BE'!$O$43*'TUSD BE'!$O$58</f>
        <v>0</v>
      </c>
      <c r="P43" s="25">
        <f>'TUSD BE'!$P$43*'TUSD BE'!$P$58</f>
        <v>0</v>
      </c>
      <c r="Q43" s="25">
        <f>'TUSD BE'!$Q$43*'TUSD BE'!$Q$58</f>
        <v>-0.15467022078565557</v>
      </c>
      <c r="R43" s="25">
        <f>'TUSD BE'!$R$43*'TUSD BE'!$R$58</f>
        <v>-6.8589520341706981E-3</v>
      </c>
      <c r="S43" s="25">
        <f>'TUSD BE'!$R$43*'TUSD BE'!$S$58</f>
        <v>0</v>
      </c>
      <c r="T43" s="25">
        <f ca="1">SUM($L$43:$S$43)</f>
        <v>-0.1878558399256493</v>
      </c>
      <c r="U43" s="25">
        <f>'TUSD BE'!$U$43*'TUSD BE'!$U$58</f>
        <v>0</v>
      </c>
      <c r="V43" s="25">
        <f>'TUSD BE'!$V$43*'TUSD BE'!$V$58</f>
        <v>0</v>
      </c>
      <c r="W43" s="25">
        <f>'TUSD BE'!$W$43*'TUSD BE'!$W$58</f>
        <v>0</v>
      </c>
      <c r="X43" s="25">
        <f>'TUSD BE'!$X$43*'TUSD BE'!$X$58</f>
        <v>0</v>
      </c>
      <c r="Y43" s="25">
        <f>'TUSD BE'!$Y$43*'TUSD BE'!$Y$58</f>
        <v>52.275906877244239</v>
      </c>
      <c r="Z43" s="25">
        <f>'TUSD BE'!$Z$43*'TUSD BE'!$Z$58</f>
        <v>0</v>
      </c>
      <c r="AA43" s="25">
        <f>'TUSD BE'!$AA$43*'TUSD BE'!$AA$58</f>
        <v>0</v>
      </c>
      <c r="AB43" s="25">
        <f>SUM($U$43:$AA$43)</f>
        <v>52.275906877244239</v>
      </c>
      <c r="AC43" s="25">
        <f>'TUSD BE'!$AC$43*'TUSD BE'!$AC$58</f>
        <v>-128.55337026683867</v>
      </c>
      <c r="AD43" s="25">
        <f>SUM($AC$43:$AC$43)</f>
        <v>-128.55337026683867</v>
      </c>
      <c r="AE43" s="25">
        <f ca="1">$AO$43*$AO$55</f>
        <v>0</v>
      </c>
      <c r="AF43" s="25">
        <f ca="1">$AP$43*$AP$55</f>
        <v>0</v>
      </c>
      <c r="AG43" s="25">
        <f ca="1">SUM($AE$43:$AF$43)</f>
        <v>0</v>
      </c>
      <c r="AH43" s="25">
        <f>'TUSD BE'!$AH$43*'TUSD BE'!$AH$58</f>
        <v>7.0359185763695784</v>
      </c>
      <c r="AI43" s="25">
        <f>'TUSD BE'!$AI$43*'TUSD BE'!$AI$58</f>
        <v>0</v>
      </c>
      <c r="AJ43" s="25">
        <f ca="1">'TUSD BE'!$AJ$43*'TUSD BE'!$AJ$58</f>
        <v>3.8379547958797655</v>
      </c>
      <c r="AK43" s="25">
        <f ca="1">'TUSD BE'!$AK$43*'TUSD BE'!$AK$58</f>
        <v>0</v>
      </c>
      <c r="AL43" s="25">
        <f ca="1">SUM($AH$43:$AK$43)</f>
        <v>10.873873372249344</v>
      </c>
      <c r="AM43" s="25">
        <f ca="1">SUMIF($L$4:$AL$4,"SUBTOTAL",$L$43:$AL$43)</f>
        <v>-65.591445857270728</v>
      </c>
      <c r="AO43" s="30">
        <f ca="1">+'TUSD BE'!$T$43+'TUSD BE'!$AB$43+'TUSD BE'!$AD$43+'TUSD BE'!$AL$43</f>
        <v>1047.6487845789259</v>
      </c>
      <c r="AP43" s="30">
        <f ca="1">+'TUSD BE'!$T$43+'TUSD BE'!$AB$43+'TUSD BE'!$AD$43+'TUSD BE'!$AL$43</f>
        <v>1047.6487845789259</v>
      </c>
    </row>
    <row r="44" spans="1:42" ht="11.25" customHeight="1" x14ac:dyDescent="0.3">
      <c r="A44" s="120"/>
      <c r="B44" s="120"/>
      <c r="C44" s="120"/>
      <c r="D44" s="28" t="s">
        <v>89</v>
      </c>
      <c r="E44" s="28" t="s">
        <v>25</v>
      </c>
      <c r="F44" s="28" t="s">
        <v>25</v>
      </c>
      <c r="G44" s="21" t="s">
        <v>76</v>
      </c>
      <c r="H44" s="21" t="s">
        <v>72</v>
      </c>
      <c r="I44" s="21">
        <f>'MERCADO TUSD'!$U$41</f>
        <v>0</v>
      </c>
      <c r="J44" s="17"/>
      <c r="L44" s="25">
        <f>'TUSD BE'!$L$44*'TUSD BE'!$L$58</f>
        <v>0</v>
      </c>
      <c r="M44" s="25">
        <f>'TUSD BE'!$M$44*'TUSD BE'!$M$58</f>
        <v>-2.6326667105823032E-2</v>
      </c>
      <c r="N44" s="25">
        <f ca="1">'TUSD BE'!$N$44*'TUSD BE'!$N$58</f>
        <v>0</v>
      </c>
      <c r="O44" s="25">
        <f>'TUSD BE'!$O$44*'TUSD BE'!$O$58</f>
        <v>0</v>
      </c>
      <c r="P44" s="25">
        <f>'TUSD BE'!$P$44*'TUSD BE'!$P$58</f>
        <v>0</v>
      </c>
      <c r="Q44" s="25">
        <f>'TUSD BE'!$Q$44*'TUSD BE'!$Q$58</f>
        <v>-0.15467022078565557</v>
      </c>
      <c r="R44" s="25">
        <f>'TUSD BE'!$R$44*'TUSD BE'!$R$58</f>
        <v>-6.8589520341706981E-3</v>
      </c>
      <c r="S44" s="25">
        <f>'TUSD BE'!$R$44*'TUSD BE'!$S$58</f>
        <v>0</v>
      </c>
      <c r="T44" s="25">
        <f ca="1">SUM($L$44:$S$44)</f>
        <v>-0.1878558399256493</v>
      </c>
      <c r="U44" s="25">
        <f>'TUSD BE'!$U$44*'TUSD BE'!$U$58</f>
        <v>0</v>
      </c>
      <c r="V44" s="25">
        <f>'TUSD BE'!$V$44*'TUSD BE'!$V$58</f>
        <v>0</v>
      </c>
      <c r="W44" s="25">
        <f>'TUSD BE'!$W$44*'TUSD BE'!$W$58</f>
        <v>0</v>
      </c>
      <c r="X44" s="25">
        <f>'TUSD BE'!$X$44*'TUSD BE'!$X$58</f>
        <v>0</v>
      </c>
      <c r="Y44" s="25">
        <f>'TUSD BE'!$Y$44*'TUSD BE'!$Y$58</f>
        <v>52.275906877244239</v>
      </c>
      <c r="Z44" s="25">
        <f>'TUSD BE'!$Z$44*'TUSD BE'!$Z$58</f>
        <v>0</v>
      </c>
      <c r="AA44" s="25">
        <f>'TUSD BE'!$AA$44*'TUSD BE'!$AA$58</f>
        <v>0</v>
      </c>
      <c r="AB44" s="25">
        <f>SUM($U$44:$AA$44)</f>
        <v>52.275906877244239</v>
      </c>
      <c r="AC44" s="25">
        <f>'TUSD BE'!$AC$44*'TUSD BE'!$AC$58</f>
        <v>-128.55337026683867</v>
      </c>
      <c r="AD44" s="25">
        <f>SUM($AC$44:$AC$44)</f>
        <v>-128.55337026683867</v>
      </c>
      <c r="AE44" s="25">
        <f ca="1">$AO$44*$AO$55</f>
        <v>0</v>
      </c>
      <c r="AF44" s="25">
        <f ca="1">$AP$44*$AP$55</f>
        <v>0</v>
      </c>
      <c r="AG44" s="25">
        <f ca="1">SUM($AE$44:$AF$44)</f>
        <v>0</v>
      </c>
      <c r="AH44" s="25">
        <f>'TUSD BE'!$AH$44*'TUSD BE'!$AH$58</f>
        <v>7.0359185763695784</v>
      </c>
      <c r="AI44" s="25">
        <f>'TUSD BE'!$AI$44*'TUSD BE'!$AI$58</f>
        <v>0</v>
      </c>
      <c r="AJ44" s="25">
        <f ca="1">'TUSD BE'!$AJ$44*'TUSD BE'!$AJ$58</f>
        <v>3.8379547958797655</v>
      </c>
      <c r="AK44" s="25">
        <f ca="1">'TUSD BE'!$AK$44*'TUSD BE'!$AK$58</f>
        <v>0</v>
      </c>
      <c r="AL44" s="25">
        <f ca="1">SUM($AH$44:$AK$44)</f>
        <v>10.873873372249344</v>
      </c>
      <c r="AM44" s="25">
        <f ca="1">SUMIF($L$4:$AL$4,"SUBTOTAL",$L$44:$AL$44)</f>
        <v>-65.591445857270728</v>
      </c>
      <c r="AO44" s="30">
        <f ca="1">+'TUSD BE'!$T$44+'TUSD BE'!$AB$44+'TUSD BE'!$AD$44+'TUSD BE'!$AL$44</f>
        <v>1047.6487845789259</v>
      </c>
      <c r="AP44" s="30">
        <f ca="1">+'TUSD BE'!$T$44+'TUSD BE'!$AB$44+'TUSD BE'!$AD$44+'TUSD BE'!$AL$44</f>
        <v>1047.6487845789259</v>
      </c>
    </row>
    <row r="45" spans="1:42" ht="11.25" customHeight="1" x14ac:dyDescent="0.3">
      <c r="A45" s="120" t="s">
        <v>35</v>
      </c>
      <c r="B45" s="120" t="s">
        <v>33</v>
      </c>
      <c r="C45" s="120" t="s">
        <v>25</v>
      </c>
      <c r="D45" s="120" t="s">
        <v>25</v>
      </c>
      <c r="E45" s="120" t="s">
        <v>25</v>
      </c>
      <c r="F45" s="120" t="s">
        <v>25</v>
      </c>
      <c r="G45" s="21" t="s">
        <v>73</v>
      </c>
      <c r="H45" s="21" t="s">
        <v>72</v>
      </c>
      <c r="I45" s="21">
        <f>'MERCADO TUSD'!$U$42</f>
        <v>0.38900000000000001</v>
      </c>
      <c r="J45" s="17"/>
      <c r="L45" s="25">
        <f>'TUSD BE'!$L$45*'TUSD BE'!$L$58</f>
        <v>0</v>
      </c>
      <c r="M45" s="25">
        <f>'TUSD BE'!$M$45*'TUSD BE'!$M$58</f>
        <v>-2.6326667105823032E-2</v>
      </c>
      <c r="N45" s="25">
        <f ca="1">'TUSD BE'!$N$45*'TUSD BE'!$N$58</f>
        <v>0</v>
      </c>
      <c r="O45" s="25">
        <f>'TUSD BE'!$O$45*'TUSD BE'!$O$58</f>
        <v>0</v>
      </c>
      <c r="P45" s="25">
        <f>'TUSD BE'!$P$45*'TUSD BE'!$P$58</f>
        <v>0</v>
      </c>
      <c r="Q45" s="25">
        <f>'TUSD BE'!$Q$45*'TUSD BE'!$Q$58</f>
        <v>-0.15467022078565557</v>
      </c>
      <c r="R45" s="25">
        <f>'TUSD BE'!$R$45*'TUSD BE'!$R$58</f>
        <v>-6.8589520341706981E-3</v>
      </c>
      <c r="S45" s="25">
        <f>'TUSD BE'!$R$45*'TUSD BE'!$S$58</f>
        <v>0</v>
      </c>
      <c r="T45" s="25">
        <f ca="1">SUM($L$45:$S$45)</f>
        <v>-0.1878558399256493</v>
      </c>
      <c r="U45" s="25">
        <f>'TUSD BE'!$U$45*'TUSD BE'!$U$58</f>
        <v>0</v>
      </c>
      <c r="V45" s="25">
        <f>'TUSD BE'!$V$45*'TUSD BE'!$V$58</f>
        <v>0</v>
      </c>
      <c r="W45" s="25">
        <f>'TUSD BE'!$W$45*'TUSD BE'!$W$58</f>
        <v>0</v>
      </c>
      <c r="X45" s="25">
        <f>'TUSD BE'!$X$45*'TUSD BE'!$X$58</f>
        <v>0</v>
      </c>
      <c r="Y45" s="25">
        <f>'TUSD BE'!$Y$45*'TUSD BE'!$Y$58</f>
        <v>159.44164956651153</v>
      </c>
      <c r="Z45" s="25">
        <f>'TUSD BE'!$Z$45*'TUSD BE'!$Z$58</f>
        <v>0</v>
      </c>
      <c r="AA45" s="25">
        <f>'TUSD BE'!$AA$45*'TUSD BE'!$AA$58</f>
        <v>0</v>
      </c>
      <c r="AB45" s="25">
        <f>SUM($U$45:$AA$45)</f>
        <v>159.44164956651153</v>
      </c>
      <c r="AC45" s="25">
        <f>'TUSD BE'!$AC$45*'TUSD BE'!$AC$58</f>
        <v>-392.08761172422004</v>
      </c>
      <c r="AD45" s="25">
        <f>SUM($AC$45:$AC$45)</f>
        <v>-392.08761172422004</v>
      </c>
      <c r="AE45" s="25">
        <f ca="1">$AO$45*$AO$55</f>
        <v>0</v>
      </c>
      <c r="AF45" s="25">
        <f ca="1">$AP$45*$AP$55</f>
        <v>0</v>
      </c>
      <c r="AG45" s="25">
        <f ca="1">SUM($AE$45:$AF$45)</f>
        <v>0</v>
      </c>
      <c r="AH45" s="25">
        <f>'TUSD BE'!$AH$45*'TUSD BE'!$AH$58</f>
        <v>7.0359185763695784</v>
      </c>
      <c r="AI45" s="25">
        <f>'TUSD BE'!$AI$45*'TUSD BE'!$AI$58</f>
        <v>0</v>
      </c>
      <c r="AJ45" s="25">
        <f ca="1">'TUSD BE'!$AJ$45*'TUSD BE'!$AJ$58</f>
        <v>3.8379547958797655</v>
      </c>
      <c r="AK45" s="25">
        <f ca="1">'TUSD BE'!$AK$45*'TUSD BE'!$AK$58</f>
        <v>0</v>
      </c>
      <c r="AL45" s="25">
        <f ca="1">SUM($AH$45:$AK$45)</f>
        <v>10.873873372249344</v>
      </c>
      <c r="AM45" s="25">
        <f ca="1">SUMIF($L$4:$AL$4,"SUBTOTAL",$L$45:$AL$45)</f>
        <v>-221.95994462538482</v>
      </c>
      <c r="AO45" s="30">
        <f ca="1">+'TUSD BE'!$T$45+'TUSD BE'!$AB$45+'TUSD BE'!$AD$45+'TUSD BE'!$AL$45</f>
        <v>2866.0526963527213</v>
      </c>
      <c r="AP45" s="30">
        <f ca="1">+'TUSD BE'!$T$45+'TUSD BE'!$AB$45+'TUSD BE'!$AD$45+'TUSD BE'!$AL$45</f>
        <v>2866.0526963527213</v>
      </c>
    </row>
    <row r="46" spans="1:42" ht="11.25" customHeight="1" x14ac:dyDescent="0.3">
      <c r="A46" s="120"/>
      <c r="B46" s="120"/>
      <c r="C46" s="120"/>
      <c r="D46" s="120"/>
      <c r="E46" s="120"/>
      <c r="F46" s="120"/>
      <c r="G46" s="21" t="s">
        <v>85</v>
      </c>
      <c r="H46" s="21" t="s">
        <v>72</v>
      </c>
      <c r="I46" s="21">
        <f>'MERCADO TUSD'!$U$43</f>
        <v>0.23799999999999999</v>
      </c>
      <c r="J46" s="17"/>
      <c r="L46" s="25">
        <f>'TUSD BE'!$L$46*'TUSD BE'!$L$58</f>
        <v>0</v>
      </c>
      <c r="M46" s="25">
        <f>'TUSD BE'!$M$46*'TUSD BE'!$M$58</f>
        <v>-2.6326667105823032E-2</v>
      </c>
      <c r="N46" s="25">
        <f ca="1">'TUSD BE'!$N$46*'TUSD BE'!$N$58</f>
        <v>0</v>
      </c>
      <c r="O46" s="25">
        <f>'TUSD BE'!$O$46*'TUSD BE'!$O$58</f>
        <v>0</v>
      </c>
      <c r="P46" s="25">
        <f>'TUSD BE'!$P$46*'TUSD BE'!$P$58</f>
        <v>0</v>
      </c>
      <c r="Q46" s="25">
        <f>'TUSD BE'!$Q$46*'TUSD BE'!$Q$58</f>
        <v>-0.15467022078565557</v>
      </c>
      <c r="R46" s="25">
        <f>'TUSD BE'!$R$46*'TUSD BE'!$R$58</f>
        <v>-6.8589520341706981E-3</v>
      </c>
      <c r="S46" s="25">
        <f>'TUSD BE'!$R$46*'TUSD BE'!$S$58</f>
        <v>0</v>
      </c>
      <c r="T46" s="25">
        <f ca="1">SUM($L$46:$S$46)</f>
        <v>-0.1878558399256493</v>
      </c>
      <c r="U46" s="25">
        <f>'TUSD BE'!$U$46*'TUSD BE'!$U$58</f>
        <v>0</v>
      </c>
      <c r="V46" s="25">
        <f>'TUSD BE'!$V$46*'TUSD BE'!$V$58</f>
        <v>0</v>
      </c>
      <c r="W46" s="25">
        <f>'TUSD BE'!$W$46*'TUSD BE'!$W$58</f>
        <v>0</v>
      </c>
      <c r="X46" s="25">
        <f>'TUSD BE'!$X$46*'TUSD BE'!$X$58</f>
        <v>0</v>
      </c>
      <c r="Y46" s="25">
        <f>'TUSD BE'!$Y$46*'TUSD BE'!$Y$58</f>
        <v>95.665049113647626</v>
      </c>
      <c r="Z46" s="25">
        <f>'TUSD BE'!$Z$46*'TUSD BE'!$Z$58</f>
        <v>0</v>
      </c>
      <c r="AA46" s="25">
        <f>'TUSD BE'!$AA$46*'TUSD BE'!$AA$58</f>
        <v>0</v>
      </c>
      <c r="AB46" s="25">
        <f>SUM($U$46:$AA$46)</f>
        <v>95.665049113647626</v>
      </c>
      <c r="AC46" s="25">
        <f>'TUSD BE'!$AC$46*'TUSD BE'!$AC$58</f>
        <v>-235.25258766094899</v>
      </c>
      <c r="AD46" s="25">
        <f>SUM($AC$46:$AC$46)</f>
        <v>-235.25258766094899</v>
      </c>
      <c r="AE46" s="25">
        <f ca="1">$AO$46*$AO$55</f>
        <v>0</v>
      </c>
      <c r="AF46" s="25">
        <f ca="1">$AP$46*$AP$55</f>
        <v>0</v>
      </c>
      <c r="AG46" s="25">
        <f ca="1">SUM($AE$46:$AF$46)</f>
        <v>0</v>
      </c>
      <c r="AH46" s="25">
        <f>'TUSD BE'!$AH$46*'TUSD BE'!$AH$58</f>
        <v>7.0359185763695784</v>
      </c>
      <c r="AI46" s="25">
        <f>'TUSD BE'!$AI$46*'TUSD BE'!$AI$58</f>
        <v>0</v>
      </c>
      <c r="AJ46" s="25">
        <f ca="1">'TUSD BE'!$AJ$46*'TUSD BE'!$AJ$58</f>
        <v>3.8379547958797655</v>
      </c>
      <c r="AK46" s="25">
        <f ca="1">'TUSD BE'!$AK$46*'TUSD BE'!$AK$58</f>
        <v>0</v>
      </c>
      <c r="AL46" s="25">
        <f ca="1">SUM($AH$46:$AK$46)</f>
        <v>10.873873372249344</v>
      </c>
      <c r="AM46" s="25">
        <f ca="1">SUMIF($L$4:$AL$4,"SUBTOTAL",$L$46:$AL$46)</f>
        <v>-128.90152101497767</v>
      </c>
      <c r="AO46" s="30">
        <f ca="1">+'TUSD BE'!$T$46+'TUSD BE'!$AB$46+'TUSD BE'!$AD$46+'TUSD BE'!$AL$46</f>
        <v>1783.8808950272905</v>
      </c>
      <c r="AP46" s="30">
        <f ca="1">+'TUSD BE'!$T$46+'TUSD BE'!$AB$46+'TUSD BE'!$AD$46+'TUSD BE'!$AL$46</f>
        <v>1783.8808950272905</v>
      </c>
    </row>
    <row r="47" spans="1:42" ht="11.25" customHeight="1" x14ac:dyDescent="0.3">
      <c r="A47" s="120"/>
      <c r="B47" s="120"/>
      <c r="C47" s="120"/>
      <c r="D47" s="120"/>
      <c r="E47" s="120"/>
      <c r="F47" s="120"/>
      <c r="G47" s="21" t="s">
        <v>74</v>
      </c>
      <c r="H47" s="21" t="s">
        <v>72</v>
      </c>
      <c r="I47" s="21">
        <f>'MERCADO TUSD'!$U$44</f>
        <v>2.8279999999999998</v>
      </c>
      <c r="J47" s="17"/>
      <c r="L47" s="25">
        <f>'TUSD BE'!$L$47*'TUSD BE'!$L$58</f>
        <v>0</v>
      </c>
      <c r="M47" s="25">
        <f>'TUSD BE'!$M$47*'TUSD BE'!$M$58</f>
        <v>-2.6326667105823032E-2</v>
      </c>
      <c r="N47" s="25">
        <f ca="1">'TUSD BE'!$N$47*'TUSD BE'!$N$58</f>
        <v>0</v>
      </c>
      <c r="O47" s="25">
        <f>'TUSD BE'!$O$47*'TUSD BE'!$O$58</f>
        <v>0</v>
      </c>
      <c r="P47" s="25">
        <f>'TUSD BE'!$P$47*'TUSD BE'!$P$58</f>
        <v>0</v>
      </c>
      <c r="Q47" s="25">
        <f>'TUSD BE'!$Q$47*'TUSD BE'!$Q$58</f>
        <v>-0.15467022078565557</v>
      </c>
      <c r="R47" s="25">
        <f>'TUSD BE'!$R$47*'TUSD BE'!$R$58</f>
        <v>-6.8589520341706981E-3</v>
      </c>
      <c r="S47" s="25">
        <f>'TUSD BE'!$R$47*'TUSD BE'!$S$58</f>
        <v>0</v>
      </c>
      <c r="T47" s="25">
        <f ca="1">SUM($L$47:$S$47)</f>
        <v>-0.1878558399256493</v>
      </c>
      <c r="U47" s="25">
        <f>'TUSD BE'!$U$47*'TUSD BE'!$U$58</f>
        <v>0</v>
      </c>
      <c r="V47" s="25">
        <f>'TUSD BE'!$V$47*'TUSD BE'!$V$58</f>
        <v>0</v>
      </c>
      <c r="W47" s="25">
        <f>'TUSD BE'!$W$47*'TUSD BE'!$W$58</f>
        <v>0</v>
      </c>
      <c r="X47" s="25">
        <f>'TUSD BE'!$X$47*'TUSD BE'!$X$58</f>
        <v>0</v>
      </c>
      <c r="Y47" s="25">
        <f>'TUSD BE'!$Y$47*'TUSD BE'!$Y$58</f>
        <v>31.888448660783723</v>
      </c>
      <c r="Z47" s="25">
        <f>'TUSD BE'!$Z$47*'TUSD BE'!$Z$58</f>
        <v>0</v>
      </c>
      <c r="AA47" s="25">
        <f>'TUSD BE'!$AA$47*'TUSD BE'!$AA$58</f>
        <v>0</v>
      </c>
      <c r="AB47" s="25">
        <f>SUM($U$47:$AA$47)</f>
        <v>31.888448660783723</v>
      </c>
      <c r="AC47" s="25">
        <f>'TUSD BE'!$AC$47*'TUSD BE'!$AC$58</f>
        <v>-78.417512031635539</v>
      </c>
      <c r="AD47" s="25">
        <f>SUM($AC$47:$AC$47)</f>
        <v>-78.417512031635539</v>
      </c>
      <c r="AE47" s="25">
        <f ca="1">$AO$47*$AO$55</f>
        <v>0</v>
      </c>
      <c r="AF47" s="25">
        <f ca="1">$AP$47*$AP$55</f>
        <v>0</v>
      </c>
      <c r="AG47" s="25">
        <f ca="1">SUM($AE$47:$AF$47)</f>
        <v>0</v>
      </c>
      <c r="AH47" s="25">
        <f>'TUSD BE'!$AH$47*'TUSD BE'!$AH$58</f>
        <v>7.0359185763695784</v>
      </c>
      <c r="AI47" s="25">
        <f>'TUSD BE'!$AI$47*'TUSD BE'!$AI$58</f>
        <v>0</v>
      </c>
      <c r="AJ47" s="25">
        <f ca="1">'TUSD BE'!$AJ$47*'TUSD BE'!$AJ$58</f>
        <v>3.8379547958797655</v>
      </c>
      <c r="AK47" s="25">
        <f ca="1">'TUSD BE'!$AK$47*'TUSD BE'!$AK$58</f>
        <v>0</v>
      </c>
      <c r="AL47" s="25">
        <f ca="1">SUM($AH$47:$AK$47)</f>
        <v>10.873873372249344</v>
      </c>
      <c r="AM47" s="25">
        <f ca="1">SUMIF($L$4:$AL$4,"SUBTOTAL",$L$47:$AL$47)</f>
        <v>-35.84304583852812</v>
      </c>
      <c r="AO47" s="30">
        <f ca="1">+'TUSD BE'!$T$47+'TUSD BE'!$AB$47+'TUSD BE'!$AD$47+'TUSD BE'!$AL$47</f>
        <v>701.70882285248354</v>
      </c>
      <c r="AP47" s="30">
        <f ca="1">+'TUSD BE'!$T$47+'TUSD BE'!$AB$47+'TUSD BE'!$AD$47+'TUSD BE'!$AL$47</f>
        <v>701.70882285248354</v>
      </c>
    </row>
    <row r="48" spans="1:42" ht="11.25" customHeight="1" x14ac:dyDescent="0.3">
      <c r="A48" s="120"/>
      <c r="B48" s="28" t="s">
        <v>23</v>
      </c>
      <c r="C48" s="28" t="s">
        <v>25</v>
      </c>
      <c r="D48" s="28" t="s">
        <v>25</v>
      </c>
      <c r="E48" s="28" t="s">
        <v>25</v>
      </c>
      <c r="F48" s="28" t="s">
        <v>25</v>
      </c>
      <c r="G48" s="21" t="s">
        <v>76</v>
      </c>
      <c r="H48" s="21" t="s">
        <v>72</v>
      </c>
      <c r="I48" s="21">
        <f>'MERCADO TUSD'!$U$45</f>
        <v>1798.9960000000001</v>
      </c>
      <c r="J48" s="17"/>
      <c r="L48" s="25">
        <f>'TUSD BE'!$L$48*'TUSD BE'!$L$58</f>
        <v>0</v>
      </c>
      <c r="M48" s="25">
        <f>'TUSD BE'!$M$48*'TUSD BE'!$M$58</f>
        <v>-2.6326667105823032E-2</v>
      </c>
      <c r="N48" s="25">
        <f ca="1">'TUSD BE'!$N$48*'TUSD BE'!$N$58</f>
        <v>0</v>
      </c>
      <c r="O48" s="25">
        <f>'TUSD BE'!$O$48*'TUSD BE'!$O$58</f>
        <v>0</v>
      </c>
      <c r="P48" s="25">
        <f>'TUSD BE'!$P$48*'TUSD BE'!$P$58</f>
        <v>0</v>
      </c>
      <c r="Q48" s="25">
        <f>'TUSD BE'!$Q$48*'TUSD BE'!$Q$58</f>
        <v>-0.15467022078565557</v>
      </c>
      <c r="R48" s="25">
        <f>'TUSD BE'!$R$48*'TUSD BE'!$R$58</f>
        <v>-6.8589520341706981E-3</v>
      </c>
      <c r="S48" s="25">
        <f>'TUSD BE'!$R$48*'TUSD BE'!$S$58</f>
        <v>0</v>
      </c>
      <c r="T48" s="25">
        <f ca="1">SUM($L$48:$S$48)</f>
        <v>-0.1878558399256493</v>
      </c>
      <c r="U48" s="25">
        <f>'TUSD BE'!$U$48*'TUSD BE'!$U$58</f>
        <v>0</v>
      </c>
      <c r="V48" s="25">
        <f>'TUSD BE'!$V$48*'TUSD BE'!$V$58</f>
        <v>0</v>
      </c>
      <c r="W48" s="25">
        <f>'TUSD BE'!$W$48*'TUSD BE'!$W$58</f>
        <v>0</v>
      </c>
      <c r="X48" s="25">
        <f>'TUSD BE'!$X$48*'TUSD BE'!$X$58</f>
        <v>0</v>
      </c>
      <c r="Y48" s="25">
        <f>'TUSD BE'!$Y$48*'TUSD BE'!$Y$58</f>
        <v>52.275906877244239</v>
      </c>
      <c r="Z48" s="25">
        <f>'TUSD BE'!$Z$48*'TUSD BE'!$Z$58</f>
        <v>0</v>
      </c>
      <c r="AA48" s="25">
        <f>'TUSD BE'!$AA$48*'TUSD BE'!$AA$58</f>
        <v>0</v>
      </c>
      <c r="AB48" s="25">
        <f>SUM($U$48:$AA$48)</f>
        <v>52.275906877244239</v>
      </c>
      <c r="AC48" s="25">
        <f>'TUSD BE'!$AC$48*'TUSD BE'!$AC$58</f>
        <v>-128.55337026683867</v>
      </c>
      <c r="AD48" s="25">
        <f>SUM($AC$48:$AC$48)</f>
        <v>-128.55337026683867</v>
      </c>
      <c r="AE48" s="25">
        <f ca="1">$AO$48*$AO$55</f>
        <v>0</v>
      </c>
      <c r="AF48" s="25">
        <f ca="1">$AP$48*$AP$55</f>
        <v>0</v>
      </c>
      <c r="AG48" s="25">
        <f ca="1">SUM($AE$48:$AF$48)</f>
        <v>0</v>
      </c>
      <c r="AH48" s="25">
        <f>'TUSD BE'!$AH$48*'TUSD BE'!$AH$58</f>
        <v>7.0359185763695784</v>
      </c>
      <c r="AI48" s="25">
        <f>'TUSD BE'!$AI$48*'TUSD BE'!$AI$58</f>
        <v>0</v>
      </c>
      <c r="AJ48" s="25">
        <f ca="1">'TUSD BE'!$AJ$48*'TUSD BE'!$AJ$58</f>
        <v>3.8379547958797655</v>
      </c>
      <c r="AK48" s="25">
        <f ca="1">'TUSD BE'!$AK$48*'TUSD BE'!$AK$58</f>
        <v>0</v>
      </c>
      <c r="AL48" s="25">
        <f ca="1">SUM($AH$48:$AK$48)</f>
        <v>10.873873372249344</v>
      </c>
      <c r="AM48" s="25">
        <f ca="1">SUMIF($L$4:$AL$4,"SUBTOTAL",$L$48:$AL$48)</f>
        <v>-65.591445857270728</v>
      </c>
      <c r="AO48" s="30">
        <f ca="1">+'TUSD BE'!$T$48+'TUSD BE'!$AB$48+'TUSD BE'!$AD$48+'TUSD BE'!$AL$48</f>
        <v>1047.6487845789259</v>
      </c>
      <c r="AP48" s="30">
        <f ca="1">+'TUSD BE'!$T$48+'TUSD BE'!$AB$48+'TUSD BE'!$AD$48+'TUSD BE'!$AL$48</f>
        <v>1047.6487845789259</v>
      </c>
    </row>
    <row r="49" spans="1:42" ht="11.25" customHeight="1" x14ac:dyDescent="0.3">
      <c r="A49" s="120"/>
      <c r="B49" s="28" t="s">
        <v>87</v>
      </c>
      <c r="C49" s="28" t="s">
        <v>25</v>
      </c>
      <c r="D49" s="28" t="s">
        <v>25</v>
      </c>
      <c r="E49" s="28" t="s">
        <v>25</v>
      </c>
      <c r="F49" s="28" t="s">
        <v>25</v>
      </c>
      <c r="G49" s="21" t="s">
        <v>76</v>
      </c>
      <c r="H49" s="21" t="s">
        <v>72</v>
      </c>
      <c r="I49" s="21">
        <f>'MERCADO TUSD'!$U$46</f>
        <v>0</v>
      </c>
      <c r="J49" s="17"/>
      <c r="L49" s="25">
        <f>'TUSD BE'!$L$49*'TUSD BE'!$L$58</f>
        <v>0</v>
      </c>
      <c r="M49" s="25">
        <f>'TUSD BE'!$M$49*'TUSD BE'!$M$58</f>
        <v>-2.6326667105823032E-2</v>
      </c>
      <c r="N49" s="25">
        <f ca="1">'TUSD BE'!$N$49*'TUSD BE'!$N$58</f>
        <v>0</v>
      </c>
      <c r="O49" s="25">
        <f>'TUSD BE'!$O$49*'TUSD BE'!$O$58</f>
        <v>0</v>
      </c>
      <c r="P49" s="25">
        <f>'TUSD BE'!$P$49*'TUSD BE'!$P$58</f>
        <v>0</v>
      </c>
      <c r="Q49" s="25">
        <f>'TUSD BE'!$Q$49*'TUSD BE'!$Q$58</f>
        <v>-0.15467022078565557</v>
      </c>
      <c r="R49" s="25">
        <f>'TUSD BE'!$R$49*'TUSD BE'!$R$58</f>
        <v>-6.8589520341706981E-3</v>
      </c>
      <c r="S49" s="25">
        <f>'TUSD BE'!$R$49*'TUSD BE'!$S$58</f>
        <v>0</v>
      </c>
      <c r="T49" s="25">
        <f ca="1">SUM($L$49:$S$49)</f>
        <v>-0.1878558399256493</v>
      </c>
      <c r="U49" s="25">
        <f>'TUSD BE'!$U$49*'TUSD BE'!$U$58</f>
        <v>0</v>
      </c>
      <c r="V49" s="25">
        <f>'TUSD BE'!$V$49*'TUSD BE'!$V$58</f>
        <v>0</v>
      </c>
      <c r="W49" s="25">
        <f>'TUSD BE'!$W$49*'TUSD BE'!$W$58</f>
        <v>0</v>
      </c>
      <c r="X49" s="25">
        <f>'TUSD BE'!$X$49*'TUSD BE'!$X$58</f>
        <v>0</v>
      </c>
      <c r="Y49" s="25">
        <f>'TUSD BE'!$Y$49*'TUSD BE'!$Y$58</f>
        <v>52.275906877244239</v>
      </c>
      <c r="Z49" s="25">
        <f>'TUSD BE'!$Z$49*'TUSD BE'!$Z$58</f>
        <v>0</v>
      </c>
      <c r="AA49" s="25">
        <f>'TUSD BE'!$AA$49*'TUSD BE'!$AA$58</f>
        <v>0</v>
      </c>
      <c r="AB49" s="25">
        <f>SUM($U$49:$AA$49)</f>
        <v>52.275906877244239</v>
      </c>
      <c r="AC49" s="25">
        <f>'TUSD BE'!$AC$49*'TUSD BE'!$AC$58</f>
        <v>-128.55337026683867</v>
      </c>
      <c r="AD49" s="25">
        <f>SUM($AC$49:$AC$49)</f>
        <v>-128.55337026683867</v>
      </c>
      <c r="AE49" s="25">
        <f ca="1">$AO$49*$AO$55</f>
        <v>0</v>
      </c>
      <c r="AF49" s="25">
        <f ca="1">$AP$49*$AP$55</f>
        <v>0</v>
      </c>
      <c r="AG49" s="25">
        <f ca="1">SUM($AE$49:$AF$49)</f>
        <v>0</v>
      </c>
      <c r="AH49" s="25">
        <f>'TUSD BE'!$AH$49*'TUSD BE'!$AH$58</f>
        <v>7.0359185763695784</v>
      </c>
      <c r="AI49" s="25">
        <f>'TUSD BE'!$AI$49*'TUSD BE'!$AI$58</f>
        <v>0</v>
      </c>
      <c r="AJ49" s="25">
        <f ca="1">'TUSD BE'!$AJ$49*'TUSD BE'!$AJ$58</f>
        <v>3.8379547958797655</v>
      </c>
      <c r="AK49" s="25">
        <f ca="1">'TUSD BE'!$AK$49*'TUSD BE'!$AK$58</f>
        <v>0</v>
      </c>
      <c r="AL49" s="25">
        <f ca="1">SUM($AH$49:$AK$49)</f>
        <v>10.873873372249344</v>
      </c>
      <c r="AM49" s="25">
        <f ca="1">SUMIF($L$4:$AL$4,"SUBTOTAL",$L$49:$AL$49)</f>
        <v>-65.591445857270728</v>
      </c>
      <c r="AO49" s="30">
        <f ca="1">+'TUSD BE'!$T$49+'TUSD BE'!$AB$49+'TUSD BE'!$AD$49+'TUSD BE'!$AL$49</f>
        <v>1047.6487845789259</v>
      </c>
      <c r="AP49" s="30">
        <f ca="1">+'TUSD BE'!$T$49+'TUSD BE'!$AB$49+'TUSD BE'!$AD$49+'TUSD BE'!$AL$49</f>
        <v>1047.6487845789259</v>
      </c>
    </row>
    <row r="50" spans="1:42" ht="11.25" customHeight="1" x14ac:dyDescent="0.3">
      <c r="A50" s="120" t="s">
        <v>46</v>
      </c>
      <c r="B50" s="120" t="s">
        <v>23</v>
      </c>
      <c r="C50" s="120" t="s">
        <v>47</v>
      </c>
      <c r="D50" s="28" t="s">
        <v>48</v>
      </c>
      <c r="E50" s="28" t="s">
        <v>25</v>
      </c>
      <c r="F50" s="28" t="s">
        <v>25</v>
      </c>
      <c r="G50" s="21" t="s">
        <v>76</v>
      </c>
      <c r="H50" s="21" t="s">
        <v>72</v>
      </c>
      <c r="I50" s="21">
        <f>'MERCADO TUSD'!$U$47</f>
        <v>3164.4159999999997</v>
      </c>
      <c r="J50" s="17"/>
      <c r="L50" s="25">
        <f>'TUSD BE'!$L$50*'TUSD BE'!$L$58</f>
        <v>0</v>
      </c>
      <c r="M50" s="25">
        <f>'TUSD BE'!$M$50*'TUSD BE'!$M$58</f>
        <v>-1.447966690820267E-2</v>
      </c>
      <c r="N50" s="25">
        <f ca="1">'TUSD BE'!$N$50*'TUSD BE'!$N$58</f>
        <v>0</v>
      </c>
      <c r="O50" s="25">
        <f>'TUSD BE'!$O$50*'TUSD BE'!$O$58</f>
        <v>0</v>
      </c>
      <c r="P50" s="25">
        <f>'TUSD BE'!$P$50*'TUSD BE'!$P$58</f>
        <v>0</v>
      </c>
      <c r="Q50" s="25">
        <f>'TUSD BE'!$Q$50*'TUSD BE'!$Q$58</f>
        <v>-8.5068621432110567E-2</v>
      </c>
      <c r="R50" s="25">
        <f>'TUSD BE'!$R$50*'TUSD BE'!$R$58</f>
        <v>-3.7724236187938842E-3</v>
      </c>
      <c r="S50" s="25">
        <f>'TUSD BE'!$R$50*'TUSD BE'!$S$58</f>
        <v>0</v>
      </c>
      <c r="T50" s="25">
        <f ca="1">SUM($L$50:$S$50)</f>
        <v>-0.10332071195910712</v>
      </c>
      <c r="U50" s="25">
        <f>'TUSD BE'!$U$50*'TUSD BE'!$U$58</f>
        <v>0</v>
      </c>
      <c r="V50" s="25">
        <f>'TUSD BE'!$V$50*'TUSD BE'!$V$58</f>
        <v>0</v>
      </c>
      <c r="W50" s="25">
        <f>'TUSD BE'!$W$50*'TUSD BE'!$W$58</f>
        <v>0</v>
      </c>
      <c r="X50" s="25">
        <f>'TUSD BE'!$X$50*'TUSD BE'!$X$58</f>
        <v>0</v>
      </c>
      <c r="Y50" s="25">
        <f>'TUSD BE'!$Y$50*'TUSD BE'!$Y$58</f>
        <v>28.751748782484338</v>
      </c>
      <c r="Z50" s="25">
        <f>'TUSD BE'!$Z$50*'TUSD BE'!$Z$58</f>
        <v>0</v>
      </c>
      <c r="AA50" s="25">
        <f>'TUSD BE'!$AA$50*'TUSD BE'!$AA$58</f>
        <v>0</v>
      </c>
      <c r="AB50" s="25">
        <f>SUM($U$50:$AA$50)</f>
        <v>28.751748782484338</v>
      </c>
      <c r="AC50" s="25">
        <f>'TUSD BE'!$AC$50*'TUSD BE'!$AC$58</f>
        <v>-70.704353646761277</v>
      </c>
      <c r="AD50" s="25">
        <f>SUM($AC$50:$AC$50)</f>
        <v>-70.704353646761277</v>
      </c>
      <c r="AE50" s="25">
        <f ca="1">$AO$50*$AO$55</f>
        <v>0</v>
      </c>
      <c r="AF50" s="25">
        <f ca="1">$AP$50*$AP$55</f>
        <v>0</v>
      </c>
      <c r="AG50" s="25">
        <f ca="1">SUM($AE$50:$AF$50)</f>
        <v>0</v>
      </c>
      <c r="AH50" s="25">
        <f>'TUSD BE'!$AH$50*'TUSD BE'!$AH$58</f>
        <v>3.8697552170032683</v>
      </c>
      <c r="AI50" s="25">
        <f>'TUSD BE'!$AI$50*'TUSD BE'!$AI$58</f>
        <v>0</v>
      </c>
      <c r="AJ50" s="25">
        <f ca="1">'TUSD BE'!$AJ$50*'TUSD BE'!$AJ$58</f>
        <v>2.110875137733871</v>
      </c>
      <c r="AK50" s="25">
        <f ca="1">'TUSD BE'!$AK$50*'TUSD BE'!$AK$58</f>
        <v>0</v>
      </c>
      <c r="AL50" s="25">
        <f ca="1">SUM($AH$50:$AK$50)</f>
        <v>5.9806303547371389</v>
      </c>
      <c r="AM50" s="25">
        <f ca="1">SUMIF($L$4:$AL$4,"SUBTOTAL",$L$50:$AL$50)</f>
        <v>-36.075295221498912</v>
      </c>
      <c r="AO50" s="30">
        <f ca="1">+'TUSD BE'!$T$50+'TUSD BE'!$AB$50+'TUSD BE'!$AD$50+'TUSD BE'!$AL$50</f>
        <v>576.20683151840933</v>
      </c>
      <c r="AP50" s="30">
        <f ca="1">+'TUSD BE'!$T$50+'TUSD BE'!$AB$50+'TUSD BE'!$AD$50+'TUSD BE'!$AL$50</f>
        <v>576.20683151840933</v>
      </c>
    </row>
    <row r="51" spans="1:42" ht="11.25" customHeight="1" x14ac:dyDescent="0.3">
      <c r="A51" s="120"/>
      <c r="B51" s="120"/>
      <c r="C51" s="120"/>
      <c r="D51" s="21" t="s">
        <v>90</v>
      </c>
      <c r="E51" s="21" t="s">
        <v>25</v>
      </c>
      <c r="F51" s="21" t="s">
        <v>25</v>
      </c>
      <c r="G51" s="21" t="s">
        <v>76</v>
      </c>
      <c r="H51" s="21" t="s">
        <v>72</v>
      </c>
      <c r="I51" s="21">
        <f>'MERCADO TUSD'!$U$48</f>
        <v>0</v>
      </c>
      <c r="J51" s="17"/>
      <c r="L51" s="25">
        <f>'TUSD BE'!$L$51*'TUSD BE'!$L$58</f>
        <v>0</v>
      </c>
      <c r="M51" s="25">
        <f>'TUSD BE'!$M$51*'TUSD BE'!$M$58</f>
        <v>-1.5796000263493818E-2</v>
      </c>
      <c r="N51" s="25">
        <f ca="1">'TUSD BE'!$N$51*'TUSD BE'!$N$58</f>
        <v>0</v>
      </c>
      <c r="O51" s="25">
        <f>'TUSD BE'!$O$51*'TUSD BE'!$O$58</f>
        <v>0</v>
      </c>
      <c r="P51" s="25">
        <f>'TUSD BE'!$P$51*'TUSD BE'!$P$58</f>
        <v>0</v>
      </c>
      <c r="Q51" s="25">
        <f>'TUSD BE'!$Q$51*'TUSD BE'!$Q$58</f>
        <v>-9.280213247139335E-2</v>
      </c>
      <c r="R51" s="25">
        <f>'TUSD BE'!$R$51*'TUSD BE'!$R$58</f>
        <v>-4.1153712205024189E-3</v>
      </c>
      <c r="S51" s="25">
        <f>'TUSD BE'!$R$51*'TUSD BE'!$S$58</f>
        <v>0</v>
      </c>
      <c r="T51" s="25">
        <f ca="1">SUM($L$51:$S$51)</f>
        <v>-0.11271350395538958</v>
      </c>
      <c r="U51" s="25">
        <f>'TUSD BE'!$U$51*'TUSD BE'!$U$58</f>
        <v>0</v>
      </c>
      <c r="V51" s="25">
        <f>'TUSD BE'!$V$51*'TUSD BE'!$V$58</f>
        <v>0</v>
      </c>
      <c r="W51" s="25">
        <f>'TUSD BE'!$W$51*'TUSD BE'!$W$58</f>
        <v>0</v>
      </c>
      <c r="X51" s="25">
        <f>'TUSD BE'!$X$51*'TUSD BE'!$X$58</f>
        <v>0</v>
      </c>
      <c r="Y51" s="25">
        <f>'TUSD BE'!$Y$51*'TUSD BE'!$Y$58</f>
        <v>31.365544126346546</v>
      </c>
      <c r="Z51" s="25">
        <f>'TUSD BE'!$Z$51*'TUSD BE'!$Z$58</f>
        <v>0</v>
      </c>
      <c r="AA51" s="25">
        <f>'TUSD BE'!$AA$51*'TUSD BE'!$AA$58</f>
        <v>0</v>
      </c>
      <c r="AB51" s="25">
        <f>SUM($U$51:$AA$51)</f>
        <v>31.365544126346546</v>
      </c>
      <c r="AC51" s="25">
        <f>'TUSD BE'!$AC$51*'TUSD BE'!$AC$58</f>
        <v>-77.13202216010319</v>
      </c>
      <c r="AD51" s="25">
        <f>SUM($AC$51:$AC$51)</f>
        <v>-77.13202216010319</v>
      </c>
      <c r="AE51" s="25">
        <f ca="1">$AO$51*$AO$55</f>
        <v>0</v>
      </c>
      <c r="AF51" s="25">
        <f ca="1">$AP$51*$AP$55</f>
        <v>0</v>
      </c>
      <c r="AG51" s="25">
        <f ca="1">SUM($AE$51:$AF$51)</f>
        <v>0</v>
      </c>
      <c r="AH51" s="25">
        <f>'TUSD BE'!$AH$51*'TUSD BE'!$AH$58</f>
        <v>4.2215511458217465</v>
      </c>
      <c r="AI51" s="25">
        <f>'TUSD BE'!$AI$51*'TUSD BE'!$AI$58</f>
        <v>0</v>
      </c>
      <c r="AJ51" s="25">
        <f ca="1">'TUSD BE'!$AJ$51*'TUSD BE'!$AJ$58</f>
        <v>2.3027728775278593</v>
      </c>
      <c r="AK51" s="25">
        <f ca="1">'TUSD BE'!$AK$51*'TUSD BE'!$AK$58</f>
        <v>0</v>
      </c>
      <c r="AL51" s="25">
        <f ca="1">SUM($AH$51:$AK$51)</f>
        <v>6.5243240233496058</v>
      </c>
      <c r="AM51" s="25">
        <f ca="1">SUMIF($L$4:$AL$4,"SUBTOTAL",$L$51:$AL$51)</f>
        <v>-39.354867514362425</v>
      </c>
      <c r="AO51" s="30">
        <f ca="1">+'TUSD BE'!$T$51+'TUSD BE'!$AB$51+'TUSD BE'!$AD$51+'TUSD BE'!$AL$51</f>
        <v>628.5892707473555</v>
      </c>
      <c r="AP51" s="30">
        <f ca="1">+'TUSD BE'!$T$51+'TUSD BE'!$AB$51+'TUSD BE'!$AD$51+'TUSD BE'!$AL$51</f>
        <v>628.5892707473555</v>
      </c>
    </row>
    <row r="53" spans="1:42" ht="11.25" customHeight="1" x14ac:dyDescent="0.3">
      <c r="K53" s="27" t="s">
        <v>579</v>
      </c>
      <c r="L53" s="25">
        <f>SUMPRODUCT($I$5:$I51,$L$5:$L51)</f>
        <v>0</v>
      </c>
      <c r="M53" s="25">
        <f>SUMPRODUCT($I$5:$I51,$M$5:$M51)</f>
        <v>-431.13707121974278</v>
      </c>
      <c r="N53" s="25">
        <f ca="1">SUMPRODUCT($I$5:$I51,$N$5:$N51)</f>
        <v>0</v>
      </c>
      <c r="O53" s="25">
        <f>SUMPRODUCT($I$5:$I51,$O$5:$O51)</f>
        <v>0</v>
      </c>
      <c r="P53" s="25">
        <f>SUMPRODUCT($I$5:$I51,$P$5:$P51)</f>
        <v>0</v>
      </c>
      <c r="Q53" s="25">
        <f>SUMPRODUCT($I$5:$I51,$Q$5:$Q51)</f>
        <v>-2603.3615549570059</v>
      </c>
      <c r="R53" s="25">
        <f>SUMPRODUCT($I$5:$I51,$R$5:$R51)</f>
        <v>-119.12081097291504</v>
      </c>
      <c r="S53" s="25">
        <f>SUMPRODUCT($I$5:$I51,$S$5:$S51)</f>
        <v>0</v>
      </c>
      <c r="T53" s="25">
        <f ca="1">SUMPRODUCT($I$5:$I51,$T$5:$T51)</f>
        <v>-3153.6194371496636</v>
      </c>
      <c r="U53" s="25">
        <f>SUMPRODUCT($I$5:$I51,$U$5:$U51)</f>
        <v>0</v>
      </c>
      <c r="V53" s="25">
        <f>SUMPRODUCT($I$5:$I51,$V$5:$V51)</f>
        <v>0</v>
      </c>
      <c r="W53" s="25">
        <f>SUMPRODUCT($I$5:$I51,$W$5:$W51)</f>
        <v>0</v>
      </c>
      <c r="X53" s="25">
        <f>SUMPRODUCT($I$5:$I51,$X$5:$X51)</f>
        <v>0</v>
      </c>
      <c r="Y53" s="25">
        <f>SUMPRODUCT($I$5:$I51,$Y$5:$Y51)</f>
        <v>931940.46910175029</v>
      </c>
      <c r="Z53" s="25">
        <f>SUMPRODUCT($I$5:$I51,$Z$5:$Z51)</f>
        <v>0</v>
      </c>
      <c r="AA53" s="25">
        <f>SUMPRODUCT($I$5:$I51,$AA$5:$AA51)</f>
        <v>0</v>
      </c>
      <c r="AB53" s="25">
        <f>SUMPRODUCT($I$5:$I51,$AB$5:$AB51)</f>
        <v>931940.46910175029</v>
      </c>
      <c r="AC53" s="25">
        <f>SUMPRODUCT($I$5:$I51,$AC$5:$AC51)</f>
        <v>-2105190.4988346552</v>
      </c>
      <c r="AD53" s="25">
        <f>SUMPRODUCT($I$5:$I51,$AD$5:$AD51)</f>
        <v>-2105190.4988346552</v>
      </c>
      <c r="AE53" s="25">
        <f ca="1">SUMPRODUCT($I$5:$I51,$AE$5:$AE51)</f>
        <v>0</v>
      </c>
      <c r="AF53" s="25">
        <f ca="1">SUMPRODUCT($I$5:$I51,$AF$5:$AF51)</f>
        <v>0</v>
      </c>
      <c r="AG53" s="25">
        <f ca="1">SUMPRODUCT($I$5:$I51,$AG$5:$AG51)</f>
        <v>0</v>
      </c>
      <c r="AH53" s="25">
        <f>SUMPRODUCT($I$5:$I51,$AH$5:$AH51)</f>
        <v>109941.98773885565</v>
      </c>
      <c r="AI53" s="25">
        <f>SUMPRODUCT($I$5:$I51,$AI$5:$AI51)</f>
        <v>0</v>
      </c>
      <c r="AJ53" s="25">
        <f ca="1">SUMPRODUCT($I$5:$I51,$AJ$5:$AJ51)</f>
        <v>65237.357272750356</v>
      </c>
      <c r="AK53" s="25">
        <f ca="1">SUMPRODUCT($I$5:$I51,$AK$5:$AK51)</f>
        <v>0</v>
      </c>
      <c r="AL53" s="25">
        <f ca="1">SUMPRODUCT($I$5:$I51,$AL$5:$AL51)</f>
        <v>175179.345011606</v>
      </c>
      <c r="AM53" s="25">
        <f ca="1">SUMPRODUCT($I$5:$I51,$AM$5:$AM51)</f>
        <v>-1001224.304158448</v>
      </c>
      <c r="AO53" s="21">
        <f ca="1">SUMPRODUCT($I$5:$I51,$AO$5:$AO51)</f>
        <v>17517786.027997669</v>
      </c>
      <c r="AP53" s="21">
        <f ca="1">SUMPRODUCT($I$5:$I51,$AP$5:$AP51)</f>
        <v>17517786.027997669</v>
      </c>
    </row>
    <row r="54" spans="1:42" ht="11.25" customHeight="1" x14ac:dyDescent="0.3">
      <c r="K54" s="27" t="s">
        <v>511</v>
      </c>
      <c r="L54" s="25">
        <f>'TR TUSD'!$L$56</f>
        <v>234949.90172849185</v>
      </c>
      <c r="M54" s="25">
        <f>'TR TUSD'!$M$56</f>
        <v>54052.861712467515</v>
      </c>
      <c r="N54" s="25">
        <f>'TR TUSD'!$N$56</f>
        <v>0</v>
      </c>
      <c r="O54" s="25">
        <f>'TR TUSD'!$O$56</f>
        <v>0</v>
      </c>
      <c r="P54" s="25">
        <f>'TR TUSD'!$P$56</f>
        <v>0</v>
      </c>
      <c r="Q54" s="25">
        <f>'TR TUSD'!$Q$56</f>
        <v>1554108.6682800003</v>
      </c>
      <c r="R54" s="25">
        <f>'TR TUSD'!$R$56</f>
        <v>265519.51470000012</v>
      </c>
      <c r="S54" s="25">
        <f>'TR TUSD'!$S$56</f>
        <v>0</v>
      </c>
      <c r="T54" s="25">
        <f>'TR TUSD'!$T$56</f>
        <v>2108630.9464209597</v>
      </c>
      <c r="U54" s="25">
        <f>'TR TUSD'!$U$56</f>
        <v>0</v>
      </c>
      <c r="V54" s="25">
        <f>'TR TUSD'!$V$56</f>
        <v>0</v>
      </c>
      <c r="W54" s="25">
        <f>'TR TUSD'!$W$56</f>
        <v>0</v>
      </c>
      <c r="X54" s="25">
        <f>'TR TUSD'!$X$56</f>
        <v>0</v>
      </c>
      <c r="Y54" s="25">
        <f>'TR TUSD'!$Y$56</f>
        <v>3775885.0549178002</v>
      </c>
      <c r="Z54" s="25">
        <f>'TR TUSD'!$Z$56</f>
        <v>0</v>
      </c>
      <c r="AA54" s="25">
        <f>'TR TUSD'!$AA$56</f>
        <v>0</v>
      </c>
      <c r="AB54" s="25">
        <f>'TR TUSD'!$AB$56</f>
        <v>3775885.0549178002</v>
      </c>
      <c r="AC54" s="25">
        <f>'TR TUSD'!$AC$56</f>
        <v>11057461.609999999</v>
      </c>
      <c r="AD54" s="25">
        <f>'TR TUSD'!$AD$56</f>
        <v>11057461.609999999</v>
      </c>
      <c r="AE54" s="25">
        <f>'TR TUSD'!$AE$56</f>
        <v>0</v>
      </c>
      <c r="AF54" s="25">
        <f>'TR TUSD'!$AF$56</f>
        <v>0</v>
      </c>
      <c r="AG54" s="25">
        <f>'TR TUSD'!$AG$56</f>
        <v>0</v>
      </c>
      <c r="AH54" s="25">
        <f>'TR TUSD'!$AH$56</f>
        <v>361375.49138598313</v>
      </c>
      <c r="AI54" s="25">
        <f>'TR TUSD'!$AI$56</f>
        <v>0</v>
      </c>
      <c r="AJ54" s="25">
        <f>'TR TUSD'!$AJ$56</f>
        <v>214432.92527292715</v>
      </c>
      <c r="AK54" s="25">
        <f>'TR TUSD'!$AK$56</f>
        <v>0</v>
      </c>
      <c r="AL54" s="25">
        <f>'TR TUSD'!$AL$56</f>
        <v>575808.41665891022</v>
      </c>
      <c r="AM54" s="25">
        <f>'TUSD BE'!$AM$54</f>
        <v>17517786.027997669</v>
      </c>
      <c r="AO54" s="21">
        <f>$AE$55</f>
        <v>0</v>
      </c>
      <c r="AP54" s="21">
        <f>$AF$55</f>
        <v>0</v>
      </c>
    </row>
    <row r="55" spans="1:42" ht="11.25" customHeight="1" x14ac:dyDescent="0.3">
      <c r="K55" s="27" t="s">
        <v>512</v>
      </c>
      <c r="L55" s="25">
        <f>CUSTOS!$E$2</f>
        <v>0</v>
      </c>
      <c r="M55" s="25">
        <f>CUSTOS!$E$3</f>
        <v>-431.13707121974284</v>
      </c>
      <c r="N55" s="25">
        <f>CUSTOS!$E$4</f>
        <v>0</v>
      </c>
      <c r="O55" s="25">
        <f>CUSTOS!$E$5</f>
        <v>0</v>
      </c>
      <c r="P55" s="25">
        <f>CUSTOS!$E$6</f>
        <v>0</v>
      </c>
      <c r="Q55" s="25">
        <f>CUSTOS!$E$7</f>
        <v>-2603.3615549570059</v>
      </c>
      <c r="R55" s="25">
        <f>CUSTOS!$E$8</f>
        <v>-119.12081097291502</v>
      </c>
      <c r="S55" s="25">
        <f>CUSTOS!$E$9</f>
        <v>0</v>
      </c>
      <c r="T55" s="25">
        <f>CUSTOS!$E$10</f>
        <v>-3153.6194371496636</v>
      </c>
      <c r="U55" s="25">
        <f>CUSTOS!$E$11</f>
        <v>0</v>
      </c>
      <c r="V55" s="25">
        <f>CUSTOS!$E$12</f>
        <v>0</v>
      </c>
      <c r="W55" s="25">
        <f>CUSTOS!$E$13</f>
        <v>0</v>
      </c>
      <c r="X55" s="25">
        <f>CUSTOS!$E$14</f>
        <v>0</v>
      </c>
      <c r="Y55" s="25">
        <f>CUSTOS!$E$15</f>
        <v>931940.46910175029</v>
      </c>
      <c r="Z55" s="25">
        <f>CUSTOS!$E$16</f>
        <v>0</v>
      </c>
      <c r="AA55" s="25">
        <f>CUSTOS!$E$17</f>
        <v>0</v>
      </c>
      <c r="AB55" s="25">
        <f>CUSTOS!$E$18</f>
        <v>931940.46910175029</v>
      </c>
      <c r="AC55" s="25">
        <f>CUSTOS!$E$19</f>
        <v>-2105190.4988346547</v>
      </c>
      <c r="AD55" s="25">
        <f>CUSTOS!$E$20</f>
        <v>-2105190.4988346547</v>
      </c>
      <c r="AE55" s="25">
        <f>CUSTOS!$E$21</f>
        <v>0</v>
      </c>
      <c r="AF55" s="25">
        <f>CUSTOS!$E$22</f>
        <v>0</v>
      </c>
      <c r="AG55" s="25">
        <f>CUSTOS!$E$23</f>
        <v>0</v>
      </c>
      <c r="AH55" s="25">
        <f>CUSTOS!$E$24</f>
        <v>109941.98773885565</v>
      </c>
      <c r="AI55" s="25">
        <f>CUSTOS!$E$25</f>
        <v>0</v>
      </c>
      <c r="AJ55" s="25">
        <f>CUSTOS!$E$26</f>
        <v>65237.357272750363</v>
      </c>
      <c r="AK55" s="25">
        <f>CUSTOS!$E$27</f>
        <v>0</v>
      </c>
      <c r="AL55" s="25">
        <f>CUSTOS!$E$28</f>
        <v>175179.345011606</v>
      </c>
      <c r="AM55" s="25">
        <f>CUSTOS!$E$29</f>
        <v>-1001224.3041584481</v>
      </c>
      <c r="AO55" s="21">
        <f ca="1">IF(AO53&lt;&gt;0,AO54/AO53,0)</f>
        <v>0</v>
      </c>
      <c r="AP55" s="21">
        <f ca="1">IF(AP53&lt;&gt;0,AP54/AP53,0)</f>
        <v>0</v>
      </c>
    </row>
    <row r="56" spans="1:42" ht="11.25" customHeight="1" x14ac:dyDescent="0.3">
      <c r="K56" s="27" t="s">
        <v>513</v>
      </c>
      <c r="L56" s="25">
        <f>CUSTOS!$F$2</f>
        <v>0</v>
      </c>
      <c r="M56" s="25">
        <f>CUSTOS!$F$3</f>
        <v>0</v>
      </c>
      <c r="N56" s="25">
        <f>CUSTOS!$F$4</f>
        <v>0</v>
      </c>
      <c r="O56" s="25">
        <f>CUSTOS!$F$5</f>
        <v>0</v>
      </c>
      <c r="P56" s="25">
        <f>CUSTOS!$F$6</f>
        <v>0</v>
      </c>
      <c r="Q56" s="25">
        <f>CUSTOS!$F$7</f>
        <v>0</v>
      </c>
      <c r="R56" s="25">
        <f>CUSTOS!$F$8</f>
        <v>0</v>
      </c>
      <c r="S56" s="25">
        <f>CUSTOS!$F$9</f>
        <v>0</v>
      </c>
      <c r="T56" s="25">
        <f>CUSTOS!$F$10</f>
        <v>0</v>
      </c>
      <c r="U56" s="25">
        <f>CUSTOS!$F$11</f>
        <v>0</v>
      </c>
      <c r="V56" s="25">
        <f>CUSTOS!$F$12</f>
        <v>0</v>
      </c>
      <c r="W56" s="25">
        <f>CUSTOS!$F$13</f>
        <v>0</v>
      </c>
      <c r="X56" s="25">
        <f>CUSTOS!$F$14</f>
        <v>0</v>
      </c>
      <c r="Y56" s="25">
        <f>CUSTOS!$F$15</f>
        <v>0</v>
      </c>
      <c r="Z56" s="25">
        <f>CUSTOS!$F$16</f>
        <v>0</v>
      </c>
      <c r="AA56" s="25">
        <f>CUSTOS!$F$17</f>
        <v>0</v>
      </c>
      <c r="AB56" s="25">
        <f>CUSTOS!$F$18</f>
        <v>0</v>
      </c>
      <c r="AC56" s="25">
        <f>CUSTOS!$F$19</f>
        <v>0</v>
      </c>
      <c r="AD56" s="25">
        <f>CUSTOS!$F$20</f>
        <v>0</v>
      </c>
      <c r="AE56" s="25">
        <f>CUSTOS!$F$21</f>
        <v>0</v>
      </c>
      <c r="AF56" s="25">
        <f>CUSTOS!$F$22</f>
        <v>0</v>
      </c>
      <c r="AG56" s="25">
        <f>CUSTOS!$F$23</f>
        <v>0</v>
      </c>
      <c r="AH56" s="25">
        <f>CUSTOS!$F$24</f>
        <v>0</v>
      </c>
      <c r="AI56" s="25">
        <f>CUSTOS!$F$25</f>
        <v>0</v>
      </c>
      <c r="AJ56" s="25">
        <f>CUSTOS!$F$26</f>
        <v>0</v>
      </c>
      <c r="AK56" s="25">
        <f>CUSTOS!$F$27</f>
        <v>0</v>
      </c>
      <c r="AL56" s="25">
        <f>CUSTOS!$F$28</f>
        <v>0</v>
      </c>
      <c r="AM56" s="25">
        <f>CUSTOS!$F$29</f>
        <v>0</v>
      </c>
    </row>
    <row r="57" spans="1:42" ht="11.25" customHeight="1" x14ac:dyDescent="0.3">
      <c r="K57" s="27" t="s">
        <v>576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f>SUM($L$57:$S$57)</f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f>SUM($U$57:$AA$57)</f>
        <v>0</v>
      </c>
      <c r="AC57" s="25">
        <v>0</v>
      </c>
      <c r="AD57" s="25">
        <f>SUM($AC$57:$AC$57)</f>
        <v>0</v>
      </c>
      <c r="AE57" s="25">
        <v>0</v>
      </c>
      <c r="AF57" s="25">
        <v>0</v>
      </c>
      <c r="AG57" s="25">
        <f>SUM($AE$57:$AF$57)</f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f>SUM($AH$57:$AK$57)</f>
        <v>0</v>
      </c>
      <c r="AM57" s="25"/>
    </row>
    <row r="58" spans="1:42" ht="11.25" customHeight="1" x14ac:dyDescent="0.3">
      <c r="K58" s="27" t="s">
        <v>588</v>
      </c>
      <c r="L58" s="25">
        <f t="shared" ref="L58:R58" si="0">IF((L54-(0))&lt;&gt;0,(L56)/(L54-(0)),0)</f>
        <v>0</v>
      </c>
      <c r="M58" s="25">
        <f t="shared" si="0"/>
        <v>0</v>
      </c>
      <c r="N58" s="25">
        <f t="shared" si="0"/>
        <v>0</v>
      </c>
      <c r="O58" s="25">
        <f t="shared" si="0"/>
        <v>0</v>
      </c>
      <c r="P58" s="25">
        <f t="shared" si="0"/>
        <v>0</v>
      </c>
      <c r="Q58" s="25">
        <f t="shared" si="0"/>
        <v>0</v>
      </c>
      <c r="R58" s="25">
        <f t="shared" si="0"/>
        <v>0</v>
      </c>
      <c r="S58" s="25">
        <f>IF((R53-(0)&lt;&gt;0),(S55)/(R53-(0)),0)</f>
        <v>0</v>
      </c>
      <c r="T58" s="25"/>
      <c r="U58" s="25">
        <f t="shared" ref="U58:AA58" si="1">IF((U54-(0))&lt;&gt;0,(U56)/(U54-(0)),0)</f>
        <v>0</v>
      </c>
      <c r="V58" s="25">
        <f t="shared" si="1"/>
        <v>0</v>
      </c>
      <c r="W58" s="25">
        <f t="shared" si="1"/>
        <v>0</v>
      </c>
      <c r="X58" s="25">
        <f t="shared" si="1"/>
        <v>0</v>
      </c>
      <c r="Y58" s="25">
        <f t="shared" si="1"/>
        <v>0</v>
      </c>
      <c r="Z58" s="25">
        <f t="shared" si="1"/>
        <v>0</v>
      </c>
      <c r="AA58" s="25">
        <f t="shared" si="1"/>
        <v>0</v>
      </c>
      <c r="AB58" s="25"/>
      <c r="AC58" s="25">
        <f>IF((AC54-(0))&lt;&gt;0,(AC56)/(AC54-(0)),0)</f>
        <v>0</v>
      </c>
      <c r="AD58" s="25"/>
      <c r="AE58" s="25">
        <f ca="1">IF(($AM53-(0))&lt;&gt;0,(AE55)/($AM53-(0)),0)</f>
        <v>0</v>
      </c>
      <c r="AF58" s="25">
        <f ca="1">IF(($AM53-(0))&lt;&gt;0,(AF55)/($AM53-(0)),0)</f>
        <v>0</v>
      </c>
      <c r="AG58" s="25"/>
      <c r="AH58" s="25">
        <f>IF((AH54-(0))&lt;&gt;0,(AH56)/(AH54-(0)),0)</f>
        <v>0</v>
      </c>
      <c r="AI58" s="25">
        <f>IF((AI54-(0))&lt;&gt;0,(AI56)/(AI54-(0)),0)</f>
        <v>0</v>
      </c>
      <c r="AJ58" s="25">
        <f>IF((AJ54-(0))&lt;&gt;0,(AJ56)/(AJ54-(0)),0)</f>
        <v>0</v>
      </c>
      <c r="AK58" s="25">
        <f>IF((AK54-(0))&lt;&gt;0,(AK56)/(AK54-(0)),0)</f>
        <v>0</v>
      </c>
      <c r="AL58" s="25"/>
      <c r="AM58" s="25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95" priority="55" operator="notEqual">
      <formula>$L$55</formula>
    </cfRule>
    <cfRule type="cellIs" dxfId="894" priority="56" operator="equal">
      <formula>$L$55</formula>
    </cfRule>
  </conditionalFormatting>
  <conditionalFormatting sqref="M53">
    <cfRule type="cellIs" dxfId="893" priority="53" operator="notEqual">
      <formula>$M$55</formula>
    </cfRule>
    <cfRule type="cellIs" dxfId="892" priority="54" operator="equal">
      <formula>$M$55</formula>
    </cfRule>
  </conditionalFormatting>
  <conditionalFormatting sqref="N53">
    <cfRule type="cellIs" dxfId="891" priority="51" operator="notEqual">
      <formula>$N$55</formula>
    </cfRule>
    <cfRule type="cellIs" dxfId="890" priority="52" operator="equal">
      <formula>$N$55</formula>
    </cfRule>
  </conditionalFormatting>
  <conditionalFormatting sqref="O53">
    <cfRule type="cellIs" dxfId="889" priority="49" operator="notEqual">
      <formula>$O$55</formula>
    </cfRule>
    <cfRule type="cellIs" dxfId="888" priority="50" operator="equal">
      <formula>$O$55</formula>
    </cfRule>
  </conditionalFormatting>
  <conditionalFormatting sqref="P53">
    <cfRule type="cellIs" dxfId="887" priority="47" operator="notEqual">
      <formula>$P$55</formula>
    </cfRule>
    <cfRule type="cellIs" dxfId="886" priority="48" operator="equal">
      <formula>$P$55</formula>
    </cfRule>
  </conditionalFormatting>
  <conditionalFormatting sqref="Q53">
    <cfRule type="cellIs" dxfId="885" priority="45" operator="notEqual">
      <formula>$Q$55</formula>
    </cfRule>
    <cfRule type="cellIs" dxfId="884" priority="46" operator="equal">
      <formula>$Q$55</formula>
    </cfRule>
  </conditionalFormatting>
  <conditionalFormatting sqref="R53">
    <cfRule type="cellIs" dxfId="883" priority="43" operator="notEqual">
      <formula>$R$55</formula>
    </cfRule>
    <cfRule type="cellIs" dxfId="882" priority="44" operator="equal">
      <formula>$R$55</formula>
    </cfRule>
  </conditionalFormatting>
  <conditionalFormatting sqref="S53">
    <cfRule type="cellIs" dxfId="881" priority="41" operator="notEqual">
      <formula>$S$55</formula>
    </cfRule>
    <cfRule type="cellIs" dxfId="880" priority="42" operator="equal">
      <formula>$S$55</formula>
    </cfRule>
  </conditionalFormatting>
  <conditionalFormatting sqref="T53">
    <cfRule type="cellIs" dxfId="879" priority="39" operator="notEqual">
      <formula>$T$55</formula>
    </cfRule>
    <cfRule type="cellIs" dxfId="878" priority="40" operator="equal">
      <formula>$T$55</formula>
    </cfRule>
  </conditionalFormatting>
  <conditionalFormatting sqref="U53">
    <cfRule type="cellIs" dxfId="877" priority="37" operator="notEqual">
      <formula>$U$55</formula>
    </cfRule>
    <cfRule type="cellIs" dxfId="876" priority="38" operator="equal">
      <formula>$U$55</formula>
    </cfRule>
  </conditionalFormatting>
  <conditionalFormatting sqref="V53">
    <cfRule type="cellIs" dxfId="875" priority="35" operator="notEqual">
      <formula>$V$55</formula>
    </cfRule>
    <cfRule type="cellIs" dxfId="874" priority="36" operator="equal">
      <formula>$V$55</formula>
    </cfRule>
  </conditionalFormatting>
  <conditionalFormatting sqref="W53">
    <cfRule type="cellIs" dxfId="873" priority="33" operator="notEqual">
      <formula>$W$55</formula>
    </cfRule>
    <cfRule type="cellIs" dxfId="872" priority="34" operator="equal">
      <formula>$W$55</formula>
    </cfRule>
  </conditionalFormatting>
  <conditionalFormatting sqref="X53">
    <cfRule type="cellIs" dxfId="871" priority="31" operator="notEqual">
      <formula>$X$55</formula>
    </cfRule>
    <cfRule type="cellIs" dxfId="870" priority="32" operator="equal">
      <formula>$X$55</formula>
    </cfRule>
  </conditionalFormatting>
  <conditionalFormatting sqref="Y53">
    <cfRule type="cellIs" dxfId="869" priority="29" operator="notEqual">
      <formula>$Y$55</formula>
    </cfRule>
    <cfRule type="cellIs" dxfId="868" priority="30" operator="equal">
      <formula>$Y$55</formula>
    </cfRule>
  </conditionalFormatting>
  <conditionalFormatting sqref="Z53">
    <cfRule type="cellIs" dxfId="867" priority="27" operator="notEqual">
      <formula>$Z$55</formula>
    </cfRule>
    <cfRule type="cellIs" dxfId="866" priority="28" operator="equal">
      <formula>$Z$55</formula>
    </cfRule>
  </conditionalFormatting>
  <conditionalFormatting sqref="AA53">
    <cfRule type="cellIs" dxfId="865" priority="25" operator="notEqual">
      <formula>$AA$55</formula>
    </cfRule>
    <cfRule type="cellIs" dxfId="864" priority="26" operator="equal">
      <formula>$AA$55</formula>
    </cfRule>
  </conditionalFormatting>
  <conditionalFormatting sqref="AB53">
    <cfRule type="cellIs" dxfId="863" priority="23" operator="notEqual">
      <formula>$AB$55</formula>
    </cfRule>
    <cfRule type="cellIs" dxfId="862" priority="24" operator="equal">
      <formula>$AB$55</formula>
    </cfRule>
  </conditionalFormatting>
  <conditionalFormatting sqref="AC53">
    <cfRule type="cellIs" dxfId="861" priority="21" operator="notEqual">
      <formula>$AC$55</formula>
    </cfRule>
    <cfRule type="cellIs" dxfId="860" priority="22" operator="equal">
      <formula>$AC$55</formula>
    </cfRule>
  </conditionalFormatting>
  <conditionalFormatting sqref="AD53">
    <cfRule type="cellIs" dxfId="859" priority="19" operator="notEqual">
      <formula>$AD$55</formula>
    </cfRule>
    <cfRule type="cellIs" dxfId="858" priority="20" operator="equal">
      <formula>$AD$55</formula>
    </cfRule>
  </conditionalFormatting>
  <conditionalFormatting sqref="AE53">
    <cfRule type="cellIs" dxfId="857" priority="17" operator="notEqual">
      <formula>$AE$55</formula>
    </cfRule>
    <cfRule type="cellIs" dxfId="856" priority="18" operator="equal">
      <formula>$AE$55</formula>
    </cfRule>
  </conditionalFormatting>
  <conditionalFormatting sqref="AF53">
    <cfRule type="cellIs" dxfId="855" priority="16" operator="equal">
      <formula>$AF$55</formula>
    </cfRule>
  </conditionalFormatting>
  <conditionalFormatting sqref="AF53">
    <cfRule type="cellIs" dxfId="854" priority="15" operator="notEqual">
      <formula>$AF$55</formula>
    </cfRule>
  </conditionalFormatting>
  <conditionalFormatting sqref="AG53">
    <cfRule type="cellIs" dxfId="853" priority="14" operator="equal">
      <formula>$AG$55</formula>
    </cfRule>
  </conditionalFormatting>
  <conditionalFormatting sqref="AG53">
    <cfRule type="cellIs" dxfId="852" priority="13" operator="notEqual">
      <formula>$AG$55</formula>
    </cfRule>
  </conditionalFormatting>
  <conditionalFormatting sqref="AH53">
    <cfRule type="cellIs" dxfId="851" priority="12" operator="equal">
      <formula>$AH$55</formula>
    </cfRule>
  </conditionalFormatting>
  <conditionalFormatting sqref="AH53">
    <cfRule type="cellIs" dxfId="850" priority="11" operator="notEqual">
      <formula>$AH$55</formula>
    </cfRule>
  </conditionalFormatting>
  <conditionalFormatting sqref="AI53">
    <cfRule type="cellIs" dxfId="849" priority="10" operator="equal">
      <formula>$AI$55</formula>
    </cfRule>
  </conditionalFormatting>
  <conditionalFormatting sqref="AI53">
    <cfRule type="cellIs" dxfId="848" priority="9" operator="notEqual">
      <formula>$AI$55</formula>
    </cfRule>
  </conditionalFormatting>
  <conditionalFormatting sqref="AJ53">
    <cfRule type="cellIs" dxfId="847" priority="8" operator="equal">
      <formula>$AJ$55</formula>
    </cfRule>
  </conditionalFormatting>
  <conditionalFormatting sqref="AJ53">
    <cfRule type="cellIs" dxfId="846" priority="7" operator="notEqual">
      <formula>$AJ$55</formula>
    </cfRule>
  </conditionalFormatting>
  <conditionalFormatting sqref="AK53">
    <cfRule type="cellIs" dxfId="845" priority="6" operator="equal">
      <formula>$AK$55</formula>
    </cfRule>
  </conditionalFormatting>
  <conditionalFormatting sqref="AK53">
    <cfRule type="cellIs" dxfId="844" priority="5" operator="notEqual">
      <formula>$AK$55</formula>
    </cfRule>
  </conditionalFormatting>
  <conditionalFormatting sqref="AL53">
    <cfRule type="cellIs" dxfId="843" priority="4" operator="equal">
      <formula>$AL$55</formula>
    </cfRule>
  </conditionalFormatting>
  <conditionalFormatting sqref="AL53">
    <cfRule type="cellIs" dxfId="842" priority="3" operator="notEqual">
      <formula>$AL$55</formula>
    </cfRule>
  </conditionalFormatting>
  <conditionalFormatting sqref="AM53">
    <cfRule type="cellIs" dxfId="841" priority="2" operator="equal">
      <formula>$AM$55</formula>
    </cfRule>
  </conditionalFormatting>
  <conditionalFormatting sqref="AM53">
    <cfRule type="cellIs" dxfId="840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8AF0-AF00-49F2-958D-53291E033FB8}">
  <dimension ref="A1:AP57"/>
  <sheetViews>
    <sheetView showGridLines="0" topLeftCell="X35" workbookViewId="0">
      <selection activeCell="AO53" sqref="AO53:AP55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7.88671875" style="9" bestFit="1" customWidth="1"/>
    <col min="14" max="14" width="4.109375" style="9" bestFit="1" customWidth="1"/>
    <col min="15" max="16" width="4.88671875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8.6640625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.88671875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0" width="9.109375" style="9"/>
    <col min="41" max="42" width="10.88671875" style="9" bestFit="1" customWidth="1"/>
    <col min="43" max="16384" width="9.109375" style="9"/>
  </cols>
  <sheetData>
    <row r="1" spans="1:42" ht="11.25" customHeight="1" x14ac:dyDescent="0.3">
      <c r="A1" s="121" t="s">
        <v>62</v>
      </c>
      <c r="B1" s="121" t="s">
        <v>63</v>
      </c>
      <c r="C1" s="121" t="s">
        <v>64</v>
      </c>
      <c r="D1" s="121" t="s">
        <v>65</v>
      </c>
      <c r="E1" s="121" t="s">
        <v>66</v>
      </c>
      <c r="F1" s="121" t="s">
        <v>15</v>
      </c>
      <c r="G1" s="121" t="s">
        <v>68</v>
      </c>
      <c r="H1" s="121" t="s">
        <v>69</v>
      </c>
      <c r="I1" s="121" t="s">
        <v>570</v>
      </c>
      <c r="J1" s="118"/>
      <c r="L1" s="122" t="s">
        <v>590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O1" s="30"/>
      <c r="AP1" s="125" t="s">
        <v>572</v>
      </c>
    </row>
    <row r="2" spans="1:42" ht="11.25" customHeight="1" x14ac:dyDescent="0.3">
      <c r="A2" s="121"/>
      <c r="B2" s="121"/>
      <c r="C2" s="121"/>
      <c r="D2" s="121"/>
      <c r="E2" s="121"/>
      <c r="F2" s="121"/>
      <c r="G2" s="121"/>
      <c r="H2" s="121"/>
      <c r="I2" s="121"/>
      <c r="J2" s="118"/>
      <c r="L2" s="122" t="s">
        <v>470</v>
      </c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O2" s="30"/>
      <c r="AP2" s="126"/>
    </row>
    <row r="3" spans="1:42" ht="11.25" customHeight="1" x14ac:dyDescent="0.3">
      <c r="A3" s="121"/>
      <c r="B3" s="121"/>
      <c r="C3" s="121"/>
      <c r="D3" s="121"/>
      <c r="E3" s="121"/>
      <c r="F3" s="121"/>
      <c r="G3" s="121"/>
      <c r="H3" s="121"/>
      <c r="I3" s="121"/>
      <c r="J3" s="118"/>
      <c r="L3" s="122" t="s">
        <v>471</v>
      </c>
      <c r="M3" s="122"/>
      <c r="N3" s="122"/>
      <c r="O3" s="122"/>
      <c r="P3" s="122"/>
      <c r="Q3" s="122"/>
      <c r="R3" s="122"/>
      <c r="S3" s="122"/>
      <c r="T3" s="122"/>
      <c r="U3" s="122" t="s">
        <v>480</v>
      </c>
      <c r="V3" s="122"/>
      <c r="W3" s="122"/>
      <c r="X3" s="122"/>
      <c r="Y3" s="122"/>
      <c r="Z3" s="122"/>
      <c r="AA3" s="122"/>
      <c r="AB3" s="122"/>
      <c r="AC3" s="122" t="s">
        <v>488</v>
      </c>
      <c r="AD3" s="122"/>
      <c r="AE3" s="122" t="s">
        <v>490</v>
      </c>
      <c r="AF3" s="122"/>
      <c r="AG3" s="122"/>
      <c r="AH3" s="122" t="s">
        <v>493</v>
      </c>
      <c r="AI3" s="122"/>
      <c r="AJ3" s="122"/>
      <c r="AK3" s="122"/>
      <c r="AL3" s="122"/>
      <c r="AM3" s="122" t="s">
        <v>479</v>
      </c>
      <c r="AO3" s="30"/>
      <c r="AP3" s="126"/>
    </row>
    <row r="4" spans="1:42" ht="11.25" customHeight="1" x14ac:dyDescent="0.3">
      <c r="A4" s="121"/>
      <c r="B4" s="121"/>
      <c r="C4" s="121"/>
      <c r="D4" s="121"/>
      <c r="E4" s="121"/>
      <c r="F4" s="121"/>
      <c r="G4" s="121"/>
      <c r="H4" s="121"/>
      <c r="I4" s="121"/>
      <c r="J4" s="118"/>
      <c r="L4" s="26" t="s">
        <v>555</v>
      </c>
      <c r="M4" s="26" t="s">
        <v>472</v>
      </c>
      <c r="N4" s="26" t="s">
        <v>473</v>
      </c>
      <c r="O4" s="26" t="s">
        <v>474</v>
      </c>
      <c r="P4" s="26" t="s">
        <v>475</v>
      </c>
      <c r="Q4" s="26" t="s">
        <v>476</v>
      </c>
      <c r="R4" s="26" t="s">
        <v>477</v>
      </c>
      <c r="S4" s="26" t="s">
        <v>478</v>
      </c>
      <c r="T4" s="26" t="s">
        <v>479</v>
      </c>
      <c r="U4" s="26" t="s">
        <v>481</v>
      </c>
      <c r="V4" s="26" t="s">
        <v>482</v>
      </c>
      <c r="W4" s="26" t="s">
        <v>483</v>
      </c>
      <c r="X4" s="26" t="s">
        <v>484</v>
      </c>
      <c r="Y4" s="26" t="s">
        <v>485</v>
      </c>
      <c r="Z4" s="26" t="s">
        <v>486</v>
      </c>
      <c r="AA4" s="26" t="s">
        <v>487</v>
      </c>
      <c r="AB4" s="26" t="s">
        <v>479</v>
      </c>
      <c r="AC4" s="26" t="s">
        <v>489</v>
      </c>
      <c r="AD4" s="26" t="s">
        <v>479</v>
      </c>
      <c r="AE4" s="26" t="s">
        <v>491</v>
      </c>
      <c r="AF4" s="26" t="s">
        <v>492</v>
      </c>
      <c r="AG4" s="26" t="s">
        <v>479</v>
      </c>
      <c r="AH4" s="26" t="s">
        <v>494</v>
      </c>
      <c r="AI4" s="26" t="s">
        <v>495</v>
      </c>
      <c r="AJ4" s="26" t="s">
        <v>496</v>
      </c>
      <c r="AK4" s="26" t="s">
        <v>497</v>
      </c>
      <c r="AL4" s="26" t="s">
        <v>479</v>
      </c>
      <c r="AM4" s="124"/>
      <c r="AO4" s="31" t="s">
        <v>589</v>
      </c>
      <c r="AP4" s="127"/>
    </row>
    <row r="5" spans="1:42" ht="11.25" customHeight="1" x14ac:dyDescent="0.3">
      <c r="A5" s="120" t="s">
        <v>37</v>
      </c>
      <c r="B5" s="120" t="s">
        <v>41</v>
      </c>
      <c r="C5" s="120" t="s">
        <v>25</v>
      </c>
      <c r="D5" s="120" t="s">
        <v>25</v>
      </c>
      <c r="E5" s="120" t="s">
        <v>25</v>
      </c>
      <c r="F5" s="120" t="s">
        <v>25</v>
      </c>
      <c r="G5" s="21" t="s">
        <v>78</v>
      </c>
      <c r="H5" s="21" t="s">
        <v>77</v>
      </c>
      <c r="I5" s="21">
        <f>'MERCADO TUSD'!$U$2</f>
        <v>1200</v>
      </c>
      <c r="J5" s="17"/>
      <c r="L5" s="25">
        <f>'TUSD BE'!$L$5*'TUSD BF'!$L$58</f>
        <v>0</v>
      </c>
      <c r="M5" s="25">
        <f>'TUSD BE'!$M$5*'TUSD BF'!$M$58</f>
        <v>0</v>
      </c>
      <c r="N5" s="25">
        <f ca="1">'TUSD BE'!$N$5*'TUSD BF'!$N$58</f>
        <v>0</v>
      </c>
      <c r="O5" s="25">
        <f>'TUSD BE'!$O$5*'TUSD BF'!$O$58</f>
        <v>0</v>
      </c>
      <c r="P5" s="25">
        <f>'TUSD BE'!$P$5*'TUSD BF'!$P$58</f>
        <v>0</v>
      </c>
      <c r="Q5" s="25">
        <f>'TUSD BE'!$Q$5*'TUSD BF'!$Q$58</f>
        <v>0</v>
      </c>
      <c r="R5" s="25">
        <f>'TUSD BE'!$R$5*'TUSD BF'!$R$58</f>
        <v>0</v>
      </c>
      <c r="S5" s="25">
        <f>'TUSD BE'!$R$5*'TUSD BF'!$S$58</f>
        <v>0</v>
      </c>
      <c r="T5" s="25">
        <f ca="1">SUM($L$5:$S$5)</f>
        <v>0</v>
      </c>
      <c r="U5" s="25">
        <f>'TUSD BE'!$U$5*'TUSD BF'!$U$58</f>
        <v>0</v>
      </c>
      <c r="V5" s="25">
        <f>'TUSD BE'!$V$5*'TUSD BF'!$V$58</f>
        <v>0</v>
      </c>
      <c r="W5" s="25">
        <f>'TUSD BE'!$W$5*'TUSD BF'!$W$58</f>
        <v>0</v>
      </c>
      <c r="X5" s="25">
        <f>'TUSD BE'!$X$5*'TUSD BF'!$X$58</f>
        <v>0</v>
      </c>
      <c r="Y5" s="25">
        <f>'TUSD BE'!$Y$5*'TUSD BF'!$Y$58</f>
        <v>0</v>
      </c>
      <c r="Z5" s="25">
        <f>'TUSD BE'!$Z$5*'TUSD BF'!$Z$58</f>
        <v>0</v>
      </c>
      <c r="AA5" s="25">
        <f>'TUSD BE'!$AA$5*'TUSD BF'!$AA$58</f>
        <v>0</v>
      </c>
      <c r="AB5" s="25">
        <f>SUM($U$5:$AA$5)</f>
        <v>0</v>
      </c>
      <c r="AC5" s="25">
        <f>'TUSD BE'!$AC$5*'TUSD BF'!$AC$58</f>
        <v>0</v>
      </c>
      <c r="AD5" s="25">
        <f>SUM($AC$5:$AC$5)</f>
        <v>0</v>
      </c>
      <c r="AE5" s="25">
        <f ca="1">$AO$5*$AO$55</f>
        <v>0</v>
      </c>
      <c r="AF5" s="25">
        <f ca="1">$AP$5*$AP$55</f>
        <v>0</v>
      </c>
      <c r="AG5" s="25">
        <f ca="1">SUM($AE$5:$AF$5)</f>
        <v>0</v>
      </c>
      <c r="AH5" s="25">
        <f>'TUSD BE'!$AH$5*'TUSD BF'!$AH$58</f>
        <v>0</v>
      </c>
      <c r="AI5" s="25">
        <f>'TUSD BE'!$AI$5*'TUSD BF'!$AI$58</f>
        <v>0</v>
      </c>
      <c r="AJ5" s="25">
        <f ca="1">'TUSD BE'!$AJ$5*'TUSD BF'!$AJ$58</f>
        <v>0</v>
      </c>
      <c r="AK5" s="25">
        <f ca="1">'TUSD BE'!$AK$5*'TUSD BF'!$AK$58</f>
        <v>0</v>
      </c>
      <c r="AL5" s="25">
        <f ca="1">SUM($AH$5:$AK$5)</f>
        <v>0</v>
      </c>
      <c r="AM5" s="25">
        <f ca="1">SUMIF($L$4:$AL$4,"SUBTOTAL",$L$5:$AL$5)</f>
        <v>0</v>
      </c>
      <c r="AO5" s="30">
        <f ca="1">+'TUSD BE'!$T$5+'TUSD BE'!$AB$5+'TUSD BE'!$AD$5+'TUSD BE'!$AL$5</f>
        <v>221.70539979309999</v>
      </c>
      <c r="AP5" s="30">
        <f ca="1">+'TUSD BE'!$T$5+'TUSD BE'!$AB$5+'TUSD BE'!$AD$5+'TUSD BE'!$AL$5</f>
        <v>221.70539979309999</v>
      </c>
    </row>
    <row r="6" spans="1:42" ht="11.25" customHeight="1" x14ac:dyDescent="0.3">
      <c r="A6" s="120"/>
      <c r="B6" s="120"/>
      <c r="C6" s="120"/>
      <c r="D6" s="120"/>
      <c r="E6" s="120"/>
      <c r="F6" s="120"/>
      <c r="G6" s="21" t="s">
        <v>79</v>
      </c>
      <c r="H6" s="21" t="s">
        <v>77</v>
      </c>
      <c r="I6" s="21">
        <f>'MERCADO TUSD'!$U$3</f>
        <v>1209</v>
      </c>
      <c r="J6" s="17"/>
      <c r="L6" s="25">
        <f>'TUSD BE'!$L$6*'TUSD BF'!$L$58</f>
        <v>0</v>
      </c>
      <c r="M6" s="25">
        <f>'TUSD BE'!$M$6*'TUSD BF'!$M$58</f>
        <v>0</v>
      </c>
      <c r="N6" s="25">
        <f ca="1">'TUSD BE'!$N$6*'TUSD BF'!$N$58</f>
        <v>0</v>
      </c>
      <c r="O6" s="25">
        <f>'TUSD BE'!$O$6*'TUSD BF'!$O$58</f>
        <v>0</v>
      </c>
      <c r="P6" s="25">
        <f>'TUSD BE'!$P$6*'TUSD BF'!$P$58</f>
        <v>0</v>
      </c>
      <c r="Q6" s="25">
        <f>'TUSD BE'!$Q$6*'TUSD BF'!$Q$58</f>
        <v>0</v>
      </c>
      <c r="R6" s="25">
        <f>'TUSD BE'!$R$6*'TUSD BF'!$R$58</f>
        <v>0</v>
      </c>
      <c r="S6" s="25">
        <f>'TUSD BE'!$R$6*'TUSD BF'!$S$58</f>
        <v>0</v>
      </c>
      <c r="T6" s="25">
        <f ca="1">SUM($L$6:$S$6)</f>
        <v>0</v>
      </c>
      <c r="U6" s="25">
        <f>'TUSD BE'!$U$6*'TUSD BF'!$U$58</f>
        <v>0</v>
      </c>
      <c r="V6" s="25">
        <f>'TUSD BE'!$V$6*'TUSD BF'!$V$58</f>
        <v>0</v>
      </c>
      <c r="W6" s="25">
        <f>'TUSD BE'!$W$6*'TUSD BF'!$W$58</f>
        <v>0</v>
      </c>
      <c r="X6" s="25">
        <f>'TUSD BE'!$X$6*'TUSD BF'!$X$58</f>
        <v>0</v>
      </c>
      <c r="Y6" s="25">
        <f>'TUSD BE'!$Y$6*'TUSD BF'!$Y$58</f>
        <v>0</v>
      </c>
      <c r="Z6" s="25">
        <f>'TUSD BE'!$Z$6*'TUSD BF'!$Z$58</f>
        <v>0</v>
      </c>
      <c r="AA6" s="25">
        <f>'TUSD BE'!$AA$6*'TUSD BF'!$AA$58</f>
        <v>0</v>
      </c>
      <c r="AB6" s="25">
        <f>SUM($U$6:$AA$6)</f>
        <v>0</v>
      </c>
      <c r="AC6" s="25">
        <f>'TUSD BE'!$AC$6*'TUSD BF'!$AC$58</f>
        <v>0</v>
      </c>
      <c r="AD6" s="25">
        <f>SUM($AC$6:$AC$6)</f>
        <v>0</v>
      </c>
      <c r="AE6" s="25">
        <f ca="1">$AO$6*$AO$55</f>
        <v>0</v>
      </c>
      <c r="AF6" s="25">
        <f ca="1">$AP$6*$AP$55</f>
        <v>0</v>
      </c>
      <c r="AG6" s="25">
        <f ca="1">SUM($AE$6:$AF$6)</f>
        <v>0</v>
      </c>
      <c r="AH6" s="25">
        <f>'TUSD BE'!$AH$6*'TUSD BF'!$AH$58</f>
        <v>0</v>
      </c>
      <c r="AI6" s="25">
        <f>'TUSD BE'!$AI$6*'TUSD BF'!$AI$58</f>
        <v>0</v>
      </c>
      <c r="AJ6" s="25">
        <f ca="1">'TUSD BE'!$AJ$6*'TUSD BF'!$AJ$58</f>
        <v>0</v>
      </c>
      <c r="AK6" s="25">
        <f ca="1">'TUSD BE'!$AK$6*'TUSD BF'!$AK$58</f>
        <v>0</v>
      </c>
      <c r="AL6" s="25">
        <f ca="1">SUM($AH$6:$AK$6)</f>
        <v>0</v>
      </c>
      <c r="AM6" s="25">
        <f ca="1">SUMIF($L$4:$AL$4,"SUBTOTAL",$L$6:$AL$6)</f>
        <v>0</v>
      </c>
      <c r="AO6" s="30">
        <f ca="1">+'TUSD BE'!$T$6+'TUSD BE'!$AB$6+'TUSD BE'!$AD$6+'TUSD BE'!$AL$6</f>
        <v>83.443155443625102</v>
      </c>
      <c r="AP6" s="30">
        <f ca="1">+'TUSD BE'!$T$6+'TUSD BE'!$AB$6+'TUSD BE'!$AD$6+'TUSD BE'!$AL$6</f>
        <v>83.443155443625102</v>
      </c>
    </row>
    <row r="7" spans="1:42" ht="11.25" customHeight="1" x14ac:dyDescent="0.3">
      <c r="A7" s="120"/>
      <c r="B7" s="120"/>
      <c r="C7" s="120"/>
      <c r="D7" s="120"/>
      <c r="E7" s="120"/>
      <c r="F7" s="120"/>
      <c r="G7" s="21" t="s">
        <v>76</v>
      </c>
      <c r="H7" s="21" t="s">
        <v>72</v>
      </c>
      <c r="I7" s="21">
        <f>'MERCADO TUSD'!$U$4</f>
        <v>431.03100000000001</v>
      </c>
      <c r="J7" s="17"/>
      <c r="L7" s="25">
        <f>'TUSD BE'!$L$7*'TUSD BF'!$L$58</f>
        <v>0</v>
      </c>
      <c r="M7" s="25">
        <f>'TUSD BE'!$M$7*'TUSD BF'!$M$58</f>
        <v>0</v>
      </c>
      <c r="N7" s="25">
        <f ca="1">'TUSD BE'!$N$7*'TUSD BF'!$N$58</f>
        <v>0</v>
      </c>
      <c r="O7" s="25">
        <f>'TUSD BE'!$O$7*'TUSD BF'!$O$58</f>
        <v>0</v>
      </c>
      <c r="P7" s="25">
        <f>'TUSD BE'!$P$7*'TUSD BF'!$P$58</f>
        <v>0</v>
      </c>
      <c r="Q7" s="25">
        <f>'TUSD BE'!$Q$7*'TUSD BF'!$Q$58</f>
        <v>0</v>
      </c>
      <c r="R7" s="25">
        <f>'TUSD BE'!$R$7*'TUSD BF'!$R$58</f>
        <v>0</v>
      </c>
      <c r="S7" s="25">
        <f>'TUSD BE'!$R$7*'TUSD BF'!$S$58</f>
        <v>0</v>
      </c>
      <c r="T7" s="25">
        <f ca="1">SUM($L$7:$S$7)</f>
        <v>0</v>
      </c>
      <c r="U7" s="25">
        <f>'TUSD BE'!$U$7*'TUSD BF'!$U$58</f>
        <v>0</v>
      </c>
      <c r="V7" s="25">
        <f>'TUSD BE'!$V$7*'TUSD BF'!$V$58</f>
        <v>0</v>
      </c>
      <c r="W7" s="25">
        <f>'TUSD BE'!$W$7*'TUSD BF'!$W$58</f>
        <v>0</v>
      </c>
      <c r="X7" s="25">
        <f>'TUSD BE'!$X$7*'TUSD BF'!$X$58</f>
        <v>0</v>
      </c>
      <c r="Y7" s="25">
        <f>'TUSD BE'!$Y$7*'TUSD BF'!$Y$58</f>
        <v>0</v>
      </c>
      <c r="Z7" s="25">
        <f>'TUSD BE'!$Z$7*'TUSD BF'!$Z$58</f>
        <v>0</v>
      </c>
      <c r="AA7" s="25">
        <f>'TUSD BE'!$AA$7*'TUSD BF'!$AA$58</f>
        <v>0</v>
      </c>
      <c r="AB7" s="25">
        <f>SUM($U$7:$AA$7)</f>
        <v>0</v>
      </c>
      <c r="AC7" s="25">
        <f>'TUSD BE'!$AC$7*'TUSD BF'!$AC$58</f>
        <v>0</v>
      </c>
      <c r="AD7" s="25">
        <f>SUM($AC$7:$AC$7)</f>
        <v>0</v>
      </c>
      <c r="AE7" s="25">
        <f ca="1">$AO$7*$AO$55</f>
        <v>0</v>
      </c>
      <c r="AF7" s="25">
        <f ca="1">$AP$7*$AP$55</f>
        <v>0</v>
      </c>
      <c r="AG7" s="25">
        <f ca="1">SUM($AE$7:$AF$7)</f>
        <v>0</v>
      </c>
      <c r="AH7" s="25">
        <f>'TUSD BE'!$AH$7*'TUSD BF'!$AH$58</f>
        <v>0</v>
      </c>
      <c r="AI7" s="25">
        <f>'TUSD BE'!$AI$7*'TUSD BF'!$AI$58</f>
        <v>0</v>
      </c>
      <c r="AJ7" s="25">
        <f ca="1">'TUSD BE'!$AJ$7*'TUSD BF'!$AJ$58</f>
        <v>0</v>
      </c>
      <c r="AK7" s="25">
        <f ca="1">'TUSD BE'!$AK$7*'TUSD BF'!$AK$58</f>
        <v>0</v>
      </c>
      <c r="AL7" s="25">
        <f ca="1">SUM($AH$7:$AK$7)</f>
        <v>0</v>
      </c>
      <c r="AM7" s="25">
        <f ca="1">SUMIF($L$4:$AL$4,"SUBTOTAL",$L$7:$AL$7)</f>
        <v>0</v>
      </c>
      <c r="AO7" s="30">
        <f ca="1">+'TUSD BE'!$T$7+'TUSD BE'!$AB$7+'TUSD BE'!$AD$7+'TUSD BE'!$AL$7</f>
        <v>127.12279320332399</v>
      </c>
      <c r="AP7" s="30">
        <f ca="1">+'TUSD BE'!$T$7+'TUSD BE'!$AB$7+'TUSD BE'!$AD$7+'TUSD BE'!$AL$7</f>
        <v>127.12279320332399</v>
      </c>
    </row>
    <row r="8" spans="1:42" ht="11.25" customHeight="1" x14ac:dyDescent="0.3">
      <c r="A8" s="120"/>
      <c r="B8" s="120"/>
      <c r="C8" s="120"/>
      <c r="D8" s="120"/>
      <c r="E8" s="28" t="s">
        <v>80</v>
      </c>
      <c r="F8" s="28" t="s">
        <v>25</v>
      </c>
      <c r="G8" s="21" t="s">
        <v>76</v>
      </c>
      <c r="H8" s="21" t="s">
        <v>72</v>
      </c>
      <c r="I8" s="21">
        <f>'MERCADO TUSD'!$U$5</f>
        <v>0</v>
      </c>
      <c r="J8" s="17"/>
      <c r="L8" s="25">
        <f>'TUSD BE'!$L$8*'TUSD BF'!$L$58</f>
        <v>0</v>
      </c>
      <c r="M8" s="25">
        <f>'TUSD BE'!$M$8*'TUSD BF'!$M$58</f>
        <v>0</v>
      </c>
      <c r="N8" s="25">
        <f ca="1">'TUSD BE'!$N$8*'TUSD BF'!$N$58</f>
        <v>0</v>
      </c>
      <c r="O8" s="25">
        <f>'TUSD BE'!$O$8*'TUSD BF'!$O$58</f>
        <v>0</v>
      </c>
      <c r="P8" s="25">
        <f>'TUSD BE'!$P$8*'TUSD BF'!$P$58</f>
        <v>0</v>
      </c>
      <c r="Q8" s="25">
        <f>'TUSD BE'!$Q$8*'TUSD BF'!$Q$58</f>
        <v>0</v>
      </c>
      <c r="R8" s="25">
        <f>'TUSD BE'!$R$8*'TUSD BF'!$R$58</f>
        <v>0</v>
      </c>
      <c r="S8" s="25">
        <f>'TUSD BE'!$R$8*'TUSD BF'!$S$58</f>
        <v>0</v>
      </c>
      <c r="T8" s="25">
        <f ca="1">SUM($L$8:$S$8)</f>
        <v>0</v>
      </c>
      <c r="U8" s="25">
        <f>'TUSD BE'!$U$8*'TUSD BF'!$U$58</f>
        <v>0</v>
      </c>
      <c r="V8" s="25">
        <f>'TUSD BE'!$V$8*'TUSD BF'!$V$58</f>
        <v>0</v>
      </c>
      <c r="W8" s="25">
        <f>'TUSD BE'!$W$8*'TUSD BF'!$W$58</f>
        <v>0</v>
      </c>
      <c r="X8" s="25">
        <f>'TUSD BE'!$X$8*'TUSD BF'!$X$58</f>
        <v>0</v>
      </c>
      <c r="Y8" s="25">
        <f>'TUSD BE'!$Y$8*'TUSD BF'!$Y$58</f>
        <v>0</v>
      </c>
      <c r="Z8" s="25">
        <f>'TUSD BE'!$Z$8*'TUSD BF'!$Z$58</f>
        <v>0</v>
      </c>
      <c r="AA8" s="25">
        <f>'TUSD BE'!$AA$8*'TUSD BF'!$AA$58</f>
        <v>0</v>
      </c>
      <c r="AB8" s="25">
        <f>SUM($U$8:$AA$8)</f>
        <v>0</v>
      </c>
      <c r="AC8" s="25">
        <f>'TUSD BE'!$AC$8*'TUSD BF'!$AC$58</f>
        <v>0</v>
      </c>
      <c r="AD8" s="25">
        <f>SUM($AC$8:$AC$8)</f>
        <v>0</v>
      </c>
      <c r="AE8" s="25">
        <f ca="1">$AO$8*$AO$55</f>
        <v>0</v>
      </c>
      <c r="AF8" s="25">
        <f ca="1">$AP$8*$AP$55</f>
        <v>0</v>
      </c>
      <c r="AG8" s="25">
        <f ca="1">SUM($AE$8:$AF$8)</f>
        <v>0</v>
      </c>
      <c r="AH8" s="25">
        <f>'TUSD BE'!$AH$8*'TUSD BF'!$AH$58</f>
        <v>0</v>
      </c>
      <c r="AI8" s="25">
        <f>'TUSD BE'!$AI$8*'TUSD BF'!$AI$58</f>
        <v>0</v>
      </c>
      <c r="AJ8" s="25">
        <f ca="1">'TUSD BE'!$AJ$8*'TUSD BF'!$AJ$58</f>
        <v>0</v>
      </c>
      <c r="AK8" s="25">
        <f ca="1">'TUSD BE'!$AK$8*'TUSD BF'!$AK$58</f>
        <v>0</v>
      </c>
      <c r="AL8" s="25">
        <f ca="1">SUM($AH$8:$AK$8)</f>
        <v>0</v>
      </c>
      <c r="AM8" s="25">
        <f ca="1">SUMIF($L$4:$AL$4,"SUBTOTAL",$L$8:$AL$8)</f>
        <v>0</v>
      </c>
      <c r="AO8" s="30">
        <f ca="1">+'TUSD BE'!$T$8+'TUSD BE'!$AB$8+'TUSD BE'!$AD$8+'TUSD BE'!$AL$8</f>
        <v>22.549735229786286</v>
      </c>
      <c r="AP8" s="30">
        <f ca="1">+'TUSD BE'!$T$8+'TUSD BE'!$AB$8+'TUSD BE'!$AD$8+'TUSD BE'!$AL$8</f>
        <v>22.549735229786286</v>
      </c>
    </row>
    <row r="9" spans="1:42" ht="11.25" customHeight="1" x14ac:dyDescent="0.3">
      <c r="A9" s="120"/>
      <c r="B9" s="28" t="s">
        <v>81</v>
      </c>
      <c r="C9" s="28" t="s">
        <v>25</v>
      </c>
      <c r="D9" s="28" t="s">
        <v>25</v>
      </c>
      <c r="E9" s="28" t="s">
        <v>25</v>
      </c>
      <c r="F9" s="28" t="s">
        <v>25</v>
      </c>
      <c r="G9" s="21" t="s">
        <v>9</v>
      </c>
      <c r="H9" s="21" t="s">
        <v>77</v>
      </c>
      <c r="I9" s="21">
        <f>'MERCADO TUSD'!$U$6</f>
        <v>0</v>
      </c>
      <c r="J9" s="17"/>
      <c r="L9" s="25">
        <f>'TUSD BE'!$L$9*'TUSD BF'!$L$58</f>
        <v>0</v>
      </c>
      <c r="M9" s="25">
        <f>'TUSD BE'!$M$9*'TUSD BF'!$M$58</f>
        <v>0</v>
      </c>
      <c r="N9" s="25">
        <f ca="1">'TUSD BE'!$N$9*'TUSD BF'!$N$58</f>
        <v>0</v>
      </c>
      <c r="O9" s="25">
        <f>'TUSD BE'!$O$9*'TUSD BF'!$O$58</f>
        <v>0</v>
      </c>
      <c r="P9" s="25">
        <f>'TUSD BE'!$P$9*'TUSD BF'!$P$58</f>
        <v>0</v>
      </c>
      <c r="Q9" s="25">
        <f>'TUSD BE'!$Q$9*'TUSD BF'!$Q$58</f>
        <v>0</v>
      </c>
      <c r="R9" s="25">
        <f>'TUSD BE'!$R$9*'TUSD BF'!$R$58</f>
        <v>0</v>
      </c>
      <c r="S9" s="25">
        <f>'TUSD BE'!$R$9*'TUSD BF'!$S$58</f>
        <v>0</v>
      </c>
      <c r="T9" s="25">
        <f ca="1">SUM($L$9:$S$9)</f>
        <v>0</v>
      </c>
      <c r="U9" s="25">
        <f>'TUSD BE'!$U$9*'TUSD BF'!$U$58</f>
        <v>0</v>
      </c>
      <c r="V9" s="25">
        <f>'TUSD BE'!$V$9*'TUSD BF'!$V$58</f>
        <v>0</v>
      </c>
      <c r="W9" s="25">
        <f>'TUSD BE'!$W$9*'TUSD BF'!$W$58</f>
        <v>0</v>
      </c>
      <c r="X9" s="25">
        <f>'TUSD BE'!$X$9*'TUSD BF'!$X$58</f>
        <v>0</v>
      </c>
      <c r="Y9" s="25">
        <f>'TUSD BE'!$Y$9*'TUSD BF'!$Y$58</f>
        <v>0</v>
      </c>
      <c r="Z9" s="25">
        <f>'TUSD BE'!$Z$9*'TUSD BF'!$Z$58</f>
        <v>0</v>
      </c>
      <c r="AA9" s="25">
        <f>'TUSD BE'!$AA$9*'TUSD BF'!$AA$58</f>
        <v>0</v>
      </c>
      <c r="AB9" s="25">
        <f>SUM($U$9:$AA$9)</f>
        <v>0</v>
      </c>
      <c r="AC9" s="25">
        <f>'TUSD BE'!$AC$9*'TUSD BF'!$AC$58</f>
        <v>0</v>
      </c>
      <c r="AD9" s="25">
        <f>SUM($AC$9:$AC$9)</f>
        <v>0</v>
      </c>
      <c r="AE9" s="25">
        <f ca="1">$AO$9*$AO$55</f>
        <v>0</v>
      </c>
      <c r="AF9" s="25">
        <f ca="1">$AP$9*$AP$55</f>
        <v>0</v>
      </c>
      <c r="AG9" s="25">
        <f ca="1">SUM($AE$9:$AF$9)</f>
        <v>0</v>
      </c>
      <c r="AH9" s="25">
        <f>'TUSD BE'!$AH$9*'TUSD BF'!$AH$58</f>
        <v>0</v>
      </c>
      <c r="AI9" s="25">
        <f>'TUSD BE'!$AI$9*'TUSD BF'!$AI$58</f>
        <v>0</v>
      </c>
      <c r="AJ9" s="25">
        <f ca="1">'TUSD BE'!$AJ$9*'TUSD BF'!$AJ$58</f>
        <v>0</v>
      </c>
      <c r="AK9" s="25">
        <f ca="1">'TUSD BE'!$AK$9*'TUSD BF'!$AK$58</f>
        <v>0</v>
      </c>
      <c r="AL9" s="25">
        <f ca="1">SUM($AH$9:$AK$9)</f>
        <v>0</v>
      </c>
      <c r="AM9" s="25">
        <f ca="1">SUMIF($L$4:$AL$4,"SUBTOTAL",$L$9:$AL$9)</f>
        <v>0</v>
      </c>
      <c r="AO9" s="30">
        <f ca="1">+'TUSD BE'!$T$9+'TUSD BE'!$AB$9+'TUSD BE'!$AD$9+'TUSD BE'!$AL$9</f>
        <v>22.797865813464778</v>
      </c>
      <c r="AP9" s="30">
        <f ca="1">+'TUSD BE'!$T$9+'TUSD BE'!$AB$9+'TUSD BE'!$AD$9+'TUSD BE'!$AL$9</f>
        <v>22.797865813464778</v>
      </c>
    </row>
    <row r="10" spans="1:42" ht="11.25" customHeight="1" x14ac:dyDescent="0.3">
      <c r="A10" s="120"/>
      <c r="B10" s="120" t="s">
        <v>38</v>
      </c>
      <c r="C10" s="120" t="s">
        <v>25</v>
      </c>
      <c r="D10" s="120" t="s">
        <v>25</v>
      </c>
      <c r="E10" s="120" t="s">
        <v>25</v>
      </c>
      <c r="F10" s="120" t="s">
        <v>25</v>
      </c>
      <c r="G10" s="21" t="s">
        <v>9</v>
      </c>
      <c r="H10" s="21" t="s">
        <v>77</v>
      </c>
      <c r="I10" s="21">
        <f>'MERCADO TUSD'!$U$7</f>
        <v>19392</v>
      </c>
      <c r="J10" s="17"/>
      <c r="L10" s="25">
        <f>'TUSD BE'!$L$10*'TUSD BF'!$L$58</f>
        <v>0</v>
      </c>
      <c r="M10" s="25">
        <f>'TUSD BE'!$M$10*'TUSD BF'!$M$58</f>
        <v>0</v>
      </c>
      <c r="N10" s="25">
        <f ca="1">'TUSD BE'!$N$10*'TUSD BF'!$N$58</f>
        <v>0</v>
      </c>
      <c r="O10" s="25">
        <f>'TUSD BE'!$O$10*'TUSD BF'!$O$58</f>
        <v>0</v>
      </c>
      <c r="P10" s="25">
        <f>'TUSD BE'!$P$10*'TUSD BF'!$P$58</f>
        <v>0</v>
      </c>
      <c r="Q10" s="25">
        <f>'TUSD BE'!$Q$10*'TUSD BF'!$Q$58</f>
        <v>0</v>
      </c>
      <c r="R10" s="25">
        <f>'TUSD BE'!$R$10*'TUSD BF'!$R$58</f>
        <v>0</v>
      </c>
      <c r="S10" s="25">
        <f>'TUSD BE'!$R$10*'TUSD BF'!$S$58</f>
        <v>0</v>
      </c>
      <c r="T10" s="25">
        <f ca="1">SUM($L$10:$S$10)</f>
        <v>0</v>
      </c>
      <c r="U10" s="25">
        <f>'TUSD BE'!$U$10*'TUSD BF'!$U$58</f>
        <v>0</v>
      </c>
      <c r="V10" s="25">
        <f>'TUSD BE'!$V$10*'TUSD BF'!$V$58</f>
        <v>0</v>
      </c>
      <c r="W10" s="25">
        <f>'TUSD BE'!$W$10*'TUSD BF'!$W$58</f>
        <v>0</v>
      </c>
      <c r="X10" s="25">
        <f>'TUSD BE'!$X$10*'TUSD BF'!$X$58</f>
        <v>0</v>
      </c>
      <c r="Y10" s="25">
        <f>'TUSD BE'!$Y$10*'TUSD BF'!$Y$58</f>
        <v>0</v>
      </c>
      <c r="Z10" s="25">
        <f>'TUSD BE'!$Z$10*'TUSD BF'!$Z$58</f>
        <v>0</v>
      </c>
      <c r="AA10" s="25">
        <f>'TUSD BE'!$AA$10*'TUSD BF'!$AA$58</f>
        <v>0</v>
      </c>
      <c r="AB10" s="25">
        <f>SUM($U$10:$AA$10)</f>
        <v>0</v>
      </c>
      <c r="AC10" s="25">
        <f>'TUSD BE'!$AC$10*'TUSD BF'!$AC$58</f>
        <v>0</v>
      </c>
      <c r="AD10" s="25">
        <f>SUM($AC$10:$AC$10)</f>
        <v>0</v>
      </c>
      <c r="AE10" s="25">
        <f ca="1">$AO$10*$AO$55</f>
        <v>0</v>
      </c>
      <c r="AF10" s="25">
        <f ca="1">$AP$10*$AP$55</f>
        <v>0</v>
      </c>
      <c r="AG10" s="25">
        <f ca="1">SUM($AE$10:$AF$10)</f>
        <v>0</v>
      </c>
      <c r="AH10" s="25">
        <f>'TUSD BE'!$AH$10*'TUSD BF'!$AH$58</f>
        <v>0</v>
      </c>
      <c r="AI10" s="25">
        <f>'TUSD BE'!$AI$10*'TUSD BF'!$AI$58</f>
        <v>0</v>
      </c>
      <c r="AJ10" s="25">
        <f ca="1">'TUSD BE'!$AJ$10*'TUSD BF'!$AJ$58</f>
        <v>0</v>
      </c>
      <c r="AK10" s="25">
        <f ca="1">'TUSD BE'!$AK$10*'TUSD BF'!$AK$58</f>
        <v>0</v>
      </c>
      <c r="AL10" s="25">
        <f ca="1">SUM($AH$10:$AK$10)</f>
        <v>0</v>
      </c>
      <c r="AM10" s="25">
        <f ca="1">SUMIF($L$4:$AL$4,"SUBTOTAL",$L$10:$AL$10)</f>
        <v>0</v>
      </c>
      <c r="AO10" s="30">
        <f ca="1">+'TUSD BE'!$T$10+'TUSD BE'!$AB$10+'TUSD BE'!$AD$10+'TUSD BE'!$AL$10</f>
        <v>83.443155443625102</v>
      </c>
      <c r="AP10" s="30">
        <f ca="1">+'TUSD BE'!$T$10+'TUSD BE'!$AB$10+'TUSD BE'!$AD$10+'TUSD BE'!$AL$10</f>
        <v>83.443155443625102</v>
      </c>
    </row>
    <row r="11" spans="1:42" ht="11.25" customHeight="1" x14ac:dyDescent="0.3">
      <c r="A11" s="120"/>
      <c r="B11" s="120"/>
      <c r="C11" s="120"/>
      <c r="D11" s="120"/>
      <c r="E11" s="120"/>
      <c r="F11" s="120"/>
      <c r="G11" s="21" t="s">
        <v>73</v>
      </c>
      <c r="H11" s="21" t="s">
        <v>72</v>
      </c>
      <c r="I11" s="21">
        <f>'MERCADO TUSD'!$U$8</f>
        <v>47.495999999999995</v>
      </c>
      <c r="J11" s="17"/>
      <c r="L11" s="25">
        <f>'TUSD BE'!$L$11*'TUSD BF'!$L$58</f>
        <v>0</v>
      </c>
      <c r="M11" s="25">
        <f>'TUSD BE'!$M$11*'TUSD BF'!$M$58</f>
        <v>0</v>
      </c>
      <c r="N11" s="25">
        <f ca="1">'TUSD BE'!$N$11*'TUSD BF'!$N$58</f>
        <v>0</v>
      </c>
      <c r="O11" s="25">
        <f>'TUSD BE'!$O$11*'TUSD BF'!$O$58</f>
        <v>0</v>
      </c>
      <c r="P11" s="25">
        <f>'TUSD BE'!$P$11*'TUSD BF'!$P$58</f>
        <v>0</v>
      </c>
      <c r="Q11" s="25">
        <f>'TUSD BE'!$Q$11*'TUSD BF'!$Q$58</f>
        <v>0</v>
      </c>
      <c r="R11" s="25">
        <f>'TUSD BE'!$R$11*'TUSD BF'!$R$58</f>
        <v>0</v>
      </c>
      <c r="S11" s="25">
        <f>'TUSD BE'!$R$11*'TUSD BF'!$S$58</f>
        <v>0</v>
      </c>
      <c r="T11" s="25">
        <f ca="1">SUM($L$11:$S$11)</f>
        <v>0</v>
      </c>
      <c r="U11" s="25">
        <f>'TUSD BE'!$U$11*'TUSD BF'!$U$58</f>
        <v>0</v>
      </c>
      <c r="V11" s="25">
        <f>'TUSD BE'!$V$11*'TUSD BF'!$V$58</f>
        <v>0</v>
      </c>
      <c r="W11" s="25">
        <f>'TUSD BE'!$W$11*'TUSD BF'!$W$58</f>
        <v>0</v>
      </c>
      <c r="X11" s="25">
        <f>'TUSD BE'!$X$11*'TUSD BF'!$X$58</f>
        <v>0</v>
      </c>
      <c r="Y11" s="25">
        <f>'TUSD BE'!$Y$11*'TUSD BF'!$Y$58</f>
        <v>0</v>
      </c>
      <c r="Z11" s="25">
        <f>'TUSD BE'!$Z$11*'TUSD BF'!$Z$58</f>
        <v>0</v>
      </c>
      <c r="AA11" s="25">
        <f>'TUSD BE'!$AA$11*'TUSD BF'!$AA$58</f>
        <v>0</v>
      </c>
      <c r="AB11" s="25">
        <f>SUM($U$11:$AA$11)</f>
        <v>0</v>
      </c>
      <c r="AC11" s="25">
        <f>'TUSD BE'!$AC$11*'TUSD BF'!$AC$58</f>
        <v>0</v>
      </c>
      <c r="AD11" s="25">
        <f>SUM($AC$11:$AC$11)</f>
        <v>0</v>
      </c>
      <c r="AE11" s="25">
        <f ca="1">$AO$11*$AO$55</f>
        <v>0</v>
      </c>
      <c r="AF11" s="25">
        <f ca="1">$AP$11*$AP$55</f>
        <v>0</v>
      </c>
      <c r="AG11" s="25">
        <f ca="1">SUM($AE$11:$AF$11)</f>
        <v>0</v>
      </c>
      <c r="AH11" s="25">
        <f>'TUSD BE'!$AH$11*'TUSD BF'!$AH$58</f>
        <v>0</v>
      </c>
      <c r="AI11" s="25">
        <f>'TUSD BE'!$AI$11*'TUSD BF'!$AI$58</f>
        <v>0</v>
      </c>
      <c r="AJ11" s="25">
        <f ca="1">'TUSD BE'!$AJ$11*'TUSD BF'!$AJ$58</f>
        <v>0</v>
      </c>
      <c r="AK11" s="25">
        <f ca="1">'TUSD BE'!$AK$11*'TUSD BF'!$AK$58</f>
        <v>0</v>
      </c>
      <c r="AL11" s="25">
        <f ca="1">SUM($AH$11:$AK$11)</f>
        <v>0</v>
      </c>
      <c r="AM11" s="25">
        <f ca="1">SUMIF($L$4:$AL$4,"SUBTOTAL",$L$11:$AL$11)</f>
        <v>0</v>
      </c>
      <c r="AO11" s="30">
        <f ca="1">+'TUSD BE'!$T$11+'TUSD BE'!$AB$11+'TUSD BE'!$AD$11+'TUSD BE'!$AL$11</f>
        <v>5459.159033341708</v>
      </c>
      <c r="AP11" s="30">
        <f ca="1">+'TUSD BE'!$T$11+'TUSD BE'!$AB$11+'TUSD BE'!$AD$11+'TUSD BE'!$AL$11</f>
        <v>5459.159033341708</v>
      </c>
    </row>
    <row r="12" spans="1:42" ht="11.25" customHeight="1" x14ac:dyDescent="0.3">
      <c r="A12" s="120"/>
      <c r="B12" s="120"/>
      <c r="C12" s="120"/>
      <c r="D12" s="120"/>
      <c r="E12" s="120"/>
      <c r="F12" s="120"/>
      <c r="G12" s="21" t="s">
        <v>74</v>
      </c>
      <c r="H12" s="21" t="s">
        <v>72</v>
      </c>
      <c r="I12" s="21">
        <f>'MERCADO TUSD'!$U$9</f>
        <v>2868.4139999999998</v>
      </c>
      <c r="J12" s="17"/>
      <c r="L12" s="25">
        <f>'TUSD BE'!$L$12*'TUSD BF'!$L$58</f>
        <v>0</v>
      </c>
      <c r="M12" s="25">
        <f>'TUSD BE'!$M$12*'TUSD BF'!$M$58</f>
        <v>0</v>
      </c>
      <c r="N12" s="25">
        <f ca="1">'TUSD BE'!$N$12*'TUSD BF'!$N$58</f>
        <v>0</v>
      </c>
      <c r="O12" s="25">
        <f>'TUSD BE'!$O$12*'TUSD BF'!$O$58</f>
        <v>0</v>
      </c>
      <c r="P12" s="25">
        <f>'TUSD BE'!$P$12*'TUSD BF'!$P$58</f>
        <v>0</v>
      </c>
      <c r="Q12" s="25">
        <f>'TUSD BE'!$Q$12*'TUSD BF'!$Q$58</f>
        <v>0</v>
      </c>
      <c r="R12" s="25">
        <f>'TUSD BE'!$R$12*'TUSD BF'!$R$58</f>
        <v>0</v>
      </c>
      <c r="S12" s="25">
        <f>'TUSD BE'!$R$12*'TUSD BF'!$S$58</f>
        <v>0</v>
      </c>
      <c r="T12" s="25">
        <f ca="1">SUM($L$12:$S$12)</f>
        <v>0</v>
      </c>
      <c r="U12" s="25">
        <f>'TUSD BE'!$U$12*'TUSD BF'!$U$58</f>
        <v>0</v>
      </c>
      <c r="V12" s="25">
        <f>'TUSD BE'!$V$12*'TUSD BF'!$V$58</f>
        <v>0</v>
      </c>
      <c r="W12" s="25">
        <f>'TUSD BE'!$W$12*'TUSD BF'!$W$58</f>
        <v>0</v>
      </c>
      <c r="X12" s="25">
        <f>'TUSD BE'!$X$12*'TUSD BF'!$X$58</f>
        <v>0</v>
      </c>
      <c r="Y12" s="25">
        <f>'TUSD BE'!$Y$12*'TUSD BF'!$Y$58</f>
        <v>0</v>
      </c>
      <c r="Z12" s="25">
        <f>'TUSD BE'!$Z$12*'TUSD BF'!$Z$58</f>
        <v>0</v>
      </c>
      <c r="AA12" s="25">
        <f>'TUSD BE'!$AA$12*'TUSD BF'!$AA$58</f>
        <v>0</v>
      </c>
      <c r="AB12" s="25">
        <f>SUM($U$12:$AA$12)</f>
        <v>0</v>
      </c>
      <c r="AC12" s="25">
        <f>'TUSD BE'!$AC$12*'TUSD BF'!$AC$58</f>
        <v>0</v>
      </c>
      <c r="AD12" s="25">
        <f>SUM($AC$12:$AC$12)</f>
        <v>0</v>
      </c>
      <c r="AE12" s="25">
        <f ca="1">$AO$12*$AO$55</f>
        <v>0</v>
      </c>
      <c r="AF12" s="25">
        <f ca="1">$AP$12*$AP$55</f>
        <v>0</v>
      </c>
      <c r="AG12" s="25">
        <f ca="1">SUM($AE$12:$AF$12)</f>
        <v>0</v>
      </c>
      <c r="AH12" s="25">
        <f>'TUSD BE'!$AH$12*'TUSD BF'!$AH$58</f>
        <v>0</v>
      </c>
      <c r="AI12" s="25">
        <f>'TUSD BE'!$AI$12*'TUSD BF'!$AI$58</f>
        <v>0</v>
      </c>
      <c r="AJ12" s="25">
        <f ca="1">'TUSD BE'!$AJ$12*'TUSD BF'!$AJ$58</f>
        <v>0</v>
      </c>
      <c r="AK12" s="25">
        <f ca="1">'TUSD BE'!$AK$12*'TUSD BF'!$AK$58</f>
        <v>0</v>
      </c>
      <c r="AL12" s="25">
        <f ca="1">SUM($AH$12:$AK$12)</f>
        <v>0</v>
      </c>
      <c r="AM12" s="25">
        <f ca="1">SUMIF($L$4:$AL$4,"SUBTOTAL",$L$12:$AL$12)</f>
        <v>0</v>
      </c>
      <c r="AO12" s="30">
        <f ca="1">+'TUSD BE'!$T$12+'TUSD BE'!$AB$12+'TUSD BE'!$AD$12+'TUSD BE'!$AL$12</f>
        <v>127.12279320332399</v>
      </c>
      <c r="AP12" s="30">
        <f ca="1">+'TUSD BE'!$T$12+'TUSD BE'!$AB$12+'TUSD BE'!$AD$12+'TUSD BE'!$AL$12</f>
        <v>127.12279320332399</v>
      </c>
    </row>
    <row r="13" spans="1:42" ht="11.25" customHeight="1" x14ac:dyDescent="0.3">
      <c r="A13" s="120"/>
      <c r="B13" s="120"/>
      <c r="C13" s="120"/>
      <c r="D13" s="120"/>
      <c r="E13" s="120" t="s">
        <v>80</v>
      </c>
      <c r="F13" s="120" t="s">
        <v>25</v>
      </c>
      <c r="G13" s="21" t="s">
        <v>73</v>
      </c>
      <c r="H13" s="21" t="s">
        <v>72</v>
      </c>
      <c r="I13" s="21">
        <f>'MERCADO TUSD'!$U$10</f>
        <v>0</v>
      </c>
      <c r="J13" s="17"/>
      <c r="L13" s="25">
        <f>'TUSD BE'!$L$13*'TUSD BF'!$L$58</f>
        <v>0</v>
      </c>
      <c r="M13" s="25">
        <f>'TUSD BE'!$M$13*'TUSD BF'!$M$58</f>
        <v>0</v>
      </c>
      <c r="N13" s="25">
        <f ca="1">'TUSD BE'!$N$13*'TUSD BF'!$N$58</f>
        <v>0</v>
      </c>
      <c r="O13" s="25">
        <f>'TUSD BE'!$O$13*'TUSD BF'!$O$58</f>
        <v>0</v>
      </c>
      <c r="P13" s="25">
        <f>'TUSD BE'!$P$13*'TUSD BF'!$P$58</f>
        <v>0</v>
      </c>
      <c r="Q13" s="25">
        <f>'TUSD BE'!$Q$13*'TUSD BF'!$Q$58</f>
        <v>0</v>
      </c>
      <c r="R13" s="25">
        <f>'TUSD BE'!$R$13*'TUSD BF'!$R$58</f>
        <v>0</v>
      </c>
      <c r="S13" s="25">
        <f>'TUSD BE'!$R$13*'TUSD BF'!$S$58</f>
        <v>0</v>
      </c>
      <c r="T13" s="25">
        <f ca="1">SUM($L$13:$S$13)</f>
        <v>0</v>
      </c>
      <c r="U13" s="25">
        <f>'TUSD BE'!$U$13*'TUSD BF'!$U$58</f>
        <v>0</v>
      </c>
      <c r="V13" s="25">
        <f>'TUSD BE'!$V$13*'TUSD BF'!$V$58</f>
        <v>0</v>
      </c>
      <c r="W13" s="25">
        <f>'TUSD BE'!$W$13*'TUSD BF'!$W$58</f>
        <v>0</v>
      </c>
      <c r="X13" s="25">
        <f>'TUSD BE'!$X$13*'TUSD BF'!$X$58</f>
        <v>0</v>
      </c>
      <c r="Y13" s="25">
        <f>'TUSD BE'!$Y$13*'TUSD BF'!$Y$58</f>
        <v>0</v>
      </c>
      <c r="Z13" s="25">
        <f>'TUSD BE'!$Z$13*'TUSD BF'!$Z$58</f>
        <v>0</v>
      </c>
      <c r="AA13" s="25">
        <f>'TUSD BE'!$AA$13*'TUSD BF'!$AA$58</f>
        <v>0</v>
      </c>
      <c r="AB13" s="25">
        <f>SUM($U$13:$AA$13)</f>
        <v>0</v>
      </c>
      <c r="AC13" s="25">
        <f>'TUSD BE'!$AC$13*'TUSD BF'!$AC$58</f>
        <v>0</v>
      </c>
      <c r="AD13" s="25">
        <f>SUM($AC$13:$AC$13)</f>
        <v>0</v>
      </c>
      <c r="AE13" s="25">
        <f ca="1">$AO$13*$AO$55</f>
        <v>0</v>
      </c>
      <c r="AF13" s="25">
        <f ca="1">$AP$13*$AP$55</f>
        <v>0</v>
      </c>
      <c r="AG13" s="25">
        <f ca="1">SUM($AE$13:$AF$13)</f>
        <v>0</v>
      </c>
      <c r="AH13" s="25">
        <f>'TUSD BE'!$AH$13*'TUSD BF'!$AH$58</f>
        <v>0</v>
      </c>
      <c r="AI13" s="25">
        <f>'TUSD BE'!$AI$13*'TUSD BF'!$AI$58</f>
        <v>0</v>
      </c>
      <c r="AJ13" s="25">
        <f ca="1">'TUSD BE'!$AJ$13*'TUSD BF'!$AJ$58</f>
        <v>0</v>
      </c>
      <c r="AK13" s="25">
        <f ca="1">'TUSD BE'!$AK$13*'TUSD BF'!$AK$58</f>
        <v>0</v>
      </c>
      <c r="AL13" s="25">
        <f ca="1">SUM($AH$13:$AK$13)</f>
        <v>0</v>
      </c>
      <c r="AM13" s="25">
        <f ca="1">SUMIF($L$4:$AL$4,"SUBTOTAL",$L$13:$AL$13)</f>
        <v>0</v>
      </c>
      <c r="AO13" s="30">
        <f ca="1">+'TUSD BE'!$T$13+'TUSD BE'!$AB$13+'TUSD BE'!$AD$13+'TUSD BE'!$AL$13</f>
        <v>5354.5859753681698</v>
      </c>
      <c r="AP13" s="30">
        <f ca="1">+'TUSD BE'!$T$13+'TUSD BE'!$AB$13+'TUSD BE'!$AD$13+'TUSD BE'!$AL$13</f>
        <v>5354.5859753681698</v>
      </c>
    </row>
    <row r="14" spans="1:42" ht="11.25" customHeight="1" x14ac:dyDescent="0.3">
      <c r="A14" s="120"/>
      <c r="B14" s="120"/>
      <c r="C14" s="120"/>
      <c r="D14" s="120"/>
      <c r="E14" s="120"/>
      <c r="F14" s="120"/>
      <c r="G14" s="21" t="s">
        <v>74</v>
      </c>
      <c r="H14" s="21" t="s">
        <v>72</v>
      </c>
      <c r="I14" s="21">
        <f>'MERCADO TUSD'!$U$11</f>
        <v>0</v>
      </c>
      <c r="J14" s="17"/>
      <c r="L14" s="25">
        <f>'TUSD BE'!$L$14*'TUSD BF'!$L$58</f>
        <v>0</v>
      </c>
      <c r="M14" s="25">
        <f>'TUSD BE'!$M$14*'TUSD BF'!$M$58</f>
        <v>0</v>
      </c>
      <c r="N14" s="25">
        <f ca="1">'TUSD BE'!$N$14*'TUSD BF'!$N$58</f>
        <v>0</v>
      </c>
      <c r="O14" s="25">
        <f>'TUSD BE'!$O$14*'TUSD BF'!$O$58</f>
        <v>0</v>
      </c>
      <c r="P14" s="25">
        <f>'TUSD BE'!$P$14*'TUSD BF'!$P$58</f>
        <v>0</v>
      </c>
      <c r="Q14" s="25">
        <f>'TUSD BE'!$Q$14*'TUSD BF'!$Q$58</f>
        <v>0</v>
      </c>
      <c r="R14" s="25">
        <f>'TUSD BE'!$R$14*'TUSD BF'!$R$58</f>
        <v>0</v>
      </c>
      <c r="S14" s="25">
        <f>'TUSD BE'!$R$14*'TUSD BF'!$S$58</f>
        <v>0</v>
      </c>
      <c r="T14" s="25">
        <f ca="1">SUM($L$14:$S$14)</f>
        <v>0</v>
      </c>
      <c r="U14" s="25">
        <f>'TUSD BE'!$U$14*'TUSD BF'!$U$58</f>
        <v>0</v>
      </c>
      <c r="V14" s="25">
        <f>'TUSD BE'!$V$14*'TUSD BF'!$V$58</f>
        <v>0</v>
      </c>
      <c r="W14" s="25">
        <f>'TUSD BE'!$W$14*'TUSD BF'!$W$58</f>
        <v>0</v>
      </c>
      <c r="X14" s="25">
        <f>'TUSD BE'!$X$14*'TUSD BF'!$X$58</f>
        <v>0</v>
      </c>
      <c r="Y14" s="25">
        <f>'TUSD BE'!$Y$14*'TUSD BF'!$Y$58</f>
        <v>0</v>
      </c>
      <c r="Z14" s="25">
        <f>'TUSD BE'!$Z$14*'TUSD BF'!$Z$58</f>
        <v>0</v>
      </c>
      <c r="AA14" s="25">
        <f>'TUSD BE'!$AA$14*'TUSD BF'!$AA$58</f>
        <v>0</v>
      </c>
      <c r="AB14" s="25">
        <f>SUM($U$14:$AA$14)</f>
        <v>0</v>
      </c>
      <c r="AC14" s="25">
        <f>'TUSD BE'!$AC$14*'TUSD BF'!$AC$58</f>
        <v>0</v>
      </c>
      <c r="AD14" s="25">
        <f>SUM($AC$14:$AC$14)</f>
        <v>0</v>
      </c>
      <c r="AE14" s="25">
        <f ca="1">$AO$14*$AO$55</f>
        <v>0</v>
      </c>
      <c r="AF14" s="25">
        <f ca="1">$AP$14*$AP$55</f>
        <v>0</v>
      </c>
      <c r="AG14" s="25">
        <f ca="1">SUM($AE$14:$AF$14)</f>
        <v>0</v>
      </c>
      <c r="AH14" s="25">
        <f>'TUSD BE'!$AH$14*'TUSD BF'!$AH$58</f>
        <v>0</v>
      </c>
      <c r="AI14" s="25">
        <f>'TUSD BE'!$AI$14*'TUSD BF'!$AI$58</f>
        <v>0</v>
      </c>
      <c r="AJ14" s="25">
        <f ca="1">'TUSD BE'!$AJ$14*'TUSD BF'!$AJ$58</f>
        <v>0</v>
      </c>
      <c r="AK14" s="25">
        <f ca="1">'TUSD BE'!$AK$14*'TUSD BF'!$AK$58</f>
        <v>0</v>
      </c>
      <c r="AL14" s="25">
        <f ca="1">SUM($AH$14:$AK$14)</f>
        <v>0</v>
      </c>
      <c r="AM14" s="25">
        <f ca="1">SUMIF($L$4:$AL$4,"SUBTOTAL",$L$14:$AL$14)</f>
        <v>0</v>
      </c>
      <c r="AO14" s="30">
        <f ca="1">+'TUSD BE'!$T$14+'TUSD BE'!$AB$14+'TUSD BE'!$AD$14+'TUSD BE'!$AL$14</f>
        <v>22.549735229786286</v>
      </c>
      <c r="AP14" s="30">
        <f ca="1">+'TUSD BE'!$T$14+'TUSD BE'!$AB$14+'TUSD BE'!$AD$14+'TUSD BE'!$AL$14</f>
        <v>22.549735229786286</v>
      </c>
    </row>
    <row r="15" spans="1:42" ht="11.25" customHeight="1" x14ac:dyDescent="0.3">
      <c r="A15" s="120" t="s">
        <v>82</v>
      </c>
      <c r="B15" s="120" t="s">
        <v>81</v>
      </c>
      <c r="C15" s="120" t="s">
        <v>25</v>
      </c>
      <c r="D15" s="120" t="s">
        <v>25</v>
      </c>
      <c r="E15" s="28" t="s">
        <v>83</v>
      </c>
      <c r="F15" s="28" t="s">
        <v>25</v>
      </c>
      <c r="G15" s="21" t="s">
        <v>9</v>
      </c>
      <c r="H15" s="21" t="s">
        <v>77</v>
      </c>
      <c r="I15" s="21">
        <f>'MERCADO TUSD'!$U$12+0.00000001</f>
        <v>1E-8</v>
      </c>
      <c r="J15" s="17"/>
      <c r="L15" s="25">
        <f>'TUSD BE'!$L$15*'TUSD BF'!$L$58</f>
        <v>0</v>
      </c>
      <c r="M15" s="25">
        <f>'TUSD BE'!$M$15*'TUSD BF'!$M$58</f>
        <v>0</v>
      </c>
      <c r="N15" s="25">
        <f ca="1">'TUSD BE'!$N$15*'TUSD BF'!$N$58</f>
        <v>0</v>
      </c>
      <c r="O15" s="25">
        <f>'TUSD BE'!$O$15*'TUSD BF'!$O$58</f>
        <v>0</v>
      </c>
      <c r="P15" s="25">
        <f>'TUSD BE'!$P$15*'TUSD BF'!$P$58</f>
        <v>0</v>
      </c>
      <c r="Q15" s="25">
        <f>'TUSD BE'!$Q$15*'TUSD BF'!$Q$58</f>
        <v>0</v>
      </c>
      <c r="R15" s="25">
        <f>'TUSD BE'!$R$15*'TUSD BF'!$R$58</f>
        <v>0</v>
      </c>
      <c r="S15" s="25">
        <f>'TUSD BE'!$R$15*'TUSD BF'!$S$58</f>
        <v>0</v>
      </c>
      <c r="T15" s="25">
        <f ca="1">SUM($L$15:$S$15)</f>
        <v>0</v>
      </c>
      <c r="U15" s="25">
        <f>'TUSD BE'!$U$15*'TUSD BF'!$U$58</f>
        <v>0</v>
      </c>
      <c r="V15" s="25">
        <f>'TUSD BE'!$V$15*'TUSD BF'!$V$58</f>
        <v>0</v>
      </c>
      <c r="W15" s="25">
        <f>'TUSD BE'!$W$15*'TUSD BF'!$W$58</f>
        <v>0</v>
      </c>
      <c r="X15" s="25">
        <f>'TUSD BE'!$X$15*'TUSD BF'!$X$58</f>
        <v>0</v>
      </c>
      <c r="Y15" s="25">
        <f>'TUSD BE'!$Y$15*'TUSD BF'!$Y$58</f>
        <v>0</v>
      </c>
      <c r="Z15" s="25">
        <f>'TUSD BE'!$Z$15*'TUSD BF'!$Z$58</f>
        <v>0</v>
      </c>
      <c r="AA15" s="25">
        <f>'TUSD BE'!$AA$15*'TUSD BF'!$AA$58</f>
        <v>0</v>
      </c>
      <c r="AB15" s="25">
        <f>SUM($U$15:$AA$15)</f>
        <v>0</v>
      </c>
      <c r="AC15" s="25">
        <f>'TUSD BE'!$AC$15*'TUSD BF'!$AC$58</f>
        <v>0</v>
      </c>
      <c r="AD15" s="25">
        <f>SUM($AC$15:$AC$15)</f>
        <v>0</v>
      </c>
      <c r="AE15" s="25">
        <f ca="1">$AO$15*$AO$55</f>
        <v>0</v>
      </c>
      <c r="AF15" s="25">
        <f ca="1">$AP$15*$AP$55</f>
        <v>0</v>
      </c>
      <c r="AG15" s="25">
        <f ca="1">SUM($AE$15:$AF$15)</f>
        <v>0</v>
      </c>
      <c r="AH15" s="25">
        <f>'TUSD BE'!$AH$15*'TUSD BF'!$AH$58</f>
        <v>0</v>
      </c>
      <c r="AI15" s="25">
        <f>'TUSD BE'!$AI$15*'TUSD BF'!$AI$58</f>
        <v>0</v>
      </c>
      <c r="AJ15" s="25">
        <f ca="1">'TUSD BE'!$AJ$15*'TUSD BF'!$AJ$58</f>
        <v>0</v>
      </c>
      <c r="AK15" s="25">
        <f ca="1">'TUSD BE'!$AK$15*'TUSD BF'!$AK$58</f>
        <v>0</v>
      </c>
      <c r="AL15" s="25">
        <f ca="1">SUM($AH$15:$AK$15)</f>
        <v>0</v>
      </c>
      <c r="AM15" s="25">
        <f ca="1">SUMIF($L$4:$AL$4,"SUBTOTAL",$L$15:$AL$15)</f>
        <v>0</v>
      </c>
      <c r="AO15" s="30">
        <f ca="1">+'TUSD BE'!$T$15+'TUSD BE'!$AB$15+'TUSD BE'!$AD$15+'TUSD BE'!$AL$15</f>
        <v>8.9942412845878383</v>
      </c>
      <c r="AP15" s="30">
        <f ca="1">+'TUSD BE'!$T$15+'TUSD BE'!$AB$15+'TUSD BE'!$AD$15+'TUSD BE'!$AL$15</f>
        <v>8.9942412845878383</v>
      </c>
    </row>
    <row r="16" spans="1:42" ht="11.25" customHeight="1" x14ac:dyDescent="0.3">
      <c r="A16" s="120"/>
      <c r="B16" s="120"/>
      <c r="C16" s="120"/>
      <c r="D16" s="120"/>
      <c r="E16" s="28" t="s">
        <v>84</v>
      </c>
      <c r="F16" s="28" t="s">
        <v>25</v>
      </c>
      <c r="G16" s="21" t="s">
        <v>9</v>
      </c>
      <c r="H16" s="21" t="s">
        <v>77</v>
      </c>
      <c r="I16" s="21">
        <f>'MERCADO TUSD'!$U$13+0.00000001</f>
        <v>1E-8</v>
      </c>
      <c r="J16" s="17"/>
      <c r="L16" s="25">
        <f>'TUSD BE'!$L$16*'TUSD BF'!$L$58</f>
        <v>0</v>
      </c>
      <c r="M16" s="25">
        <f>'TUSD BE'!$M$16*'TUSD BF'!$M$58</f>
        <v>0</v>
      </c>
      <c r="N16" s="25">
        <f ca="1">'TUSD BE'!$N$16*'TUSD BF'!$N$58</f>
        <v>0</v>
      </c>
      <c r="O16" s="25">
        <f>'TUSD BE'!$O$16*'TUSD BF'!$O$58</f>
        <v>0</v>
      </c>
      <c r="P16" s="25">
        <f>'TUSD BE'!$P$16*'TUSD BF'!$P$58</f>
        <v>0</v>
      </c>
      <c r="Q16" s="25">
        <f>'TUSD BE'!$Q$16*'TUSD BF'!$Q$58</f>
        <v>0</v>
      </c>
      <c r="R16" s="25">
        <f>'TUSD BE'!$R$16*'TUSD BF'!$R$58</f>
        <v>0</v>
      </c>
      <c r="S16" s="25">
        <f>'TUSD BE'!$R$16*'TUSD BF'!$S$58</f>
        <v>0</v>
      </c>
      <c r="T16" s="25">
        <f ca="1">SUM($L$16:$S$16)</f>
        <v>0</v>
      </c>
      <c r="U16" s="25">
        <f>'TUSD BE'!$U$16*'TUSD BF'!$U$58</f>
        <v>0</v>
      </c>
      <c r="V16" s="25">
        <f>'TUSD BE'!$V$16*'TUSD BF'!$V$58</f>
        <v>0</v>
      </c>
      <c r="W16" s="25">
        <f>'TUSD BE'!$W$16*'TUSD BF'!$W$58</f>
        <v>0</v>
      </c>
      <c r="X16" s="25">
        <f>'TUSD BE'!$X$16*'TUSD BF'!$X$58</f>
        <v>0</v>
      </c>
      <c r="Y16" s="25">
        <f>'TUSD BE'!$Y$16*'TUSD BF'!$Y$58</f>
        <v>0</v>
      </c>
      <c r="Z16" s="25">
        <f>'TUSD BE'!$Z$16*'TUSD BF'!$Z$58</f>
        <v>0</v>
      </c>
      <c r="AA16" s="25">
        <f>'TUSD BE'!$AA$16*'TUSD BF'!$AA$58</f>
        <v>0</v>
      </c>
      <c r="AB16" s="25">
        <f>SUM($U$16:$AA$16)</f>
        <v>0</v>
      </c>
      <c r="AC16" s="25">
        <f>'TUSD BE'!$AC$16*'TUSD BF'!$AC$58</f>
        <v>0</v>
      </c>
      <c r="AD16" s="25">
        <f>SUM($AC$16:$AC$16)</f>
        <v>0</v>
      </c>
      <c r="AE16" s="25">
        <f ca="1">$AO$16*$AO$55</f>
        <v>0</v>
      </c>
      <c r="AF16" s="25">
        <f ca="1">$AP$16*$AP$55</f>
        <v>0</v>
      </c>
      <c r="AG16" s="25">
        <f ca="1">SUM($AE$16:$AF$16)</f>
        <v>0</v>
      </c>
      <c r="AH16" s="25">
        <f>'TUSD BE'!$AH$16*'TUSD BF'!$AH$58</f>
        <v>0</v>
      </c>
      <c r="AI16" s="25">
        <f>'TUSD BE'!$AI$16*'TUSD BF'!$AI$58</f>
        <v>0</v>
      </c>
      <c r="AJ16" s="25">
        <f ca="1">'TUSD BE'!$AJ$16*'TUSD BF'!$AJ$58</f>
        <v>0</v>
      </c>
      <c r="AK16" s="25">
        <f ca="1">'TUSD BE'!$AK$16*'TUSD BF'!$AK$58</f>
        <v>0</v>
      </c>
      <c r="AL16" s="25">
        <f ca="1">SUM($AH$16:$AK$16)</f>
        <v>0</v>
      </c>
      <c r="AM16" s="25">
        <f ca="1">SUMIF($L$4:$AL$4,"SUBTOTAL",$L$16:$AL$16)</f>
        <v>0</v>
      </c>
      <c r="AO16" s="30">
        <f ca="1">+'TUSD BE'!$T$16+'TUSD BE'!$AB$16+'TUSD BE'!$AD$16+'TUSD BE'!$AL$16</f>
        <v>28.962882431670579</v>
      </c>
      <c r="AP16" s="30">
        <f ca="1">+'TUSD BE'!$T$16+'TUSD BE'!$AB$16+'TUSD BE'!$AD$16+'TUSD BE'!$AL$16</f>
        <v>28.962882431670579</v>
      </c>
    </row>
    <row r="17" spans="1:42" ht="11.25" customHeight="1" x14ac:dyDescent="0.3">
      <c r="A17" s="120" t="s">
        <v>22</v>
      </c>
      <c r="B17" s="120" t="s">
        <v>33</v>
      </c>
      <c r="C17" s="120" t="s">
        <v>24</v>
      </c>
      <c r="D17" s="120" t="s">
        <v>24</v>
      </c>
      <c r="E17" s="120" t="s">
        <v>25</v>
      </c>
      <c r="F17" s="120" t="s">
        <v>25</v>
      </c>
      <c r="G17" s="21" t="s">
        <v>73</v>
      </c>
      <c r="H17" s="21" t="s">
        <v>72</v>
      </c>
      <c r="I17" s="21">
        <f>'MERCADO TUSD'!$U$14</f>
        <v>3.1E-2</v>
      </c>
      <c r="J17" s="17"/>
      <c r="L17" s="25">
        <f>'TUSD BE'!$L$17*'TUSD BF'!$L$58</f>
        <v>0</v>
      </c>
      <c r="M17" s="25">
        <f>'TUSD BE'!$M$17*'TUSD BF'!$M$58</f>
        <v>0</v>
      </c>
      <c r="N17" s="25">
        <f ca="1">'TUSD BE'!$N$17*'TUSD BF'!$N$58</f>
        <v>0</v>
      </c>
      <c r="O17" s="25">
        <f>'TUSD BE'!$O$17*'TUSD BF'!$O$58</f>
        <v>0</v>
      </c>
      <c r="P17" s="25">
        <f>'TUSD BE'!$P$17*'TUSD BF'!$P$58</f>
        <v>0</v>
      </c>
      <c r="Q17" s="25">
        <f>'TUSD BE'!$Q$17*'TUSD BF'!$Q$58</f>
        <v>0</v>
      </c>
      <c r="R17" s="25">
        <f>'TUSD BE'!$R$17*'TUSD BF'!$R$58</f>
        <v>0</v>
      </c>
      <c r="S17" s="25">
        <f>'TUSD BE'!$R$17*'TUSD BF'!$S$58</f>
        <v>0</v>
      </c>
      <c r="T17" s="25">
        <f ca="1">SUM($L$17:$S$17)</f>
        <v>0</v>
      </c>
      <c r="U17" s="25">
        <f>'TUSD BE'!$U$17*'TUSD BF'!$U$58</f>
        <v>0</v>
      </c>
      <c r="V17" s="25">
        <f>'TUSD BE'!$V$17*'TUSD BF'!$V$58</f>
        <v>0</v>
      </c>
      <c r="W17" s="25">
        <f>'TUSD BE'!$W$17*'TUSD BF'!$W$58</f>
        <v>0</v>
      </c>
      <c r="X17" s="25">
        <f>'TUSD BE'!$X$17*'TUSD BF'!$X$58</f>
        <v>0</v>
      </c>
      <c r="Y17" s="25">
        <f>'TUSD BE'!$Y$17*'TUSD BF'!$Y$58</f>
        <v>0</v>
      </c>
      <c r="Z17" s="25">
        <f>'TUSD BE'!$Z$17*'TUSD BF'!$Z$58</f>
        <v>0</v>
      </c>
      <c r="AA17" s="25">
        <f>'TUSD BE'!$AA$17*'TUSD BF'!$AA$58</f>
        <v>0</v>
      </c>
      <c r="AB17" s="25">
        <f>SUM($U$17:$AA$17)</f>
        <v>0</v>
      </c>
      <c r="AC17" s="25">
        <f>'TUSD BE'!$AC$17*'TUSD BF'!$AC$58</f>
        <v>0</v>
      </c>
      <c r="AD17" s="25">
        <f>SUM($AC$17:$AC$17)</f>
        <v>0</v>
      </c>
      <c r="AE17" s="25">
        <f ca="1">$AO$17*$AO$55</f>
        <v>0</v>
      </c>
      <c r="AF17" s="25">
        <f ca="1">$AP$17*$AP$55</f>
        <v>0</v>
      </c>
      <c r="AG17" s="25">
        <f ca="1">SUM($AE$17:$AF$17)</f>
        <v>0</v>
      </c>
      <c r="AH17" s="25">
        <f>'TUSD BE'!$AH$17*'TUSD BF'!$AH$58</f>
        <v>0</v>
      </c>
      <c r="AI17" s="25">
        <f>'TUSD BE'!$AI$17*'TUSD BF'!$AI$58</f>
        <v>0</v>
      </c>
      <c r="AJ17" s="25">
        <f ca="1">'TUSD BE'!$AJ$17*'TUSD BF'!$AJ$58</f>
        <v>0</v>
      </c>
      <c r="AK17" s="25">
        <f ca="1">'TUSD BE'!$AK$17*'TUSD BF'!$AK$58</f>
        <v>0</v>
      </c>
      <c r="AL17" s="25">
        <f ca="1">SUM($AH$17:$AK$17)</f>
        <v>0</v>
      </c>
      <c r="AM17" s="25">
        <f ca="1">SUMIF($L$4:$AL$4,"SUBTOTAL",$L$17:$AL$17)</f>
        <v>0</v>
      </c>
      <c r="AO17" s="30">
        <f ca="1">+'TUSD BE'!$T$17+'TUSD BE'!$AB$17+'TUSD BE'!$AD$17+'TUSD BE'!$AL$17</f>
        <v>2555.5922539377125</v>
      </c>
      <c r="AP17" s="30">
        <f ca="1">+'TUSD BE'!$T$17+'TUSD BE'!$AB$17+'TUSD BE'!$AD$17+'TUSD BE'!$AL$17</f>
        <v>2555.5922539377125</v>
      </c>
    </row>
    <row r="18" spans="1:42" ht="11.25" customHeight="1" x14ac:dyDescent="0.3">
      <c r="A18" s="120"/>
      <c r="B18" s="120"/>
      <c r="C18" s="120"/>
      <c r="D18" s="120"/>
      <c r="E18" s="120"/>
      <c r="F18" s="120"/>
      <c r="G18" s="21" t="s">
        <v>85</v>
      </c>
      <c r="H18" s="21" t="s">
        <v>72</v>
      </c>
      <c r="I18" s="21">
        <f>'MERCADO TUSD'!$U$15</f>
        <v>0</v>
      </c>
      <c r="J18" s="17"/>
      <c r="L18" s="25">
        <f>'TUSD BE'!$L$18*'TUSD BF'!$L$58</f>
        <v>0</v>
      </c>
      <c r="M18" s="25">
        <f>'TUSD BE'!$M$18*'TUSD BF'!$M$58</f>
        <v>0</v>
      </c>
      <c r="N18" s="25">
        <f ca="1">'TUSD BE'!$N$18*'TUSD BF'!$N$58</f>
        <v>0</v>
      </c>
      <c r="O18" s="25">
        <f>'TUSD BE'!$O$18*'TUSD BF'!$O$58</f>
        <v>0</v>
      </c>
      <c r="P18" s="25">
        <f>'TUSD BE'!$P$18*'TUSD BF'!$P$58</f>
        <v>0</v>
      </c>
      <c r="Q18" s="25">
        <f>'TUSD BE'!$Q$18*'TUSD BF'!$Q$58</f>
        <v>0</v>
      </c>
      <c r="R18" s="25">
        <f>'TUSD BE'!$R$18*'TUSD BF'!$R$58</f>
        <v>0</v>
      </c>
      <c r="S18" s="25">
        <f>'TUSD BE'!$R$18*'TUSD BF'!$S$58</f>
        <v>0</v>
      </c>
      <c r="T18" s="25">
        <f ca="1">SUM($L$18:$S$18)</f>
        <v>0</v>
      </c>
      <c r="U18" s="25">
        <f>'TUSD BE'!$U$18*'TUSD BF'!$U$58</f>
        <v>0</v>
      </c>
      <c r="V18" s="25">
        <f>'TUSD BE'!$V$18*'TUSD BF'!$V$58</f>
        <v>0</v>
      </c>
      <c r="W18" s="25">
        <f>'TUSD BE'!$W$18*'TUSD BF'!$W$58</f>
        <v>0</v>
      </c>
      <c r="X18" s="25">
        <f>'TUSD BE'!$X$18*'TUSD BF'!$X$58</f>
        <v>0</v>
      </c>
      <c r="Y18" s="25">
        <f>'TUSD BE'!$Y$18*'TUSD BF'!$Y$58</f>
        <v>0</v>
      </c>
      <c r="Z18" s="25">
        <f>'TUSD BE'!$Z$18*'TUSD BF'!$Z$58</f>
        <v>0</v>
      </c>
      <c r="AA18" s="25">
        <f>'TUSD BE'!$AA$18*'TUSD BF'!$AA$58</f>
        <v>0</v>
      </c>
      <c r="AB18" s="25">
        <f>SUM($U$18:$AA$18)</f>
        <v>0</v>
      </c>
      <c r="AC18" s="25">
        <f>'TUSD BE'!$AC$18*'TUSD BF'!$AC$58</f>
        <v>0</v>
      </c>
      <c r="AD18" s="25">
        <f>SUM($AC$18:$AC$18)</f>
        <v>0</v>
      </c>
      <c r="AE18" s="25">
        <f ca="1">$AO$18*$AO$55</f>
        <v>0</v>
      </c>
      <c r="AF18" s="25">
        <f ca="1">$AP$18*$AP$55</f>
        <v>0</v>
      </c>
      <c r="AG18" s="25">
        <f ca="1">SUM($AE$18:$AF$18)</f>
        <v>0</v>
      </c>
      <c r="AH18" s="25">
        <f>'TUSD BE'!$AH$18*'TUSD BF'!$AH$58</f>
        <v>0</v>
      </c>
      <c r="AI18" s="25">
        <f>'TUSD BE'!$AI$18*'TUSD BF'!$AI$58</f>
        <v>0</v>
      </c>
      <c r="AJ18" s="25">
        <f ca="1">'TUSD BE'!$AJ$18*'TUSD BF'!$AJ$58</f>
        <v>0</v>
      </c>
      <c r="AK18" s="25">
        <f ca="1">'TUSD BE'!$AK$18*'TUSD BF'!$AK$58</f>
        <v>0</v>
      </c>
      <c r="AL18" s="25">
        <f ca="1">SUM($AH$18:$AK$18)</f>
        <v>0</v>
      </c>
      <c r="AM18" s="25">
        <f ca="1">SUMIF($L$4:$AL$4,"SUBTOTAL",$L$18:$AL$18)</f>
        <v>0</v>
      </c>
      <c r="AO18" s="30">
        <f ca="1">+'TUSD BE'!$T$18+'TUSD BE'!$AB$18+'TUSD BE'!$AD$18+'TUSD BE'!$AL$18</f>
        <v>1597.6044973571552</v>
      </c>
      <c r="AP18" s="30">
        <f ca="1">+'TUSD BE'!$T$18+'TUSD BE'!$AB$18+'TUSD BE'!$AD$18+'TUSD BE'!$AL$18</f>
        <v>1597.6044973571552</v>
      </c>
    </row>
    <row r="19" spans="1:42" ht="11.25" customHeight="1" x14ac:dyDescent="0.3">
      <c r="A19" s="120"/>
      <c r="B19" s="120"/>
      <c r="C19" s="120"/>
      <c r="D19" s="120"/>
      <c r="E19" s="120"/>
      <c r="F19" s="120"/>
      <c r="G19" s="21" t="s">
        <v>74</v>
      </c>
      <c r="H19" s="21" t="s">
        <v>72</v>
      </c>
      <c r="I19" s="21">
        <f>'MERCADO TUSD'!$U$16</f>
        <v>0.71099999999999985</v>
      </c>
      <c r="J19" s="17"/>
      <c r="L19" s="25">
        <f>'TUSD BE'!$L$19*'TUSD BF'!$L$58</f>
        <v>0</v>
      </c>
      <c r="M19" s="25">
        <f>'TUSD BE'!$M$19*'TUSD BF'!$M$58</f>
        <v>0</v>
      </c>
      <c r="N19" s="25">
        <f ca="1">'TUSD BE'!$N$19*'TUSD BF'!$N$58</f>
        <v>0</v>
      </c>
      <c r="O19" s="25">
        <f>'TUSD BE'!$O$19*'TUSD BF'!$O$58</f>
        <v>0</v>
      </c>
      <c r="P19" s="25">
        <f>'TUSD BE'!$P$19*'TUSD BF'!$P$58</f>
        <v>0</v>
      </c>
      <c r="Q19" s="25">
        <f>'TUSD BE'!$Q$19*'TUSD BF'!$Q$58</f>
        <v>0</v>
      </c>
      <c r="R19" s="25">
        <f>'TUSD BE'!$R$19*'TUSD BF'!$R$58</f>
        <v>0</v>
      </c>
      <c r="S19" s="25">
        <f>'TUSD BE'!$R$19*'TUSD BF'!$S$58</f>
        <v>0</v>
      </c>
      <c r="T19" s="25">
        <f ca="1">SUM($L$19:$S$19)</f>
        <v>0</v>
      </c>
      <c r="U19" s="25">
        <f>'TUSD BE'!$U$19*'TUSD BF'!$U$58</f>
        <v>0</v>
      </c>
      <c r="V19" s="25">
        <f>'TUSD BE'!$V$19*'TUSD BF'!$V$58</f>
        <v>0</v>
      </c>
      <c r="W19" s="25">
        <f>'TUSD BE'!$W$19*'TUSD BF'!$W$58</f>
        <v>0</v>
      </c>
      <c r="X19" s="25">
        <f>'TUSD BE'!$X$19*'TUSD BF'!$X$58</f>
        <v>0</v>
      </c>
      <c r="Y19" s="25">
        <f>'TUSD BE'!$Y$19*'TUSD BF'!$Y$58</f>
        <v>0</v>
      </c>
      <c r="Z19" s="25">
        <f>'TUSD BE'!$Z$19*'TUSD BF'!$Z$58</f>
        <v>0</v>
      </c>
      <c r="AA19" s="25">
        <f>'TUSD BE'!$AA$19*'TUSD BF'!$AA$58</f>
        <v>0</v>
      </c>
      <c r="AB19" s="25">
        <f>SUM($U$19:$AA$19)</f>
        <v>0</v>
      </c>
      <c r="AC19" s="25">
        <f>'TUSD BE'!$AC$19*'TUSD BF'!$AC$58</f>
        <v>0</v>
      </c>
      <c r="AD19" s="25">
        <f>SUM($AC$19:$AC$19)</f>
        <v>0</v>
      </c>
      <c r="AE19" s="25">
        <f ca="1">$AO$19*$AO$55</f>
        <v>0</v>
      </c>
      <c r="AF19" s="25">
        <f ca="1">$AP$19*$AP$55</f>
        <v>0</v>
      </c>
      <c r="AG19" s="25">
        <f ca="1">SUM($AE$19:$AF$19)</f>
        <v>0</v>
      </c>
      <c r="AH19" s="25">
        <f>'TUSD BE'!$AH$19*'TUSD BF'!$AH$58</f>
        <v>0</v>
      </c>
      <c r="AI19" s="25">
        <f>'TUSD BE'!$AI$19*'TUSD BF'!$AI$58</f>
        <v>0</v>
      </c>
      <c r="AJ19" s="25">
        <f ca="1">'TUSD BE'!$AJ$19*'TUSD BF'!$AJ$58</f>
        <v>0</v>
      </c>
      <c r="AK19" s="25">
        <f ca="1">'TUSD BE'!$AK$19*'TUSD BF'!$AK$58</f>
        <v>0</v>
      </c>
      <c r="AL19" s="25">
        <f ca="1">SUM($AH$19:$AK$19)</f>
        <v>0</v>
      </c>
      <c r="AM19" s="25">
        <f ca="1">SUMIF($L$4:$AL$4,"SUBTOTAL",$L$19:$AL$19)</f>
        <v>0</v>
      </c>
      <c r="AO19" s="30">
        <f ca="1">+'TUSD BE'!$T$19+'TUSD BE'!$AB$19+'TUSD BE'!$AD$19+'TUSD BE'!$AL$19</f>
        <v>639.61740188224928</v>
      </c>
      <c r="AP19" s="30">
        <f ca="1">+'TUSD BE'!$T$19+'TUSD BE'!$AB$19+'TUSD BE'!$AD$19+'TUSD BE'!$AL$19</f>
        <v>639.61740188224928</v>
      </c>
    </row>
    <row r="20" spans="1:42" ht="11.25" customHeight="1" x14ac:dyDescent="0.3">
      <c r="A20" s="120"/>
      <c r="B20" s="120" t="s">
        <v>23</v>
      </c>
      <c r="C20" s="120" t="s">
        <v>24</v>
      </c>
      <c r="D20" s="28" t="s">
        <v>24</v>
      </c>
      <c r="E20" s="28" t="s">
        <v>25</v>
      </c>
      <c r="F20" s="28" t="s">
        <v>25</v>
      </c>
      <c r="G20" s="21" t="s">
        <v>76</v>
      </c>
      <c r="H20" s="21" t="s">
        <v>72</v>
      </c>
      <c r="I20" s="21">
        <f>'MERCADO TUSD'!$U$17</f>
        <v>9876.3909999999996</v>
      </c>
      <c r="J20" s="17"/>
      <c r="L20" s="25">
        <f>'TUSD BE'!$L$20*'TUSD BF'!$L$58</f>
        <v>0</v>
      </c>
      <c r="M20" s="25">
        <f>'TUSD BE'!$M$20*'TUSD BF'!$M$58</f>
        <v>0</v>
      </c>
      <c r="N20" s="25">
        <f ca="1">'TUSD BE'!$N$20*'TUSD BF'!$N$58</f>
        <v>0</v>
      </c>
      <c r="O20" s="25">
        <f>'TUSD BE'!$O$20*'TUSD BF'!$O$58</f>
        <v>0</v>
      </c>
      <c r="P20" s="25">
        <f>'TUSD BE'!$P$20*'TUSD BF'!$P$58</f>
        <v>0</v>
      </c>
      <c r="Q20" s="25">
        <f>'TUSD BE'!$Q$20*'TUSD BF'!$Q$58</f>
        <v>0</v>
      </c>
      <c r="R20" s="25">
        <f>'TUSD BE'!$R$20*'TUSD BF'!$R$58</f>
        <v>0</v>
      </c>
      <c r="S20" s="25">
        <f>'TUSD BE'!$R$20*'TUSD BF'!$S$58</f>
        <v>0</v>
      </c>
      <c r="T20" s="25">
        <f ca="1">SUM($L$20:$S$20)</f>
        <v>0</v>
      </c>
      <c r="U20" s="25">
        <f>'TUSD BE'!$U$20*'TUSD BF'!$U$58</f>
        <v>0</v>
      </c>
      <c r="V20" s="25">
        <f>'TUSD BE'!$V$20*'TUSD BF'!$V$58</f>
        <v>0</v>
      </c>
      <c r="W20" s="25">
        <f>'TUSD BE'!$W$20*'TUSD BF'!$W$58</f>
        <v>0</v>
      </c>
      <c r="X20" s="25">
        <f>'TUSD BE'!$X$20*'TUSD BF'!$X$58</f>
        <v>0</v>
      </c>
      <c r="Y20" s="25">
        <f>'TUSD BE'!$Y$20*'TUSD BF'!$Y$58</f>
        <v>0</v>
      </c>
      <c r="Z20" s="25">
        <f>'TUSD BE'!$Z$20*'TUSD BF'!$Z$58</f>
        <v>0</v>
      </c>
      <c r="AA20" s="25">
        <f>'TUSD BE'!$AA$20*'TUSD BF'!$AA$58</f>
        <v>0</v>
      </c>
      <c r="AB20" s="25">
        <f>SUM($U$20:$AA$20)</f>
        <v>0</v>
      </c>
      <c r="AC20" s="25">
        <f>'TUSD BE'!$AC$20*'TUSD BF'!$AC$58</f>
        <v>0</v>
      </c>
      <c r="AD20" s="25">
        <f>SUM($AC$20:$AC$20)</f>
        <v>0</v>
      </c>
      <c r="AE20" s="25">
        <f ca="1">$AO$20*$AO$55</f>
        <v>0</v>
      </c>
      <c r="AF20" s="25">
        <f ca="1">$AP$20*$AP$55</f>
        <v>0</v>
      </c>
      <c r="AG20" s="25">
        <f ca="1">SUM($AE$20:$AF$20)</f>
        <v>0</v>
      </c>
      <c r="AH20" s="25">
        <f>'TUSD BE'!$AH$20*'TUSD BF'!$AH$58</f>
        <v>0</v>
      </c>
      <c r="AI20" s="25">
        <f>'TUSD BE'!$AI$20*'TUSD BF'!$AI$58</f>
        <v>0</v>
      </c>
      <c r="AJ20" s="25">
        <f ca="1">'TUSD BE'!$AJ$20*'TUSD BF'!$AJ$58</f>
        <v>0</v>
      </c>
      <c r="AK20" s="25">
        <f ca="1">'TUSD BE'!$AK$20*'TUSD BF'!$AK$58</f>
        <v>0</v>
      </c>
      <c r="AL20" s="25">
        <f ca="1">SUM($AH$20:$AK$20)</f>
        <v>0</v>
      </c>
      <c r="AM20" s="25">
        <f ca="1">SUMIF($L$4:$AL$4,"SUBTOTAL",$L$20:$AL$20)</f>
        <v>0</v>
      </c>
      <c r="AO20" s="30">
        <f ca="1">+'TUSD BE'!$T$20+'TUSD BE'!$AB$20+'TUSD BE'!$AD$20+'TUSD BE'!$AL$20</f>
        <v>1047.6487845789259</v>
      </c>
      <c r="AP20" s="30">
        <f ca="1">+'TUSD BE'!$T$20+'TUSD BE'!$AB$20+'TUSD BE'!$AD$20+'TUSD BE'!$AL$20</f>
        <v>1047.6487845789259</v>
      </c>
    </row>
    <row r="21" spans="1:42" ht="11.25" customHeight="1" x14ac:dyDescent="0.3">
      <c r="A21" s="120"/>
      <c r="B21" s="120"/>
      <c r="C21" s="120"/>
      <c r="D21" s="28" t="s">
        <v>29</v>
      </c>
      <c r="E21" s="28" t="s">
        <v>25</v>
      </c>
      <c r="F21" s="28" t="s">
        <v>25</v>
      </c>
      <c r="G21" s="21" t="s">
        <v>76</v>
      </c>
      <c r="H21" s="21" t="s">
        <v>72</v>
      </c>
      <c r="I21" s="21">
        <f>'MERCADO TUSD'!$U$18</f>
        <v>38.58</v>
      </c>
      <c r="J21" s="17"/>
      <c r="L21" s="25">
        <f>'TUSD BE'!$L$21*'TUSD BF'!$L$58</f>
        <v>0</v>
      </c>
      <c r="M21" s="25">
        <f>'TUSD BE'!$M$21*'TUSD BF'!$M$58</f>
        <v>0</v>
      </c>
      <c r="N21" s="25">
        <f ca="1">'TUSD BE'!$N$21*'TUSD BF'!$N$58</f>
        <v>0</v>
      </c>
      <c r="O21" s="25">
        <f>'TUSD BE'!$O$21*'TUSD BF'!$O$58</f>
        <v>0</v>
      </c>
      <c r="P21" s="25">
        <f>'TUSD BE'!$P$21*'TUSD BF'!$P$58</f>
        <v>0</v>
      </c>
      <c r="Q21" s="25">
        <f>'TUSD BE'!$Q$21*'TUSD BF'!$Q$58</f>
        <v>0</v>
      </c>
      <c r="R21" s="25">
        <f>'TUSD BE'!$R$21*'TUSD BF'!$R$58</f>
        <v>0</v>
      </c>
      <c r="S21" s="25">
        <f>'TUSD BE'!$R$21*'TUSD BF'!$S$58</f>
        <v>0</v>
      </c>
      <c r="T21" s="25">
        <f ca="1">SUM($L$21:$S$21)</f>
        <v>0</v>
      </c>
      <c r="U21" s="25">
        <f>'TUSD BE'!$U$21*'TUSD BF'!$U$58</f>
        <v>0</v>
      </c>
      <c r="V21" s="25">
        <f>'TUSD BE'!$V$21*'TUSD BF'!$V$58</f>
        <v>0</v>
      </c>
      <c r="W21" s="25">
        <f>'TUSD BE'!$W$21*'TUSD BF'!$W$58</f>
        <v>0</v>
      </c>
      <c r="X21" s="25">
        <f>'TUSD BE'!$X$21*'TUSD BF'!$X$58</f>
        <v>0</v>
      </c>
      <c r="Y21" s="25">
        <f>'TUSD BE'!$Y$21*'TUSD BF'!$Y$58</f>
        <v>0</v>
      </c>
      <c r="Z21" s="25">
        <f>'TUSD BE'!$Z$21*'TUSD BF'!$Z$58</f>
        <v>0</v>
      </c>
      <c r="AA21" s="25">
        <f>'TUSD BE'!$AA$21*'TUSD BF'!$AA$58</f>
        <v>0</v>
      </c>
      <c r="AB21" s="25">
        <f>SUM($U$21:$AA$21)</f>
        <v>0</v>
      </c>
      <c r="AC21" s="25">
        <f>'TUSD BE'!$AC$21*'TUSD BF'!$AC$58</f>
        <v>0</v>
      </c>
      <c r="AD21" s="25">
        <f>SUM($AC$21:$AC$21)</f>
        <v>0</v>
      </c>
      <c r="AE21" s="25">
        <f ca="1">$AO$21*$AO$55</f>
        <v>0</v>
      </c>
      <c r="AF21" s="25">
        <f ca="1">$AP$21*$AP$55</f>
        <v>0</v>
      </c>
      <c r="AG21" s="25">
        <f ca="1">SUM($AE$21:$AF$21)</f>
        <v>0</v>
      </c>
      <c r="AH21" s="25">
        <f>'TUSD BE'!$AH$21*'TUSD BF'!$AH$58</f>
        <v>0</v>
      </c>
      <c r="AI21" s="25">
        <f>'TUSD BE'!$AI$21*'TUSD BF'!$AI$58</f>
        <v>0</v>
      </c>
      <c r="AJ21" s="25">
        <f ca="1">'TUSD BE'!$AJ$21*'TUSD BF'!$AJ$58</f>
        <v>0</v>
      </c>
      <c r="AK21" s="25">
        <f ca="1">'TUSD BE'!$AK$21*'TUSD BF'!$AK$58</f>
        <v>0</v>
      </c>
      <c r="AL21" s="25">
        <f ca="1">SUM($AH$21:$AK$21)</f>
        <v>0</v>
      </c>
      <c r="AM21" s="25">
        <f ca="1">SUMIF($L$4:$AL$4,"SUBTOTAL",$L$21:$AL$21)</f>
        <v>0</v>
      </c>
      <c r="AO21" s="30">
        <f ca="1">+'TUSD BE'!$T$21+'TUSD BE'!$AB$21+'TUSD BE'!$AD$21+'TUSD BE'!$AL$21</f>
        <v>926.06915548230791</v>
      </c>
      <c r="AP21" s="30">
        <f ca="1">+'TUSD BE'!$T$21+'TUSD BE'!$AB$21+'TUSD BE'!$AD$21+'TUSD BE'!$AL$21</f>
        <v>926.06915548230791</v>
      </c>
    </row>
    <row r="22" spans="1:42" ht="11.25" customHeight="1" x14ac:dyDescent="0.3">
      <c r="A22" s="120"/>
      <c r="B22" s="120"/>
      <c r="C22" s="120"/>
      <c r="D22" s="28" t="s">
        <v>30</v>
      </c>
      <c r="E22" s="28" t="s">
        <v>25</v>
      </c>
      <c r="F22" s="28" t="s">
        <v>25</v>
      </c>
      <c r="G22" s="21" t="s">
        <v>76</v>
      </c>
      <c r="H22" s="21" t="s">
        <v>72</v>
      </c>
      <c r="I22" s="21">
        <f>'MERCADO TUSD'!$U$19</f>
        <v>77.120999999999995</v>
      </c>
      <c r="J22" s="17"/>
      <c r="L22" s="25">
        <f>'TUSD BE'!$L$22*'TUSD BF'!$L$58</f>
        <v>0</v>
      </c>
      <c r="M22" s="25">
        <f>'TUSD BE'!$M$22*'TUSD BF'!$M$58</f>
        <v>0</v>
      </c>
      <c r="N22" s="25">
        <f ca="1">'TUSD BE'!$N$22*'TUSD BF'!$N$58</f>
        <v>0</v>
      </c>
      <c r="O22" s="25">
        <f>'TUSD BE'!$O$22*'TUSD BF'!$O$58</f>
        <v>0</v>
      </c>
      <c r="P22" s="25">
        <f>'TUSD BE'!$P$22*'TUSD BF'!$P$58</f>
        <v>0</v>
      </c>
      <c r="Q22" s="25">
        <f>'TUSD BE'!$Q$22*'TUSD BF'!$Q$58</f>
        <v>0</v>
      </c>
      <c r="R22" s="25">
        <f>'TUSD BE'!$R$22*'TUSD BF'!$R$58</f>
        <v>0</v>
      </c>
      <c r="S22" s="25">
        <f>'TUSD BE'!$R$22*'TUSD BF'!$S$58</f>
        <v>0</v>
      </c>
      <c r="T22" s="25">
        <f ca="1">SUM($L$22:$S$22)</f>
        <v>0</v>
      </c>
      <c r="U22" s="25">
        <f>'TUSD BE'!$U$22*'TUSD BF'!$U$58</f>
        <v>0</v>
      </c>
      <c r="V22" s="25">
        <f>'TUSD BE'!$V$22*'TUSD BF'!$V$58</f>
        <v>0</v>
      </c>
      <c r="W22" s="25">
        <f>'TUSD BE'!$W$22*'TUSD BF'!$W$58</f>
        <v>0</v>
      </c>
      <c r="X22" s="25">
        <f>'TUSD BE'!$X$22*'TUSD BF'!$X$58</f>
        <v>0</v>
      </c>
      <c r="Y22" s="25">
        <f>'TUSD BE'!$Y$22*'TUSD BF'!$Y$58</f>
        <v>0</v>
      </c>
      <c r="Z22" s="25">
        <f>'TUSD BE'!$Z$22*'TUSD BF'!$Z$58</f>
        <v>0</v>
      </c>
      <c r="AA22" s="25">
        <f>'TUSD BE'!$AA$22*'TUSD BF'!$AA$58</f>
        <v>0</v>
      </c>
      <c r="AB22" s="25">
        <f>SUM($U$22:$AA$22)</f>
        <v>0</v>
      </c>
      <c r="AC22" s="25">
        <f>'TUSD BE'!$AC$22*'TUSD BF'!$AC$58</f>
        <v>0</v>
      </c>
      <c r="AD22" s="25">
        <f>SUM($AC$22:$AC$22)</f>
        <v>0</v>
      </c>
      <c r="AE22" s="25">
        <f ca="1">$AO$22*$AO$55</f>
        <v>0</v>
      </c>
      <c r="AF22" s="25">
        <f ca="1">$AP$22*$AP$55</f>
        <v>0</v>
      </c>
      <c r="AG22" s="25">
        <f ca="1">SUM($AE$22:$AF$22)</f>
        <v>0</v>
      </c>
      <c r="AH22" s="25">
        <f>'TUSD BE'!$AH$22*'TUSD BF'!$AH$58</f>
        <v>0</v>
      </c>
      <c r="AI22" s="25">
        <f>'TUSD BE'!$AI$22*'TUSD BF'!$AI$58</f>
        <v>0</v>
      </c>
      <c r="AJ22" s="25">
        <f ca="1">'TUSD BE'!$AJ$22*'TUSD BF'!$AJ$58</f>
        <v>0</v>
      </c>
      <c r="AK22" s="25">
        <f ca="1">'TUSD BE'!$AK$22*'TUSD BF'!$AK$58</f>
        <v>0</v>
      </c>
      <c r="AL22" s="25">
        <f ca="1">SUM($AH$22:$AK$22)</f>
        <v>0</v>
      </c>
      <c r="AM22" s="25">
        <f ca="1">SUMIF($L$4:$AL$4,"SUBTOTAL",$L$22:$AL$22)</f>
        <v>0</v>
      </c>
      <c r="AO22" s="30">
        <f ca="1">+'TUSD BE'!$T$22+'TUSD BE'!$AB$22+'TUSD BE'!$AD$22+'TUSD BE'!$AL$22</f>
        <v>926.06915548230791</v>
      </c>
      <c r="AP22" s="30">
        <f ca="1">+'TUSD BE'!$T$22+'TUSD BE'!$AB$22+'TUSD BE'!$AD$22+'TUSD BE'!$AL$22</f>
        <v>926.06915548230791</v>
      </c>
    </row>
    <row r="23" spans="1:42" ht="11.25" customHeight="1" x14ac:dyDescent="0.3">
      <c r="A23" s="120"/>
      <c r="B23" s="120"/>
      <c r="C23" s="120"/>
      <c r="D23" s="28" t="s">
        <v>31</v>
      </c>
      <c r="E23" s="28" t="s">
        <v>25</v>
      </c>
      <c r="F23" s="28" t="s">
        <v>25</v>
      </c>
      <c r="G23" s="21" t="s">
        <v>76</v>
      </c>
      <c r="H23" s="21" t="s">
        <v>72</v>
      </c>
      <c r="I23" s="21">
        <f>'MERCADO TUSD'!$U$20</f>
        <v>54.47</v>
      </c>
      <c r="J23" s="17"/>
      <c r="L23" s="25">
        <f>'TUSD BE'!$L$23*'TUSD BF'!$L$58</f>
        <v>0</v>
      </c>
      <c r="M23" s="25">
        <f>'TUSD BE'!$M$23*'TUSD BF'!$M$58</f>
        <v>0</v>
      </c>
      <c r="N23" s="25">
        <f ca="1">'TUSD BE'!$N$23*'TUSD BF'!$N$58</f>
        <v>0</v>
      </c>
      <c r="O23" s="25">
        <f>'TUSD BE'!$O$23*'TUSD BF'!$O$58</f>
        <v>0</v>
      </c>
      <c r="P23" s="25">
        <f>'TUSD BE'!$P$23*'TUSD BF'!$P$58</f>
        <v>0</v>
      </c>
      <c r="Q23" s="25">
        <f>'TUSD BE'!$Q$23*'TUSD BF'!$Q$58</f>
        <v>0</v>
      </c>
      <c r="R23" s="25">
        <f>'TUSD BE'!$R$23*'TUSD BF'!$R$58</f>
        <v>0</v>
      </c>
      <c r="S23" s="25">
        <f>'TUSD BE'!$R$23*'TUSD BF'!$S$58</f>
        <v>0</v>
      </c>
      <c r="T23" s="25">
        <f ca="1">SUM($L$23:$S$23)</f>
        <v>0</v>
      </c>
      <c r="U23" s="25">
        <f>'TUSD BE'!$U$23*'TUSD BF'!$U$58</f>
        <v>0</v>
      </c>
      <c r="V23" s="25">
        <f>'TUSD BE'!$V$23*'TUSD BF'!$V$58</f>
        <v>0</v>
      </c>
      <c r="W23" s="25">
        <f>'TUSD BE'!$W$23*'TUSD BF'!$W$58</f>
        <v>0</v>
      </c>
      <c r="X23" s="25">
        <f>'TUSD BE'!$X$23*'TUSD BF'!$X$58</f>
        <v>0</v>
      </c>
      <c r="Y23" s="25">
        <f>'TUSD BE'!$Y$23*'TUSD BF'!$Y$58</f>
        <v>0</v>
      </c>
      <c r="Z23" s="25">
        <f>'TUSD BE'!$Z$23*'TUSD BF'!$Z$58</f>
        <v>0</v>
      </c>
      <c r="AA23" s="25">
        <f>'TUSD BE'!$AA$23*'TUSD BF'!$AA$58</f>
        <v>0</v>
      </c>
      <c r="AB23" s="25">
        <f>SUM($U$23:$AA$23)</f>
        <v>0</v>
      </c>
      <c r="AC23" s="25">
        <f>'TUSD BE'!$AC$23*'TUSD BF'!$AC$58</f>
        <v>0</v>
      </c>
      <c r="AD23" s="25">
        <f>SUM($AC$23:$AC$23)</f>
        <v>0</v>
      </c>
      <c r="AE23" s="25">
        <f ca="1">$AO$23*$AO$55</f>
        <v>0</v>
      </c>
      <c r="AF23" s="25">
        <f ca="1">$AP$23*$AP$55</f>
        <v>0</v>
      </c>
      <c r="AG23" s="25">
        <f ca="1">SUM($AE$23:$AF$23)</f>
        <v>0</v>
      </c>
      <c r="AH23" s="25">
        <f>'TUSD BE'!$AH$23*'TUSD BF'!$AH$58</f>
        <v>0</v>
      </c>
      <c r="AI23" s="25">
        <f>'TUSD BE'!$AI$23*'TUSD BF'!$AI$58</f>
        <v>0</v>
      </c>
      <c r="AJ23" s="25">
        <f ca="1">'TUSD BE'!$AJ$23*'TUSD BF'!$AJ$58</f>
        <v>0</v>
      </c>
      <c r="AK23" s="25">
        <f ca="1">'TUSD BE'!$AK$23*'TUSD BF'!$AK$58</f>
        <v>0</v>
      </c>
      <c r="AL23" s="25">
        <f ca="1">SUM($AH$23:$AK$23)</f>
        <v>0</v>
      </c>
      <c r="AM23" s="25">
        <f ca="1">SUMIF($L$4:$AL$4,"SUBTOTAL",$L$23:$AL$23)</f>
        <v>0</v>
      </c>
      <c r="AO23" s="30">
        <f ca="1">+'TUSD BE'!$T$23+'TUSD BE'!$AB$23+'TUSD BE'!$AD$23+'TUSD BE'!$AL$23</f>
        <v>926.06915548230791</v>
      </c>
      <c r="AP23" s="30">
        <f ca="1">+'TUSD BE'!$T$23+'TUSD BE'!$AB$23+'TUSD BE'!$AD$23+'TUSD BE'!$AL$23</f>
        <v>926.06915548230791</v>
      </c>
    </row>
    <row r="24" spans="1:42" ht="11.25" customHeight="1" x14ac:dyDescent="0.3">
      <c r="A24" s="120"/>
      <c r="B24" s="120"/>
      <c r="C24" s="120"/>
      <c r="D24" s="28" t="s">
        <v>32</v>
      </c>
      <c r="E24" s="28" t="s">
        <v>25</v>
      </c>
      <c r="F24" s="28" t="s">
        <v>25</v>
      </c>
      <c r="G24" s="21" t="s">
        <v>76</v>
      </c>
      <c r="H24" s="21" t="s">
        <v>72</v>
      </c>
      <c r="I24" s="21">
        <f>'MERCADO TUSD'!$U$21</f>
        <v>9.1170000000000009</v>
      </c>
      <c r="J24" s="17"/>
      <c r="L24" s="25">
        <f>'TUSD BE'!$L$24*'TUSD BF'!$L$58</f>
        <v>0</v>
      </c>
      <c r="M24" s="25">
        <f>'TUSD BE'!$M$24*'TUSD BF'!$M$58</f>
        <v>0</v>
      </c>
      <c r="N24" s="25">
        <f ca="1">'TUSD BE'!$N$24*'TUSD BF'!$N$58</f>
        <v>0</v>
      </c>
      <c r="O24" s="25">
        <f>'TUSD BE'!$O$24*'TUSD BF'!$O$58</f>
        <v>0</v>
      </c>
      <c r="P24" s="25">
        <f>'TUSD BE'!$P$24*'TUSD BF'!$P$58</f>
        <v>0</v>
      </c>
      <c r="Q24" s="25">
        <f>'TUSD BE'!$Q$24*'TUSD BF'!$Q$58</f>
        <v>0</v>
      </c>
      <c r="R24" s="25">
        <f>'TUSD BE'!$R$24*'TUSD BF'!$R$58</f>
        <v>0</v>
      </c>
      <c r="S24" s="25">
        <f>'TUSD BE'!$R$24*'TUSD BF'!$S$58</f>
        <v>0</v>
      </c>
      <c r="T24" s="25">
        <f ca="1">SUM($L$24:$S$24)</f>
        <v>0</v>
      </c>
      <c r="U24" s="25">
        <f>'TUSD BE'!$U$24*'TUSD BF'!$U$58</f>
        <v>0</v>
      </c>
      <c r="V24" s="25">
        <f>'TUSD BE'!$V$24*'TUSD BF'!$V$58</f>
        <v>0</v>
      </c>
      <c r="W24" s="25">
        <f>'TUSD BE'!$W$24*'TUSD BF'!$W$58</f>
        <v>0</v>
      </c>
      <c r="X24" s="25">
        <f>'TUSD BE'!$X$24*'TUSD BF'!$X$58</f>
        <v>0</v>
      </c>
      <c r="Y24" s="25">
        <f>'TUSD BE'!$Y$24*'TUSD BF'!$Y$58</f>
        <v>0</v>
      </c>
      <c r="Z24" s="25">
        <f>'TUSD BE'!$Z$24*'TUSD BF'!$Z$58</f>
        <v>0</v>
      </c>
      <c r="AA24" s="25">
        <f>'TUSD BE'!$AA$24*'TUSD BF'!$AA$58</f>
        <v>0</v>
      </c>
      <c r="AB24" s="25">
        <f>SUM($U$24:$AA$24)</f>
        <v>0</v>
      </c>
      <c r="AC24" s="25">
        <f>'TUSD BE'!$AC$24*'TUSD BF'!$AC$58</f>
        <v>0</v>
      </c>
      <c r="AD24" s="25">
        <f>SUM($AC$24:$AC$24)</f>
        <v>0</v>
      </c>
      <c r="AE24" s="25">
        <f ca="1">$AO$24*$AO$55</f>
        <v>0</v>
      </c>
      <c r="AF24" s="25">
        <f ca="1">$AP$24*$AP$55</f>
        <v>0</v>
      </c>
      <c r="AG24" s="25">
        <f ca="1">SUM($AE$24:$AF$24)</f>
        <v>0</v>
      </c>
      <c r="AH24" s="25">
        <f>'TUSD BE'!$AH$24*'TUSD BF'!$AH$58</f>
        <v>0</v>
      </c>
      <c r="AI24" s="25">
        <f>'TUSD BE'!$AI$24*'TUSD BF'!$AI$58</f>
        <v>0</v>
      </c>
      <c r="AJ24" s="25">
        <f ca="1">'TUSD BE'!$AJ$24*'TUSD BF'!$AJ$58</f>
        <v>0</v>
      </c>
      <c r="AK24" s="25">
        <f ca="1">'TUSD BE'!$AK$24*'TUSD BF'!$AK$58</f>
        <v>0</v>
      </c>
      <c r="AL24" s="25">
        <f ca="1">SUM($AH$24:$AK$24)</f>
        <v>0</v>
      </c>
      <c r="AM24" s="25">
        <f ca="1">SUMIF($L$4:$AL$4,"SUBTOTAL",$L$24:$AL$24)</f>
        <v>0</v>
      </c>
      <c r="AO24" s="30">
        <f ca="1">+'TUSD BE'!$T$24+'TUSD BE'!$AB$24+'TUSD BE'!$AD$24+'TUSD BE'!$AL$24</f>
        <v>926.06915548230791</v>
      </c>
      <c r="AP24" s="30">
        <f ca="1">+'TUSD BE'!$T$24+'TUSD BE'!$AB$24+'TUSD BE'!$AD$24+'TUSD BE'!$AL$24</f>
        <v>926.06915548230791</v>
      </c>
    </row>
    <row r="25" spans="1:42" ht="11.25" customHeight="1" x14ac:dyDescent="0.3">
      <c r="A25" s="120"/>
      <c r="B25" s="120" t="s">
        <v>87</v>
      </c>
      <c r="C25" s="120" t="s">
        <v>24</v>
      </c>
      <c r="D25" s="28" t="s">
        <v>24</v>
      </c>
      <c r="E25" s="28" t="s">
        <v>25</v>
      </c>
      <c r="F25" s="28" t="s">
        <v>25</v>
      </c>
      <c r="G25" s="21" t="s">
        <v>76</v>
      </c>
      <c r="H25" s="21" t="s">
        <v>72</v>
      </c>
      <c r="I25" s="21">
        <f>'MERCADO TUSD'!$U$22</f>
        <v>0</v>
      </c>
      <c r="J25" s="17"/>
      <c r="L25" s="25">
        <f>'TUSD BE'!$L$25*'TUSD BF'!$L$58</f>
        <v>0</v>
      </c>
      <c r="M25" s="25">
        <f>'TUSD BE'!$M$25*'TUSD BF'!$M$58</f>
        <v>0</v>
      </c>
      <c r="N25" s="25">
        <f ca="1">'TUSD BE'!$N$25*'TUSD BF'!$N$58</f>
        <v>0</v>
      </c>
      <c r="O25" s="25">
        <f>'TUSD BE'!$O$25*'TUSD BF'!$O$58</f>
        <v>0</v>
      </c>
      <c r="P25" s="25">
        <f>'TUSD BE'!$P$25*'TUSD BF'!$P$58</f>
        <v>0</v>
      </c>
      <c r="Q25" s="25">
        <f>'TUSD BE'!$Q$25*'TUSD BF'!$Q$58</f>
        <v>0</v>
      </c>
      <c r="R25" s="25">
        <f>'TUSD BE'!$R$25*'TUSD BF'!$R$58</f>
        <v>0</v>
      </c>
      <c r="S25" s="25">
        <f>'TUSD BE'!$R$25*'TUSD BF'!$S$58</f>
        <v>0</v>
      </c>
      <c r="T25" s="25">
        <f ca="1">SUM($L$25:$S$25)</f>
        <v>0</v>
      </c>
      <c r="U25" s="25">
        <f>'TUSD BE'!$U$25*'TUSD BF'!$U$58</f>
        <v>0</v>
      </c>
      <c r="V25" s="25">
        <f>'TUSD BE'!$V$25*'TUSD BF'!$V$58</f>
        <v>0</v>
      </c>
      <c r="W25" s="25">
        <f>'TUSD BE'!$W$25*'TUSD BF'!$W$58</f>
        <v>0</v>
      </c>
      <c r="X25" s="25">
        <f>'TUSD BE'!$X$25*'TUSD BF'!$X$58</f>
        <v>0</v>
      </c>
      <c r="Y25" s="25">
        <f>'TUSD BE'!$Y$25*'TUSD BF'!$Y$58</f>
        <v>0</v>
      </c>
      <c r="Z25" s="25">
        <f>'TUSD BE'!$Z$25*'TUSD BF'!$Z$58</f>
        <v>0</v>
      </c>
      <c r="AA25" s="25">
        <f>'TUSD BE'!$AA$25*'TUSD BF'!$AA$58</f>
        <v>0</v>
      </c>
      <c r="AB25" s="25">
        <f>SUM($U$25:$AA$25)</f>
        <v>0</v>
      </c>
      <c r="AC25" s="25">
        <f>'TUSD BE'!$AC$25*'TUSD BF'!$AC$58</f>
        <v>0</v>
      </c>
      <c r="AD25" s="25">
        <f>SUM($AC$25:$AC$25)</f>
        <v>0</v>
      </c>
      <c r="AE25" s="25">
        <f ca="1">$AO$25*$AO$55</f>
        <v>0</v>
      </c>
      <c r="AF25" s="25">
        <f ca="1">$AP$25*$AP$55</f>
        <v>0</v>
      </c>
      <c r="AG25" s="25">
        <f ca="1">SUM($AE$25:$AF$25)</f>
        <v>0</v>
      </c>
      <c r="AH25" s="25">
        <f>'TUSD BE'!$AH$25*'TUSD BF'!$AH$58</f>
        <v>0</v>
      </c>
      <c r="AI25" s="25">
        <f>'TUSD BE'!$AI$25*'TUSD BF'!$AI$58</f>
        <v>0</v>
      </c>
      <c r="AJ25" s="25">
        <f ca="1">'TUSD BE'!$AJ$25*'TUSD BF'!$AJ$58</f>
        <v>0</v>
      </c>
      <c r="AK25" s="25">
        <f ca="1">'TUSD BE'!$AK$25*'TUSD BF'!$AK$58</f>
        <v>0</v>
      </c>
      <c r="AL25" s="25">
        <f ca="1">SUM($AH$25:$AK$25)</f>
        <v>0</v>
      </c>
      <c r="AM25" s="25">
        <f ca="1">SUMIF($L$4:$AL$4,"SUBTOTAL",$L$25:$AL$25)</f>
        <v>0</v>
      </c>
      <c r="AO25" s="30">
        <f ca="1">+'TUSD BE'!$T$25+'TUSD BE'!$AB$25+'TUSD BE'!$AD$25+'TUSD BE'!$AL$25</f>
        <v>1047.6487845789259</v>
      </c>
      <c r="AP25" s="30">
        <f ca="1">+'TUSD BE'!$T$25+'TUSD BE'!$AB$25+'TUSD BE'!$AD$25+'TUSD BE'!$AL$25</f>
        <v>1047.6487845789259</v>
      </c>
    </row>
    <row r="26" spans="1:42" ht="11.25" customHeight="1" x14ac:dyDescent="0.3">
      <c r="A26" s="120"/>
      <c r="B26" s="120"/>
      <c r="C26" s="120"/>
      <c r="D26" s="28" t="s">
        <v>29</v>
      </c>
      <c r="E26" s="28" t="s">
        <v>25</v>
      </c>
      <c r="F26" s="28" t="s">
        <v>25</v>
      </c>
      <c r="G26" s="21" t="s">
        <v>76</v>
      </c>
      <c r="H26" s="21" t="s">
        <v>72</v>
      </c>
      <c r="I26" s="21">
        <f>'MERCADO TUSD'!$U$23</f>
        <v>0</v>
      </c>
      <c r="J26" s="17"/>
      <c r="L26" s="25">
        <f>'TUSD BE'!$L$26*'TUSD BF'!$L$58</f>
        <v>0</v>
      </c>
      <c r="M26" s="25">
        <f>'TUSD BE'!$M$26*'TUSD BF'!$M$58</f>
        <v>0</v>
      </c>
      <c r="N26" s="25">
        <f ca="1">'TUSD BE'!$N$26*'TUSD BF'!$N$58</f>
        <v>0</v>
      </c>
      <c r="O26" s="25">
        <f>'TUSD BE'!$O$26*'TUSD BF'!$O$58</f>
        <v>0</v>
      </c>
      <c r="P26" s="25">
        <f>'TUSD BE'!$P$26*'TUSD BF'!$P$58</f>
        <v>0</v>
      </c>
      <c r="Q26" s="25">
        <f>'TUSD BE'!$Q$26*'TUSD BF'!$Q$58</f>
        <v>0</v>
      </c>
      <c r="R26" s="25">
        <f>'TUSD BE'!$R$26*'TUSD BF'!$R$58</f>
        <v>0</v>
      </c>
      <c r="S26" s="25">
        <f>'TUSD BE'!$R$26*'TUSD BF'!$S$58</f>
        <v>0</v>
      </c>
      <c r="T26" s="25">
        <f ca="1">SUM($L$26:$S$26)</f>
        <v>0</v>
      </c>
      <c r="U26" s="25">
        <f>'TUSD BE'!$U$26*'TUSD BF'!$U$58</f>
        <v>0</v>
      </c>
      <c r="V26" s="25">
        <f>'TUSD BE'!$V$26*'TUSD BF'!$V$58</f>
        <v>0</v>
      </c>
      <c r="W26" s="25">
        <f>'TUSD BE'!$W$26*'TUSD BF'!$W$58</f>
        <v>0</v>
      </c>
      <c r="X26" s="25">
        <f>'TUSD BE'!$X$26*'TUSD BF'!$X$58</f>
        <v>0</v>
      </c>
      <c r="Y26" s="25">
        <f>'TUSD BE'!$Y$26*'TUSD BF'!$Y$58</f>
        <v>0</v>
      </c>
      <c r="Z26" s="25">
        <f>'TUSD BE'!$Z$26*'TUSD BF'!$Z$58</f>
        <v>0</v>
      </c>
      <c r="AA26" s="25">
        <f>'TUSD BE'!$AA$26*'TUSD BF'!$AA$58</f>
        <v>0</v>
      </c>
      <c r="AB26" s="25">
        <f>SUM($U$26:$AA$26)</f>
        <v>0</v>
      </c>
      <c r="AC26" s="25">
        <f>'TUSD BE'!$AC$26*'TUSD BF'!$AC$58</f>
        <v>0</v>
      </c>
      <c r="AD26" s="25">
        <f>SUM($AC$26:$AC$26)</f>
        <v>0</v>
      </c>
      <c r="AE26" s="25">
        <f ca="1">$AO$26*$AO$55</f>
        <v>0</v>
      </c>
      <c r="AF26" s="25">
        <f ca="1">$AP$26*$AP$55</f>
        <v>0</v>
      </c>
      <c r="AG26" s="25">
        <f ca="1">SUM($AE$26:$AF$26)</f>
        <v>0</v>
      </c>
      <c r="AH26" s="25">
        <f>'TUSD BE'!$AH$26*'TUSD BF'!$AH$58</f>
        <v>0</v>
      </c>
      <c r="AI26" s="25">
        <f>'TUSD BE'!$AI$26*'TUSD BF'!$AI$58</f>
        <v>0</v>
      </c>
      <c r="AJ26" s="25">
        <f ca="1">'TUSD BE'!$AJ$26*'TUSD BF'!$AJ$58</f>
        <v>0</v>
      </c>
      <c r="AK26" s="25">
        <f ca="1">'TUSD BE'!$AK$26*'TUSD BF'!$AK$58</f>
        <v>0</v>
      </c>
      <c r="AL26" s="25">
        <f ca="1">SUM($AH$26:$AK$26)</f>
        <v>0</v>
      </c>
      <c r="AM26" s="25">
        <f ca="1">SUMIF($L$4:$AL$4,"SUBTOTAL",$L$26:$AL$26)</f>
        <v>0</v>
      </c>
      <c r="AO26" s="30">
        <f ca="1">+'TUSD BE'!$T$26+'TUSD BE'!$AB$26+'TUSD BE'!$AD$26+'TUSD BE'!$AL$26</f>
        <v>926.06915548230791</v>
      </c>
      <c r="AP26" s="30">
        <f ca="1">+'TUSD BE'!$T$26+'TUSD BE'!$AB$26+'TUSD BE'!$AD$26+'TUSD BE'!$AL$26</f>
        <v>926.06915548230791</v>
      </c>
    </row>
    <row r="27" spans="1:42" ht="11.25" customHeight="1" x14ac:dyDescent="0.3">
      <c r="A27" s="120"/>
      <c r="B27" s="120"/>
      <c r="C27" s="120"/>
      <c r="D27" s="28" t="s">
        <v>30</v>
      </c>
      <c r="E27" s="28" t="s">
        <v>25</v>
      </c>
      <c r="F27" s="28" t="s">
        <v>25</v>
      </c>
      <c r="G27" s="21" t="s">
        <v>76</v>
      </c>
      <c r="H27" s="21" t="s">
        <v>72</v>
      </c>
      <c r="I27" s="21">
        <f>'MERCADO TUSD'!$U$24</f>
        <v>0</v>
      </c>
      <c r="J27" s="17"/>
      <c r="L27" s="25">
        <f>'TUSD BE'!$L$27*'TUSD BF'!$L$58</f>
        <v>0</v>
      </c>
      <c r="M27" s="25">
        <f>'TUSD BE'!$M$27*'TUSD BF'!$M$58</f>
        <v>0</v>
      </c>
      <c r="N27" s="25">
        <f ca="1">'TUSD BE'!$N$27*'TUSD BF'!$N$58</f>
        <v>0</v>
      </c>
      <c r="O27" s="25">
        <f>'TUSD BE'!$O$27*'TUSD BF'!$O$58</f>
        <v>0</v>
      </c>
      <c r="P27" s="25">
        <f>'TUSD BE'!$P$27*'TUSD BF'!$P$58</f>
        <v>0</v>
      </c>
      <c r="Q27" s="25">
        <f>'TUSD BE'!$Q$27*'TUSD BF'!$Q$58</f>
        <v>0</v>
      </c>
      <c r="R27" s="25">
        <f>'TUSD BE'!$R$27*'TUSD BF'!$R$58</f>
        <v>0</v>
      </c>
      <c r="S27" s="25">
        <f>'TUSD BE'!$R$27*'TUSD BF'!$S$58</f>
        <v>0</v>
      </c>
      <c r="T27" s="25">
        <f ca="1">SUM($L$27:$S$27)</f>
        <v>0</v>
      </c>
      <c r="U27" s="25">
        <f>'TUSD BE'!$U$27*'TUSD BF'!$U$58</f>
        <v>0</v>
      </c>
      <c r="V27" s="25">
        <f>'TUSD BE'!$V$27*'TUSD BF'!$V$58</f>
        <v>0</v>
      </c>
      <c r="W27" s="25">
        <f>'TUSD BE'!$W$27*'TUSD BF'!$W$58</f>
        <v>0</v>
      </c>
      <c r="X27" s="25">
        <f>'TUSD BE'!$X$27*'TUSD BF'!$X$58</f>
        <v>0</v>
      </c>
      <c r="Y27" s="25">
        <f>'TUSD BE'!$Y$27*'TUSD BF'!$Y$58</f>
        <v>0</v>
      </c>
      <c r="Z27" s="25">
        <f>'TUSD BE'!$Z$27*'TUSD BF'!$Z$58</f>
        <v>0</v>
      </c>
      <c r="AA27" s="25">
        <f>'TUSD BE'!$AA$27*'TUSD BF'!$AA$58</f>
        <v>0</v>
      </c>
      <c r="AB27" s="25">
        <f>SUM($U$27:$AA$27)</f>
        <v>0</v>
      </c>
      <c r="AC27" s="25">
        <f>'TUSD BE'!$AC$27*'TUSD BF'!$AC$58</f>
        <v>0</v>
      </c>
      <c r="AD27" s="25">
        <f>SUM($AC$27:$AC$27)</f>
        <v>0</v>
      </c>
      <c r="AE27" s="25">
        <f ca="1">$AO$27*$AO$55</f>
        <v>0</v>
      </c>
      <c r="AF27" s="25">
        <f ca="1">$AP$27*$AP$55</f>
        <v>0</v>
      </c>
      <c r="AG27" s="25">
        <f ca="1">SUM($AE$27:$AF$27)</f>
        <v>0</v>
      </c>
      <c r="AH27" s="25">
        <f>'TUSD BE'!$AH$27*'TUSD BF'!$AH$58</f>
        <v>0</v>
      </c>
      <c r="AI27" s="25">
        <f>'TUSD BE'!$AI$27*'TUSD BF'!$AI$58</f>
        <v>0</v>
      </c>
      <c r="AJ27" s="25">
        <f ca="1">'TUSD BE'!$AJ$27*'TUSD BF'!$AJ$58</f>
        <v>0</v>
      </c>
      <c r="AK27" s="25">
        <f ca="1">'TUSD BE'!$AK$27*'TUSD BF'!$AK$58</f>
        <v>0</v>
      </c>
      <c r="AL27" s="25">
        <f ca="1">SUM($AH$27:$AK$27)</f>
        <v>0</v>
      </c>
      <c r="AM27" s="25">
        <f ca="1">SUMIF($L$4:$AL$4,"SUBTOTAL",$L$27:$AL$27)</f>
        <v>0</v>
      </c>
      <c r="AO27" s="30">
        <f ca="1">+'TUSD BE'!$T$27+'TUSD BE'!$AB$27+'TUSD BE'!$AD$27+'TUSD BE'!$AL$27</f>
        <v>926.06915548230791</v>
      </c>
      <c r="AP27" s="30">
        <f ca="1">+'TUSD BE'!$T$27+'TUSD BE'!$AB$27+'TUSD BE'!$AD$27+'TUSD BE'!$AL$27</f>
        <v>926.06915548230791</v>
      </c>
    </row>
    <row r="28" spans="1:42" ht="11.25" customHeight="1" x14ac:dyDescent="0.3">
      <c r="A28" s="120"/>
      <c r="B28" s="120"/>
      <c r="C28" s="120"/>
      <c r="D28" s="28" t="s">
        <v>31</v>
      </c>
      <c r="E28" s="28" t="s">
        <v>25</v>
      </c>
      <c r="F28" s="28" t="s">
        <v>25</v>
      </c>
      <c r="G28" s="21" t="s">
        <v>76</v>
      </c>
      <c r="H28" s="21" t="s">
        <v>72</v>
      </c>
      <c r="I28" s="21">
        <f>'MERCADO TUSD'!$U$25</f>
        <v>0</v>
      </c>
      <c r="J28" s="17"/>
      <c r="L28" s="25">
        <f>'TUSD BE'!$L$28*'TUSD BF'!$L$58</f>
        <v>0</v>
      </c>
      <c r="M28" s="25">
        <f>'TUSD BE'!$M$28*'TUSD BF'!$M$58</f>
        <v>0</v>
      </c>
      <c r="N28" s="25">
        <f ca="1">'TUSD BE'!$N$28*'TUSD BF'!$N$58</f>
        <v>0</v>
      </c>
      <c r="O28" s="25">
        <f>'TUSD BE'!$O$28*'TUSD BF'!$O$58</f>
        <v>0</v>
      </c>
      <c r="P28" s="25">
        <f>'TUSD BE'!$P$28*'TUSD BF'!$P$58</f>
        <v>0</v>
      </c>
      <c r="Q28" s="25">
        <f>'TUSD BE'!$Q$28*'TUSD BF'!$Q$58</f>
        <v>0</v>
      </c>
      <c r="R28" s="25">
        <f>'TUSD BE'!$R$28*'TUSD BF'!$R$58</f>
        <v>0</v>
      </c>
      <c r="S28" s="25">
        <f>'TUSD BE'!$R$28*'TUSD BF'!$S$58</f>
        <v>0</v>
      </c>
      <c r="T28" s="25">
        <f ca="1">SUM($L$28:$S$28)</f>
        <v>0</v>
      </c>
      <c r="U28" s="25">
        <f>'TUSD BE'!$U$28*'TUSD BF'!$U$58</f>
        <v>0</v>
      </c>
      <c r="V28" s="25">
        <f>'TUSD BE'!$V$28*'TUSD BF'!$V$58</f>
        <v>0</v>
      </c>
      <c r="W28" s="25">
        <f>'TUSD BE'!$W$28*'TUSD BF'!$W$58</f>
        <v>0</v>
      </c>
      <c r="X28" s="25">
        <f>'TUSD BE'!$X$28*'TUSD BF'!$X$58</f>
        <v>0</v>
      </c>
      <c r="Y28" s="25">
        <f>'TUSD BE'!$Y$28*'TUSD BF'!$Y$58</f>
        <v>0</v>
      </c>
      <c r="Z28" s="25">
        <f>'TUSD BE'!$Z$28*'TUSD BF'!$Z$58</f>
        <v>0</v>
      </c>
      <c r="AA28" s="25">
        <f>'TUSD BE'!$AA$28*'TUSD BF'!$AA$58</f>
        <v>0</v>
      </c>
      <c r="AB28" s="25">
        <f>SUM($U$28:$AA$28)</f>
        <v>0</v>
      </c>
      <c r="AC28" s="25">
        <f>'TUSD BE'!$AC$28*'TUSD BF'!$AC$58</f>
        <v>0</v>
      </c>
      <c r="AD28" s="25">
        <f>SUM($AC$28:$AC$28)</f>
        <v>0</v>
      </c>
      <c r="AE28" s="25">
        <f ca="1">$AO$28*$AO$55</f>
        <v>0</v>
      </c>
      <c r="AF28" s="25">
        <f ca="1">$AP$28*$AP$55</f>
        <v>0</v>
      </c>
      <c r="AG28" s="25">
        <f ca="1">SUM($AE$28:$AF$28)</f>
        <v>0</v>
      </c>
      <c r="AH28" s="25">
        <f>'TUSD BE'!$AH$28*'TUSD BF'!$AH$58</f>
        <v>0</v>
      </c>
      <c r="AI28" s="25">
        <f>'TUSD BE'!$AI$28*'TUSD BF'!$AI$58</f>
        <v>0</v>
      </c>
      <c r="AJ28" s="25">
        <f ca="1">'TUSD BE'!$AJ$28*'TUSD BF'!$AJ$58</f>
        <v>0</v>
      </c>
      <c r="AK28" s="25">
        <f ca="1">'TUSD BE'!$AK$28*'TUSD BF'!$AK$58</f>
        <v>0</v>
      </c>
      <c r="AL28" s="25">
        <f ca="1">SUM($AH$28:$AK$28)</f>
        <v>0</v>
      </c>
      <c r="AM28" s="25">
        <f ca="1">SUMIF($L$4:$AL$4,"SUBTOTAL",$L$28:$AL$28)</f>
        <v>0</v>
      </c>
      <c r="AO28" s="30">
        <f ca="1">+'TUSD BE'!$T$28+'TUSD BE'!$AB$28+'TUSD BE'!$AD$28+'TUSD BE'!$AL$28</f>
        <v>926.06915548230791</v>
      </c>
      <c r="AP28" s="30">
        <f ca="1">+'TUSD BE'!$T$28+'TUSD BE'!$AB$28+'TUSD BE'!$AD$28+'TUSD BE'!$AL$28</f>
        <v>926.06915548230791</v>
      </c>
    </row>
    <row r="29" spans="1:42" ht="11.25" customHeight="1" x14ac:dyDescent="0.3">
      <c r="A29" s="120"/>
      <c r="B29" s="120"/>
      <c r="C29" s="120"/>
      <c r="D29" s="28" t="s">
        <v>32</v>
      </c>
      <c r="E29" s="28" t="s">
        <v>25</v>
      </c>
      <c r="F29" s="28" t="s">
        <v>25</v>
      </c>
      <c r="G29" s="21" t="s">
        <v>76</v>
      </c>
      <c r="H29" s="21" t="s">
        <v>72</v>
      </c>
      <c r="I29" s="21">
        <f>'MERCADO TUSD'!$U$26</f>
        <v>0</v>
      </c>
      <c r="J29" s="17"/>
      <c r="L29" s="25">
        <f>'TUSD BE'!$L$29*'TUSD BF'!$L$58</f>
        <v>0</v>
      </c>
      <c r="M29" s="25">
        <f>'TUSD BE'!$M$29*'TUSD BF'!$M$58</f>
        <v>0</v>
      </c>
      <c r="N29" s="25">
        <f ca="1">'TUSD BE'!$N$29*'TUSD BF'!$N$58</f>
        <v>0</v>
      </c>
      <c r="O29" s="25">
        <f>'TUSD BE'!$O$29*'TUSD BF'!$O$58</f>
        <v>0</v>
      </c>
      <c r="P29" s="25">
        <f>'TUSD BE'!$P$29*'TUSD BF'!$P$58</f>
        <v>0</v>
      </c>
      <c r="Q29" s="25">
        <f>'TUSD BE'!$Q$29*'TUSD BF'!$Q$58</f>
        <v>0</v>
      </c>
      <c r="R29" s="25">
        <f>'TUSD BE'!$R$29*'TUSD BF'!$R$58</f>
        <v>0</v>
      </c>
      <c r="S29" s="25">
        <f>'TUSD BE'!$R$29*'TUSD BF'!$S$58</f>
        <v>0</v>
      </c>
      <c r="T29" s="25">
        <f ca="1">SUM($L$29:$S$29)</f>
        <v>0</v>
      </c>
      <c r="U29" s="25">
        <f>'TUSD BE'!$U$29*'TUSD BF'!$U$58</f>
        <v>0</v>
      </c>
      <c r="V29" s="25">
        <f>'TUSD BE'!$V$29*'TUSD BF'!$V$58</f>
        <v>0</v>
      </c>
      <c r="W29" s="25">
        <f>'TUSD BE'!$W$29*'TUSD BF'!$W$58</f>
        <v>0</v>
      </c>
      <c r="X29" s="25">
        <f>'TUSD BE'!$X$29*'TUSD BF'!$X$58</f>
        <v>0</v>
      </c>
      <c r="Y29" s="25">
        <f>'TUSD BE'!$Y$29*'TUSD BF'!$Y$58</f>
        <v>0</v>
      </c>
      <c r="Z29" s="25">
        <f>'TUSD BE'!$Z$29*'TUSD BF'!$Z$58</f>
        <v>0</v>
      </c>
      <c r="AA29" s="25">
        <f>'TUSD BE'!$AA$29*'TUSD BF'!$AA$58</f>
        <v>0</v>
      </c>
      <c r="AB29" s="25">
        <f>SUM($U$29:$AA$29)</f>
        <v>0</v>
      </c>
      <c r="AC29" s="25">
        <f>'TUSD BE'!$AC$29*'TUSD BF'!$AC$58</f>
        <v>0</v>
      </c>
      <c r="AD29" s="25">
        <f>SUM($AC$29:$AC$29)</f>
        <v>0</v>
      </c>
      <c r="AE29" s="25">
        <f ca="1">$AO$29*$AO$55</f>
        <v>0</v>
      </c>
      <c r="AF29" s="25">
        <f ca="1">$AP$29*$AP$55</f>
        <v>0</v>
      </c>
      <c r="AG29" s="25">
        <f ca="1">SUM($AE$29:$AF$29)</f>
        <v>0</v>
      </c>
      <c r="AH29" s="25">
        <f>'TUSD BE'!$AH$29*'TUSD BF'!$AH$58</f>
        <v>0</v>
      </c>
      <c r="AI29" s="25">
        <f>'TUSD BE'!$AI$29*'TUSD BF'!$AI$58</f>
        <v>0</v>
      </c>
      <c r="AJ29" s="25">
        <f ca="1">'TUSD BE'!$AJ$29*'TUSD BF'!$AJ$58</f>
        <v>0</v>
      </c>
      <c r="AK29" s="25">
        <f ca="1">'TUSD BE'!$AK$29*'TUSD BF'!$AK$58</f>
        <v>0</v>
      </c>
      <c r="AL29" s="25">
        <f ca="1">SUM($AH$29:$AK$29)</f>
        <v>0</v>
      </c>
      <c r="AM29" s="25">
        <f ca="1">SUMIF($L$4:$AL$4,"SUBTOTAL",$L$29:$AL$29)</f>
        <v>0</v>
      </c>
      <c r="AO29" s="30">
        <f ca="1">+'TUSD BE'!$T$29+'TUSD BE'!$AB$29+'TUSD BE'!$AD$29+'TUSD BE'!$AL$29</f>
        <v>926.06915548230791</v>
      </c>
      <c r="AP29" s="30">
        <f ca="1">+'TUSD BE'!$T$29+'TUSD BE'!$AB$29+'TUSD BE'!$AD$29+'TUSD BE'!$AL$29</f>
        <v>926.06915548230791</v>
      </c>
    </row>
    <row r="30" spans="1:42" ht="11.25" customHeight="1" x14ac:dyDescent="0.3">
      <c r="A30" s="120" t="s">
        <v>43</v>
      </c>
      <c r="B30" s="120" t="s">
        <v>33</v>
      </c>
      <c r="C30" s="120" t="s">
        <v>44</v>
      </c>
      <c r="D30" s="120" t="s">
        <v>25</v>
      </c>
      <c r="E30" s="120" t="s">
        <v>25</v>
      </c>
      <c r="F30" s="120" t="s">
        <v>25</v>
      </c>
      <c r="G30" s="21" t="s">
        <v>73</v>
      </c>
      <c r="H30" s="21" t="s">
        <v>72</v>
      </c>
      <c r="I30" s="21">
        <f>'MERCADO TUSD'!$U$27</f>
        <v>0</v>
      </c>
      <c r="J30" s="17"/>
      <c r="L30" s="25">
        <f>'TUSD BE'!$L$30*'TUSD BF'!$L$58</f>
        <v>0</v>
      </c>
      <c r="M30" s="25">
        <f>'TUSD BE'!$M$30*'TUSD BF'!$M$58</f>
        <v>0</v>
      </c>
      <c r="N30" s="25">
        <f ca="1">'TUSD BE'!$N$30*'TUSD BF'!$N$58</f>
        <v>0</v>
      </c>
      <c r="O30" s="25">
        <f>'TUSD BE'!$O$30*'TUSD BF'!$O$58</f>
        <v>0</v>
      </c>
      <c r="P30" s="25">
        <f>'TUSD BE'!$P$30*'TUSD BF'!$P$58</f>
        <v>0</v>
      </c>
      <c r="Q30" s="25">
        <f>'TUSD BE'!$Q$30*'TUSD BF'!$Q$58</f>
        <v>0</v>
      </c>
      <c r="R30" s="25">
        <f>'TUSD BE'!$R$30*'TUSD BF'!$R$58</f>
        <v>0</v>
      </c>
      <c r="S30" s="25">
        <f>'TUSD BE'!$R$30*'TUSD BF'!$S$58</f>
        <v>0</v>
      </c>
      <c r="T30" s="25">
        <f ca="1">SUM($L$30:$S$30)</f>
        <v>0</v>
      </c>
      <c r="U30" s="25">
        <f>'TUSD BE'!$U$30*'TUSD BF'!$U$58</f>
        <v>0</v>
      </c>
      <c r="V30" s="25">
        <f>'TUSD BE'!$V$30*'TUSD BF'!$V$58</f>
        <v>0</v>
      </c>
      <c r="W30" s="25">
        <f>'TUSD BE'!$W$30*'TUSD BF'!$W$58</f>
        <v>0</v>
      </c>
      <c r="X30" s="25">
        <f>'TUSD BE'!$X$30*'TUSD BF'!$X$58</f>
        <v>0</v>
      </c>
      <c r="Y30" s="25">
        <f>'TUSD BE'!$Y$30*'TUSD BF'!$Y$58</f>
        <v>0</v>
      </c>
      <c r="Z30" s="25">
        <f>'TUSD BE'!$Z$30*'TUSD BF'!$Z$58</f>
        <v>0</v>
      </c>
      <c r="AA30" s="25">
        <f>'TUSD BE'!$AA$30*'TUSD BF'!$AA$58</f>
        <v>0</v>
      </c>
      <c r="AB30" s="25">
        <f>SUM($U$30:$AA$30)</f>
        <v>0</v>
      </c>
      <c r="AC30" s="25">
        <f>'TUSD BE'!$AC$30*'TUSD BF'!$AC$58</f>
        <v>0</v>
      </c>
      <c r="AD30" s="25">
        <f>SUM($AC$30:$AC$30)</f>
        <v>0</v>
      </c>
      <c r="AE30" s="25">
        <f ca="1">$AO$30*$AO$55</f>
        <v>0</v>
      </c>
      <c r="AF30" s="25">
        <f ca="1">$AP$30*$AP$55</f>
        <v>0</v>
      </c>
      <c r="AG30" s="25">
        <f ca="1">SUM($AE$30:$AF$30)</f>
        <v>0</v>
      </c>
      <c r="AH30" s="25">
        <f>'TUSD BE'!$AH$30*'TUSD BF'!$AH$58</f>
        <v>0</v>
      </c>
      <c r="AI30" s="25">
        <f>'TUSD BE'!$AI$30*'TUSD BF'!$AI$58</f>
        <v>0</v>
      </c>
      <c r="AJ30" s="25">
        <f ca="1">'TUSD BE'!$AJ$30*'TUSD BF'!$AJ$58</f>
        <v>0</v>
      </c>
      <c r="AK30" s="25">
        <f ca="1">'TUSD BE'!$AK$30*'TUSD BF'!$AK$58</f>
        <v>0</v>
      </c>
      <c r="AL30" s="25">
        <f ca="1">SUM($AH$30:$AK$30)</f>
        <v>0</v>
      </c>
      <c r="AM30" s="25">
        <f ca="1">SUMIF($L$4:$AL$4,"SUBTOTAL",$L$30:$AL$30)</f>
        <v>0</v>
      </c>
      <c r="AO30" s="30">
        <f ca="1">+'TUSD BE'!$T$30+'TUSD BE'!$AB$30+'TUSD BE'!$AD$30+'TUSD BE'!$AL$30</f>
        <v>2466.8910660681099</v>
      </c>
      <c r="AP30" s="30">
        <f ca="1">+'TUSD BE'!$T$30+'TUSD BE'!$AB$30+'TUSD BE'!$AD$30+'TUSD BE'!$AL$30</f>
        <v>2466.8910660681099</v>
      </c>
    </row>
    <row r="31" spans="1:42" ht="11.25" customHeight="1" x14ac:dyDescent="0.3">
      <c r="A31" s="120"/>
      <c r="B31" s="120"/>
      <c r="C31" s="120"/>
      <c r="D31" s="120"/>
      <c r="E31" s="120"/>
      <c r="F31" s="120"/>
      <c r="G31" s="21" t="s">
        <v>85</v>
      </c>
      <c r="H31" s="21" t="s">
        <v>72</v>
      </c>
      <c r="I31" s="21">
        <f>'MERCADO TUSD'!$U$28</f>
        <v>0</v>
      </c>
      <c r="J31" s="17"/>
      <c r="L31" s="25">
        <f>'TUSD BE'!$L$31*'TUSD BF'!$L$58</f>
        <v>0</v>
      </c>
      <c r="M31" s="25">
        <f>'TUSD BE'!$M$31*'TUSD BF'!$M$58</f>
        <v>0</v>
      </c>
      <c r="N31" s="25">
        <f ca="1">'TUSD BE'!$N$31*'TUSD BF'!$N$58</f>
        <v>0</v>
      </c>
      <c r="O31" s="25">
        <f>'TUSD BE'!$O$31*'TUSD BF'!$O$58</f>
        <v>0</v>
      </c>
      <c r="P31" s="25">
        <f>'TUSD BE'!$P$31*'TUSD BF'!$P$58</f>
        <v>0</v>
      </c>
      <c r="Q31" s="25">
        <f>'TUSD BE'!$Q$31*'TUSD BF'!$Q$58</f>
        <v>0</v>
      </c>
      <c r="R31" s="25">
        <f>'TUSD BE'!$R$31*'TUSD BF'!$R$58</f>
        <v>0</v>
      </c>
      <c r="S31" s="25">
        <f>'TUSD BE'!$R$31*'TUSD BF'!$S$58</f>
        <v>0</v>
      </c>
      <c r="T31" s="25">
        <f ca="1">SUM($L$31:$S$31)</f>
        <v>0</v>
      </c>
      <c r="U31" s="25">
        <f>'TUSD BE'!$U$31*'TUSD BF'!$U$58</f>
        <v>0</v>
      </c>
      <c r="V31" s="25">
        <f>'TUSD BE'!$V$31*'TUSD BF'!$V$58</f>
        <v>0</v>
      </c>
      <c r="W31" s="25">
        <f>'TUSD BE'!$W$31*'TUSD BF'!$W$58</f>
        <v>0</v>
      </c>
      <c r="X31" s="25">
        <f>'TUSD BE'!$X$31*'TUSD BF'!$X$58</f>
        <v>0</v>
      </c>
      <c r="Y31" s="25">
        <f>'TUSD BE'!$Y$31*'TUSD BF'!$Y$58</f>
        <v>0</v>
      </c>
      <c r="Z31" s="25">
        <f>'TUSD BE'!$Z$31*'TUSD BF'!$Z$58</f>
        <v>0</v>
      </c>
      <c r="AA31" s="25">
        <f>'TUSD BE'!$AA$31*'TUSD BF'!$AA$58</f>
        <v>0</v>
      </c>
      <c r="AB31" s="25">
        <f>SUM($U$31:$AA$31)</f>
        <v>0</v>
      </c>
      <c r="AC31" s="25">
        <f>'TUSD BE'!$AC$31*'TUSD BF'!$AC$58</f>
        <v>0</v>
      </c>
      <c r="AD31" s="25">
        <f>SUM($AC$31:$AC$31)</f>
        <v>0</v>
      </c>
      <c r="AE31" s="25">
        <f ca="1">$AO$31*$AO$55</f>
        <v>0</v>
      </c>
      <c r="AF31" s="25">
        <f ca="1">$AP$31*$AP$55</f>
        <v>0</v>
      </c>
      <c r="AG31" s="25">
        <f ca="1">SUM($AE$31:$AF$31)</f>
        <v>0</v>
      </c>
      <c r="AH31" s="25">
        <f>'TUSD BE'!$AH$31*'TUSD BF'!$AH$58</f>
        <v>0</v>
      </c>
      <c r="AI31" s="25">
        <f>'TUSD BE'!$AI$31*'TUSD BF'!$AI$58</f>
        <v>0</v>
      </c>
      <c r="AJ31" s="25">
        <f ca="1">'TUSD BE'!$AJ$31*'TUSD BF'!$AJ$58</f>
        <v>0</v>
      </c>
      <c r="AK31" s="25">
        <f ca="1">'TUSD BE'!$AK$31*'TUSD BF'!$AK$58</f>
        <v>0</v>
      </c>
      <c r="AL31" s="25">
        <f ca="1">SUM($AH$31:$AK$31)</f>
        <v>0</v>
      </c>
      <c r="AM31" s="25">
        <f ca="1">SUMIF($L$4:$AL$4,"SUBTOTAL",$L$31:$AL$31)</f>
        <v>0</v>
      </c>
      <c r="AO31" s="30">
        <f ca="1">+'TUSD BE'!$T$31+'TUSD BE'!$AB$31+'TUSD BE'!$AD$31+'TUSD BE'!$AL$31</f>
        <v>1544.3834899046374</v>
      </c>
      <c r="AP31" s="30">
        <f ca="1">+'TUSD BE'!$T$31+'TUSD BE'!$AB$31+'TUSD BE'!$AD$31+'TUSD BE'!$AL$31</f>
        <v>1544.3834899046374</v>
      </c>
    </row>
    <row r="32" spans="1:42" ht="11.25" customHeight="1" x14ac:dyDescent="0.3">
      <c r="A32" s="120"/>
      <c r="B32" s="120"/>
      <c r="C32" s="120"/>
      <c r="D32" s="120"/>
      <c r="E32" s="120"/>
      <c r="F32" s="120"/>
      <c r="G32" s="21" t="s">
        <v>74</v>
      </c>
      <c r="H32" s="21" t="s">
        <v>72</v>
      </c>
      <c r="I32" s="21">
        <f>'MERCADO TUSD'!$U$29</f>
        <v>0</v>
      </c>
      <c r="J32" s="17"/>
      <c r="L32" s="25">
        <f>'TUSD BE'!$L$32*'TUSD BF'!$L$58</f>
        <v>0</v>
      </c>
      <c r="M32" s="25">
        <f>'TUSD BE'!$M$32*'TUSD BF'!$M$58</f>
        <v>0</v>
      </c>
      <c r="N32" s="25">
        <f ca="1">'TUSD BE'!$N$32*'TUSD BF'!$N$58</f>
        <v>0</v>
      </c>
      <c r="O32" s="25">
        <f>'TUSD BE'!$O$32*'TUSD BF'!$O$58</f>
        <v>0</v>
      </c>
      <c r="P32" s="25">
        <f>'TUSD BE'!$P$32*'TUSD BF'!$P$58</f>
        <v>0</v>
      </c>
      <c r="Q32" s="25">
        <f>'TUSD BE'!$Q$32*'TUSD BF'!$Q$58</f>
        <v>0</v>
      </c>
      <c r="R32" s="25">
        <f>'TUSD BE'!$R$32*'TUSD BF'!$R$58</f>
        <v>0</v>
      </c>
      <c r="S32" s="25">
        <f>'TUSD BE'!$R$32*'TUSD BF'!$S$58</f>
        <v>0</v>
      </c>
      <c r="T32" s="25">
        <f ca="1">SUM($L$32:$S$32)</f>
        <v>0</v>
      </c>
      <c r="U32" s="25">
        <f>'TUSD BE'!$U$32*'TUSD BF'!$U$58</f>
        <v>0</v>
      </c>
      <c r="V32" s="25">
        <f>'TUSD BE'!$V$32*'TUSD BF'!$V$58</f>
        <v>0</v>
      </c>
      <c r="W32" s="25">
        <f>'TUSD BE'!$W$32*'TUSD BF'!$W$58</f>
        <v>0</v>
      </c>
      <c r="X32" s="25">
        <f>'TUSD BE'!$X$32*'TUSD BF'!$X$58</f>
        <v>0</v>
      </c>
      <c r="Y32" s="25">
        <f>'TUSD BE'!$Y$32*'TUSD BF'!$Y$58</f>
        <v>0</v>
      </c>
      <c r="Z32" s="25">
        <f>'TUSD BE'!$Z$32*'TUSD BF'!$Z$58</f>
        <v>0</v>
      </c>
      <c r="AA32" s="25">
        <f>'TUSD BE'!$AA$32*'TUSD BF'!$AA$58</f>
        <v>0</v>
      </c>
      <c r="AB32" s="25">
        <f>SUM($U$32:$AA$32)</f>
        <v>0</v>
      </c>
      <c r="AC32" s="25">
        <f>'TUSD BE'!$AC$32*'TUSD BF'!$AC$58</f>
        <v>0</v>
      </c>
      <c r="AD32" s="25">
        <f>SUM($AC$32:$AC$32)</f>
        <v>0</v>
      </c>
      <c r="AE32" s="25">
        <f ca="1">$AO$32*$AO$55</f>
        <v>0</v>
      </c>
      <c r="AF32" s="25">
        <f ca="1">$AP$32*$AP$55</f>
        <v>0</v>
      </c>
      <c r="AG32" s="25">
        <f ca="1">SUM($AE$32:$AF$32)</f>
        <v>0</v>
      </c>
      <c r="AH32" s="25">
        <f>'TUSD BE'!$AH$32*'TUSD BF'!$AH$58</f>
        <v>0</v>
      </c>
      <c r="AI32" s="25">
        <f>'TUSD BE'!$AI$32*'TUSD BF'!$AI$58</f>
        <v>0</v>
      </c>
      <c r="AJ32" s="25">
        <f ca="1">'TUSD BE'!$AJ$32*'TUSD BF'!$AJ$58</f>
        <v>0</v>
      </c>
      <c r="AK32" s="25">
        <f ca="1">'TUSD BE'!$AK$32*'TUSD BF'!$AK$58</f>
        <v>0</v>
      </c>
      <c r="AL32" s="25">
        <f ca="1">SUM($AH$32:$AK$32)</f>
        <v>0</v>
      </c>
      <c r="AM32" s="25">
        <f ca="1">SUMIF($L$4:$AL$4,"SUBTOTAL",$L$32:$AL$32)</f>
        <v>0</v>
      </c>
      <c r="AO32" s="30">
        <f ca="1">+'TUSD BE'!$T$32+'TUSD BE'!$AB$32+'TUSD BE'!$AD$32+'TUSD BE'!$AL$32</f>
        <v>621.87564289178829</v>
      </c>
      <c r="AP32" s="30">
        <f ca="1">+'TUSD BE'!$T$32+'TUSD BE'!$AB$32+'TUSD BE'!$AD$32+'TUSD BE'!$AL$32</f>
        <v>621.87564289178829</v>
      </c>
    </row>
    <row r="33" spans="1:42" ht="11.25" customHeight="1" x14ac:dyDescent="0.3">
      <c r="A33" s="120"/>
      <c r="B33" s="28" t="s">
        <v>23</v>
      </c>
      <c r="C33" s="28" t="s">
        <v>44</v>
      </c>
      <c r="D33" s="28" t="s">
        <v>25</v>
      </c>
      <c r="E33" s="28" t="s">
        <v>25</v>
      </c>
      <c r="F33" s="28" t="s">
        <v>25</v>
      </c>
      <c r="G33" s="21" t="s">
        <v>76</v>
      </c>
      <c r="H33" s="21" t="s">
        <v>72</v>
      </c>
      <c r="I33" s="21">
        <f>'MERCADO TUSD'!$U$30</f>
        <v>600.24900000000002</v>
      </c>
      <c r="J33" s="17"/>
      <c r="L33" s="25">
        <f>'TUSD BE'!$L$33*'TUSD BF'!$L$58</f>
        <v>0</v>
      </c>
      <c r="M33" s="25">
        <f>'TUSD BE'!$M$33*'TUSD BF'!$M$58</f>
        <v>0</v>
      </c>
      <c r="N33" s="25">
        <f ca="1">'TUSD BE'!$N$33*'TUSD BF'!$N$58</f>
        <v>0</v>
      </c>
      <c r="O33" s="25">
        <f>'TUSD BE'!$O$33*'TUSD BF'!$O$58</f>
        <v>0</v>
      </c>
      <c r="P33" s="25">
        <f>'TUSD BE'!$P$33*'TUSD BF'!$P$58</f>
        <v>0</v>
      </c>
      <c r="Q33" s="25">
        <f>'TUSD BE'!$Q$33*'TUSD BF'!$Q$58</f>
        <v>0</v>
      </c>
      <c r="R33" s="25">
        <f>'TUSD BE'!$R$33*'TUSD BF'!$R$58</f>
        <v>0</v>
      </c>
      <c r="S33" s="25">
        <f>'TUSD BE'!$R$33*'TUSD BF'!$S$58</f>
        <v>0</v>
      </c>
      <c r="T33" s="25">
        <f ca="1">SUM($L$33:$S$33)</f>
        <v>0</v>
      </c>
      <c r="U33" s="25">
        <f>'TUSD BE'!$U$33*'TUSD BF'!$U$58</f>
        <v>0</v>
      </c>
      <c r="V33" s="25">
        <f>'TUSD BE'!$V$33*'TUSD BF'!$V$58</f>
        <v>0</v>
      </c>
      <c r="W33" s="25">
        <f>'TUSD BE'!$W$33*'TUSD BF'!$W$58</f>
        <v>0</v>
      </c>
      <c r="X33" s="25">
        <f>'TUSD BE'!$X$33*'TUSD BF'!$X$58</f>
        <v>0</v>
      </c>
      <c r="Y33" s="25">
        <f>'TUSD BE'!$Y$33*'TUSD BF'!$Y$58</f>
        <v>0</v>
      </c>
      <c r="Z33" s="25">
        <f>'TUSD BE'!$Z$33*'TUSD BF'!$Z$58</f>
        <v>0</v>
      </c>
      <c r="AA33" s="25">
        <f>'TUSD BE'!$AA$33*'TUSD BF'!$AA$58</f>
        <v>0</v>
      </c>
      <c r="AB33" s="25">
        <f>SUM($U$33:$AA$33)</f>
        <v>0</v>
      </c>
      <c r="AC33" s="25">
        <f>'TUSD BE'!$AC$33*'TUSD BF'!$AC$58</f>
        <v>0</v>
      </c>
      <c r="AD33" s="25">
        <f>SUM($AC$33:$AC$33)</f>
        <v>0</v>
      </c>
      <c r="AE33" s="25">
        <f ca="1">$AO$33*$AO$55</f>
        <v>0</v>
      </c>
      <c r="AF33" s="25">
        <f ca="1">$AP$33*$AP$55</f>
        <v>0</v>
      </c>
      <c r="AG33" s="25">
        <f ca="1">SUM($AE$33:$AF$33)</f>
        <v>0</v>
      </c>
      <c r="AH33" s="25">
        <f>'TUSD BE'!$AH$33*'TUSD BF'!$AH$58</f>
        <v>0</v>
      </c>
      <c r="AI33" s="25">
        <f>'TUSD BE'!$AI$33*'TUSD BF'!$AI$58</f>
        <v>0</v>
      </c>
      <c r="AJ33" s="25">
        <f ca="1">'TUSD BE'!$AJ$33*'TUSD BF'!$AJ$58</f>
        <v>0</v>
      </c>
      <c r="AK33" s="25">
        <f ca="1">'TUSD BE'!$AK$33*'TUSD BF'!$AK$58</f>
        <v>0</v>
      </c>
      <c r="AL33" s="25">
        <f ca="1">SUM($AH$33:$AK$33)</f>
        <v>0</v>
      </c>
      <c r="AM33" s="25">
        <f ca="1">SUMIF($L$4:$AL$4,"SUBTOTAL",$L$33:$AL$33)</f>
        <v>0</v>
      </c>
      <c r="AO33" s="30">
        <f ca="1">+'TUSD BE'!$T$33+'TUSD BE'!$AB$33+'TUSD BE'!$AD$33+'TUSD BE'!$AL$33</f>
        <v>1047.6487845789259</v>
      </c>
      <c r="AP33" s="30">
        <f ca="1">+'TUSD BE'!$T$33+'TUSD BE'!$AB$33+'TUSD BE'!$AD$33+'TUSD BE'!$AL$33</f>
        <v>1047.6487845789259</v>
      </c>
    </row>
    <row r="34" spans="1:42" ht="11.25" customHeight="1" x14ac:dyDescent="0.3">
      <c r="A34" s="120"/>
      <c r="B34" s="120" t="s">
        <v>33</v>
      </c>
      <c r="C34" s="120" t="s">
        <v>44</v>
      </c>
      <c r="D34" s="120" t="s">
        <v>88</v>
      </c>
      <c r="E34" s="120" t="s">
        <v>25</v>
      </c>
      <c r="F34" s="120" t="s">
        <v>25</v>
      </c>
      <c r="G34" s="21" t="s">
        <v>73</v>
      </c>
      <c r="H34" s="21" t="s">
        <v>72</v>
      </c>
      <c r="I34" s="21">
        <f>'MERCADO TUSD'!$U$31</f>
        <v>0</v>
      </c>
      <c r="J34" s="17"/>
      <c r="L34" s="25">
        <f>'TUSD BE'!$L$34*'TUSD BF'!$L$58</f>
        <v>0</v>
      </c>
      <c r="M34" s="25">
        <f>'TUSD BE'!$M$34*'TUSD BF'!$M$58</f>
        <v>0</v>
      </c>
      <c r="N34" s="25">
        <f ca="1">'TUSD BE'!$N$34*'TUSD BF'!$N$58</f>
        <v>0</v>
      </c>
      <c r="O34" s="25">
        <f>'TUSD BE'!$O$34*'TUSD BF'!$O$58</f>
        <v>0</v>
      </c>
      <c r="P34" s="25">
        <f>'TUSD BE'!$P$34*'TUSD BF'!$P$58</f>
        <v>0</v>
      </c>
      <c r="Q34" s="25">
        <f>'TUSD BE'!$Q$34*'TUSD BF'!$Q$58</f>
        <v>0</v>
      </c>
      <c r="R34" s="25">
        <f>'TUSD BE'!$R$34*'TUSD BF'!$R$58</f>
        <v>0</v>
      </c>
      <c r="S34" s="25">
        <f>'TUSD BE'!$R$34*'TUSD BF'!$S$58</f>
        <v>0</v>
      </c>
      <c r="T34" s="25">
        <f ca="1">SUM($L$34:$S$34)</f>
        <v>0</v>
      </c>
      <c r="U34" s="25">
        <f>'TUSD BE'!$U$34*'TUSD BF'!$U$58</f>
        <v>0</v>
      </c>
      <c r="V34" s="25">
        <f>'TUSD BE'!$V$34*'TUSD BF'!$V$58</f>
        <v>0</v>
      </c>
      <c r="W34" s="25">
        <f>'TUSD BE'!$W$34*'TUSD BF'!$W$58</f>
        <v>0</v>
      </c>
      <c r="X34" s="25">
        <f>'TUSD BE'!$X$34*'TUSD BF'!$X$58</f>
        <v>0</v>
      </c>
      <c r="Y34" s="25">
        <f>'TUSD BE'!$Y$34*'TUSD BF'!$Y$58</f>
        <v>0</v>
      </c>
      <c r="Z34" s="25">
        <f>'TUSD BE'!$Z$34*'TUSD BF'!$Z$58</f>
        <v>0</v>
      </c>
      <c r="AA34" s="25">
        <f>'TUSD BE'!$AA$34*'TUSD BF'!$AA$58</f>
        <v>0</v>
      </c>
      <c r="AB34" s="25">
        <f>SUM($U$34:$AA$34)</f>
        <v>0</v>
      </c>
      <c r="AC34" s="25">
        <f>'TUSD BE'!$AC$34*'TUSD BF'!$AC$58</f>
        <v>0</v>
      </c>
      <c r="AD34" s="25">
        <f>SUM($AC$34:$AC$34)</f>
        <v>0</v>
      </c>
      <c r="AE34" s="25">
        <f ca="1">$AO$34*$AO$55</f>
        <v>0</v>
      </c>
      <c r="AF34" s="25">
        <f ca="1">$AP$34*$AP$55</f>
        <v>0</v>
      </c>
      <c r="AG34" s="25">
        <f ca="1">SUM($AE$34:$AF$34)</f>
        <v>0</v>
      </c>
      <c r="AH34" s="25">
        <f>'TUSD BE'!$AH$34*'TUSD BF'!$AH$58</f>
        <v>0</v>
      </c>
      <c r="AI34" s="25">
        <f>'TUSD BE'!$AI$34*'TUSD BF'!$AI$58</f>
        <v>0</v>
      </c>
      <c r="AJ34" s="25">
        <f ca="1">'TUSD BE'!$AJ$34*'TUSD BF'!$AJ$58</f>
        <v>0</v>
      </c>
      <c r="AK34" s="25">
        <f ca="1">'TUSD BE'!$AK$34*'TUSD BF'!$AK$58</f>
        <v>0</v>
      </c>
      <c r="AL34" s="25">
        <f ca="1">SUM($AH$34:$AK$34)</f>
        <v>0</v>
      </c>
      <c r="AM34" s="25">
        <f ca="1">SUMIF($L$4:$AL$4,"SUBTOTAL",$L$34:$AL$34)</f>
        <v>0</v>
      </c>
      <c r="AO34" s="30">
        <f ca="1">+'TUSD BE'!$T$34+'TUSD BE'!$AB$34+'TUSD BE'!$AD$34+'TUSD BE'!$AL$34</f>
        <v>2466.8910660681099</v>
      </c>
      <c r="AP34" s="30">
        <f ca="1">+'TUSD BE'!$T$34+'TUSD BE'!$AB$34+'TUSD BE'!$AD$34+'TUSD BE'!$AL$34</f>
        <v>2466.8910660681099</v>
      </c>
    </row>
    <row r="35" spans="1:42" ht="11.25" customHeight="1" x14ac:dyDescent="0.3">
      <c r="A35" s="120"/>
      <c r="B35" s="120"/>
      <c r="C35" s="120"/>
      <c r="D35" s="120"/>
      <c r="E35" s="120"/>
      <c r="F35" s="120"/>
      <c r="G35" s="21" t="s">
        <v>85</v>
      </c>
      <c r="H35" s="21" t="s">
        <v>72</v>
      </c>
      <c r="I35" s="21">
        <f>'MERCADO TUSD'!$U$32</f>
        <v>0</v>
      </c>
      <c r="J35" s="17"/>
      <c r="L35" s="25">
        <f>'TUSD BE'!$L$35*'TUSD BF'!$L$58</f>
        <v>0</v>
      </c>
      <c r="M35" s="25">
        <f>'TUSD BE'!$M$35*'TUSD BF'!$M$58</f>
        <v>0</v>
      </c>
      <c r="N35" s="25">
        <f ca="1">'TUSD BE'!$N$35*'TUSD BF'!$N$58</f>
        <v>0</v>
      </c>
      <c r="O35" s="25">
        <f>'TUSD BE'!$O$35*'TUSD BF'!$O$58</f>
        <v>0</v>
      </c>
      <c r="P35" s="25">
        <f>'TUSD BE'!$P$35*'TUSD BF'!$P$58</f>
        <v>0</v>
      </c>
      <c r="Q35" s="25">
        <f>'TUSD BE'!$Q$35*'TUSD BF'!$Q$58</f>
        <v>0</v>
      </c>
      <c r="R35" s="25">
        <f>'TUSD BE'!$R$35*'TUSD BF'!$R$58</f>
        <v>0</v>
      </c>
      <c r="S35" s="25">
        <f>'TUSD BE'!$R$35*'TUSD BF'!$S$58</f>
        <v>0</v>
      </c>
      <c r="T35" s="25">
        <f ca="1">SUM($L$35:$S$35)</f>
        <v>0</v>
      </c>
      <c r="U35" s="25">
        <f>'TUSD BE'!$U$35*'TUSD BF'!$U$58</f>
        <v>0</v>
      </c>
      <c r="V35" s="25">
        <f>'TUSD BE'!$V$35*'TUSD BF'!$V$58</f>
        <v>0</v>
      </c>
      <c r="W35" s="25">
        <f>'TUSD BE'!$W$35*'TUSD BF'!$W$58</f>
        <v>0</v>
      </c>
      <c r="X35" s="25">
        <f>'TUSD BE'!$X$35*'TUSD BF'!$X$58</f>
        <v>0</v>
      </c>
      <c r="Y35" s="25">
        <f>'TUSD BE'!$Y$35*'TUSD BF'!$Y$58</f>
        <v>0</v>
      </c>
      <c r="Z35" s="25">
        <f>'TUSD BE'!$Z$35*'TUSD BF'!$Z$58</f>
        <v>0</v>
      </c>
      <c r="AA35" s="25">
        <f>'TUSD BE'!$AA$35*'TUSD BF'!$AA$58</f>
        <v>0</v>
      </c>
      <c r="AB35" s="25">
        <f>SUM($U$35:$AA$35)</f>
        <v>0</v>
      </c>
      <c r="AC35" s="25">
        <f>'TUSD BE'!$AC$35*'TUSD BF'!$AC$58</f>
        <v>0</v>
      </c>
      <c r="AD35" s="25">
        <f>SUM($AC$35:$AC$35)</f>
        <v>0</v>
      </c>
      <c r="AE35" s="25">
        <f ca="1">$AO$35*$AO$55</f>
        <v>0</v>
      </c>
      <c r="AF35" s="25">
        <f ca="1">$AP$35*$AP$55</f>
        <v>0</v>
      </c>
      <c r="AG35" s="25">
        <f ca="1">SUM($AE$35:$AF$35)</f>
        <v>0</v>
      </c>
      <c r="AH35" s="25">
        <f>'TUSD BE'!$AH$35*'TUSD BF'!$AH$58</f>
        <v>0</v>
      </c>
      <c r="AI35" s="25">
        <f>'TUSD BE'!$AI$35*'TUSD BF'!$AI$58</f>
        <v>0</v>
      </c>
      <c r="AJ35" s="25">
        <f ca="1">'TUSD BE'!$AJ$35*'TUSD BF'!$AJ$58</f>
        <v>0</v>
      </c>
      <c r="AK35" s="25">
        <f ca="1">'TUSD BE'!$AK$35*'TUSD BF'!$AK$58</f>
        <v>0</v>
      </c>
      <c r="AL35" s="25">
        <f ca="1">SUM($AH$35:$AK$35)</f>
        <v>0</v>
      </c>
      <c r="AM35" s="25">
        <f ca="1">SUMIF($L$4:$AL$4,"SUBTOTAL",$L$35:$AL$35)</f>
        <v>0</v>
      </c>
      <c r="AO35" s="30">
        <f ca="1">+'TUSD BE'!$T$35+'TUSD BE'!$AB$35+'TUSD BE'!$AD$35+'TUSD BE'!$AL$35</f>
        <v>1544.3834899046374</v>
      </c>
      <c r="AP35" s="30">
        <f ca="1">+'TUSD BE'!$T$35+'TUSD BE'!$AB$35+'TUSD BE'!$AD$35+'TUSD BE'!$AL$35</f>
        <v>1544.3834899046374</v>
      </c>
    </row>
    <row r="36" spans="1:42" ht="11.25" customHeight="1" x14ac:dyDescent="0.3">
      <c r="A36" s="120"/>
      <c r="B36" s="120"/>
      <c r="C36" s="120"/>
      <c r="D36" s="120"/>
      <c r="E36" s="120"/>
      <c r="F36" s="120"/>
      <c r="G36" s="21" t="s">
        <v>74</v>
      </c>
      <c r="H36" s="21" t="s">
        <v>72</v>
      </c>
      <c r="I36" s="21">
        <f>'MERCADO TUSD'!$U$33</f>
        <v>0</v>
      </c>
      <c r="J36" s="17"/>
      <c r="L36" s="25">
        <f>'TUSD BE'!$L$36*'TUSD BF'!$L$58</f>
        <v>0</v>
      </c>
      <c r="M36" s="25">
        <f>'TUSD BE'!$M$36*'TUSD BF'!$M$58</f>
        <v>0</v>
      </c>
      <c r="N36" s="25">
        <f ca="1">'TUSD BE'!$N$36*'TUSD BF'!$N$58</f>
        <v>0</v>
      </c>
      <c r="O36" s="25">
        <f>'TUSD BE'!$O$36*'TUSD BF'!$O$58</f>
        <v>0</v>
      </c>
      <c r="P36" s="25">
        <f>'TUSD BE'!$P$36*'TUSD BF'!$P$58</f>
        <v>0</v>
      </c>
      <c r="Q36" s="25">
        <f>'TUSD BE'!$Q$36*'TUSD BF'!$Q$58</f>
        <v>0</v>
      </c>
      <c r="R36" s="25">
        <f>'TUSD BE'!$R$36*'TUSD BF'!$R$58</f>
        <v>0</v>
      </c>
      <c r="S36" s="25">
        <f>'TUSD BE'!$R$36*'TUSD BF'!$S$58</f>
        <v>0</v>
      </c>
      <c r="T36" s="25">
        <f ca="1">SUM($L$36:$S$36)</f>
        <v>0</v>
      </c>
      <c r="U36" s="25">
        <f>'TUSD BE'!$U$36*'TUSD BF'!$U$58</f>
        <v>0</v>
      </c>
      <c r="V36" s="25">
        <f>'TUSD BE'!$V$36*'TUSD BF'!$V$58</f>
        <v>0</v>
      </c>
      <c r="W36" s="25">
        <f>'TUSD BE'!$W$36*'TUSD BF'!$W$58</f>
        <v>0</v>
      </c>
      <c r="X36" s="25">
        <f>'TUSD BE'!$X$36*'TUSD BF'!$X$58</f>
        <v>0</v>
      </c>
      <c r="Y36" s="25">
        <f>'TUSD BE'!$Y$36*'TUSD BF'!$Y$58</f>
        <v>0</v>
      </c>
      <c r="Z36" s="25">
        <f>'TUSD BE'!$Z$36*'TUSD BF'!$Z$58</f>
        <v>0</v>
      </c>
      <c r="AA36" s="25">
        <f>'TUSD BE'!$AA$36*'TUSD BF'!$AA$58</f>
        <v>0</v>
      </c>
      <c r="AB36" s="25">
        <f>SUM($U$36:$AA$36)</f>
        <v>0</v>
      </c>
      <c r="AC36" s="25">
        <f>'TUSD BE'!$AC$36*'TUSD BF'!$AC$58</f>
        <v>0</v>
      </c>
      <c r="AD36" s="25">
        <f>SUM($AC$36:$AC$36)</f>
        <v>0</v>
      </c>
      <c r="AE36" s="25">
        <f ca="1">$AO$36*$AO$55</f>
        <v>0</v>
      </c>
      <c r="AF36" s="25">
        <f ca="1">$AP$36*$AP$55</f>
        <v>0</v>
      </c>
      <c r="AG36" s="25">
        <f ca="1">SUM($AE$36:$AF$36)</f>
        <v>0</v>
      </c>
      <c r="AH36" s="25">
        <f>'TUSD BE'!$AH$36*'TUSD BF'!$AH$58</f>
        <v>0</v>
      </c>
      <c r="AI36" s="25">
        <f>'TUSD BE'!$AI$36*'TUSD BF'!$AI$58</f>
        <v>0</v>
      </c>
      <c r="AJ36" s="25">
        <f ca="1">'TUSD BE'!$AJ$36*'TUSD BF'!$AJ$58</f>
        <v>0</v>
      </c>
      <c r="AK36" s="25">
        <f ca="1">'TUSD BE'!$AK$36*'TUSD BF'!$AK$58</f>
        <v>0</v>
      </c>
      <c r="AL36" s="25">
        <f ca="1">SUM($AH$36:$AK$36)</f>
        <v>0</v>
      </c>
      <c r="AM36" s="25">
        <f ca="1">SUMIF($L$4:$AL$4,"SUBTOTAL",$L$36:$AL$36)</f>
        <v>0</v>
      </c>
      <c r="AO36" s="30">
        <f ca="1">+'TUSD BE'!$T$36+'TUSD BE'!$AB$36+'TUSD BE'!$AD$36+'TUSD BE'!$AL$36</f>
        <v>621.87564289178829</v>
      </c>
      <c r="AP36" s="30">
        <f ca="1">+'TUSD BE'!$T$36+'TUSD BE'!$AB$36+'TUSD BE'!$AD$36+'TUSD BE'!$AL$36</f>
        <v>621.87564289178829</v>
      </c>
    </row>
    <row r="37" spans="1:42" ht="11.25" customHeight="1" x14ac:dyDescent="0.3">
      <c r="A37" s="120"/>
      <c r="B37" s="28" t="s">
        <v>23</v>
      </c>
      <c r="C37" s="28" t="s">
        <v>44</v>
      </c>
      <c r="D37" s="28" t="s">
        <v>88</v>
      </c>
      <c r="E37" s="28" t="s">
        <v>25</v>
      </c>
      <c r="F37" s="28" t="s">
        <v>25</v>
      </c>
      <c r="G37" s="21" t="s">
        <v>76</v>
      </c>
      <c r="H37" s="21" t="s">
        <v>72</v>
      </c>
      <c r="I37" s="21">
        <f>'MERCADO TUSD'!$U$34</f>
        <v>0</v>
      </c>
      <c r="J37" s="17"/>
      <c r="L37" s="25">
        <f>'TUSD BE'!$L$37*'TUSD BF'!$L$58</f>
        <v>0</v>
      </c>
      <c r="M37" s="25">
        <f>'TUSD BE'!$M$37*'TUSD BF'!$M$58</f>
        <v>0</v>
      </c>
      <c r="N37" s="25">
        <f ca="1">'TUSD BE'!$N$37*'TUSD BF'!$N$58</f>
        <v>0</v>
      </c>
      <c r="O37" s="25">
        <f>'TUSD BE'!$O$37*'TUSD BF'!$O$58</f>
        <v>0</v>
      </c>
      <c r="P37" s="25">
        <f>'TUSD BE'!$P$37*'TUSD BF'!$P$58</f>
        <v>0</v>
      </c>
      <c r="Q37" s="25">
        <f>'TUSD BE'!$Q$37*'TUSD BF'!$Q$58</f>
        <v>0</v>
      </c>
      <c r="R37" s="25">
        <f>'TUSD BE'!$R$37*'TUSD BF'!$R$58</f>
        <v>0</v>
      </c>
      <c r="S37" s="25">
        <f>'TUSD BE'!$R$37*'TUSD BF'!$S$58</f>
        <v>0</v>
      </c>
      <c r="T37" s="25">
        <f ca="1">SUM($L$37:$S$37)</f>
        <v>0</v>
      </c>
      <c r="U37" s="25">
        <f>'TUSD BE'!$U$37*'TUSD BF'!$U$58</f>
        <v>0</v>
      </c>
      <c r="V37" s="25">
        <f>'TUSD BE'!$V$37*'TUSD BF'!$V$58</f>
        <v>0</v>
      </c>
      <c r="W37" s="25">
        <f>'TUSD BE'!$W$37*'TUSD BF'!$W$58</f>
        <v>0</v>
      </c>
      <c r="X37" s="25">
        <f>'TUSD BE'!$X$37*'TUSD BF'!$X$58</f>
        <v>0</v>
      </c>
      <c r="Y37" s="25">
        <f>'TUSD BE'!$Y$37*'TUSD BF'!$Y$58</f>
        <v>0</v>
      </c>
      <c r="Z37" s="25">
        <f>'TUSD BE'!$Z$37*'TUSD BF'!$Z$58</f>
        <v>0</v>
      </c>
      <c r="AA37" s="25">
        <f>'TUSD BE'!$AA$37*'TUSD BF'!$AA$58</f>
        <v>0</v>
      </c>
      <c r="AB37" s="25">
        <f>SUM($U$37:$AA$37)</f>
        <v>0</v>
      </c>
      <c r="AC37" s="25">
        <f>'TUSD BE'!$AC$37*'TUSD BF'!$AC$58</f>
        <v>0</v>
      </c>
      <c r="AD37" s="25">
        <f>SUM($AC$37:$AC$37)</f>
        <v>0</v>
      </c>
      <c r="AE37" s="25">
        <f ca="1">$AO$37*$AO$55</f>
        <v>0</v>
      </c>
      <c r="AF37" s="25">
        <f ca="1">$AP$37*$AP$55</f>
        <v>0</v>
      </c>
      <c r="AG37" s="25">
        <f ca="1">SUM($AE$37:$AF$37)</f>
        <v>0</v>
      </c>
      <c r="AH37" s="25">
        <f>'TUSD BE'!$AH$37*'TUSD BF'!$AH$58</f>
        <v>0</v>
      </c>
      <c r="AI37" s="25">
        <f>'TUSD BE'!$AI$37*'TUSD BF'!$AI$58</f>
        <v>0</v>
      </c>
      <c r="AJ37" s="25">
        <f ca="1">'TUSD BE'!$AJ$37*'TUSD BF'!$AJ$58</f>
        <v>0</v>
      </c>
      <c r="AK37" s="25">
        <f ca="1">'TUSD BE'!$AK$37*'TUSD BF'!$AK$58</f>
        <v>0</v>
      </c>
      <c r="AL37" s="25">
        <f ca="1">SUM($AH$37:$AK$37)</f>
        <v>0</v>
      </c>
      <c r="AM37" s="25">
        <f ca="1">SUMIF($L$4:$AL$4,"SUBTOTAL",$L$37:$AL$37)</f>
        <v>0</v>
      </c>
      <c r="AO37" s="30">
        <f ca="1">+'TUSD BE'!$T$37+'TUSD BE'!$AB$37+'TUSD BE'!$AD$37+'TUSD BE'!$AL$37</f>
        <v>1047.6487845789259</v>
      </c>
      <c r="AP37" s="30">
        <f ca="1">+'TUSD BE'!$T$37+'TUSD BE'!$AB$37+'TUSD BE'!$AD$37+'TUSD BE'!$AL$37</f>
        <v>1047.6487845789259</v>
      </c>
    </row>
    <row r="38" spans="1:42" ht="11.25" customHeight="1" x14ac:dyDescent="0.3">
      <c r="A38" s="120"/>
      <c r="B38" s="120" t="s">
        <v>33</v>
      </c>
      <c r="C38" s="120" t="s">
        <v>44</v>
      </c>
      <c r="D38" s="120" t="s">
        <v>89</v>
      </c>
      <c r="E38" s="120" t="s">
        <v>25</v>
      </c>
      <c r="F38" s="120" t="s">
        <v>25</v>
      </c>
      <c r="G38" s="21" t="s">
        <v>73</v>
      </c>
      <c r="H38" s="21" t="s">
        <v>72</v>
      </c>
      <c r="I38" s="21">
        <f>'MERCADO TUSD'!$U$35</f>
        <v>0</v>
      </c>
      <c r="J38" s="17"/>
      <c r="L38" s="25">
        <f>'TUSD BE'!$L$38*'TUSD BF'!$L$58</f>
        <v>0</v>
      </c>
      <c r="M38" s="25">
        <f>'TUSD BE'!$M$38*'TUSD BF'!$M$58</f>
        <v>0</v>
      </c>
      <c r="N38" s="25">
        <f ca="1">'TUSD BE'!$N$38*'TUSD BF'!$N$58</f>
        <v>0</v>
      </c>
      <c r="O38" s="25">
        <f>'TUSD BE'!$O$38*'TUSD BF'!$O$58</f>
        <v>0</v>
      </c>
      <c r="P38" s="25">
        <f>'TUSD BE'!$P$38*'TUSD BF'!$P$58</f>
        <v>0</v>
      </c>
      <c r="Q38" s="25">
        <f>'TUSD BE'!$Q$38*'TUSD BF'!$Q$58</f>
        <v>0</v>
      </c>
      <c r="R38" s="25">
        <f>'TUSD BE'!$R$38*'TUSD BF'!$R$58</f>
        <v>0</v>
      </c>
      <c r="S38" s="25">
        <f>'TUSD BE'!$R$38*'TUSD BF'!$S$58</f>
        <v>0</v>
      </c>
      <c r="T38" s="25">
        <f ca="1">SUM($L$38:$S$38)</f>
        <v>0</v>
      </c>
      <c r="U38" s="25">
        <f>'TUSD BE'!$U$38*'TUSD BF'!$U$58</f>
        <v>0</v>
      </c>
      <c r="V38" s="25">
        <f>'TUSD BE'!$V$38*'TUSD BF'!$V$58</f>
        <v>0</v>
      </c>
      <c r="W38" s="25">
        <f>'TUSD BE'!$W$38*'TUSD BF'!$W$58</f>
        <v>0</v>
      </c>
      <c r="X38" s="25">
        <f>'TUSD BE'!$X$38*'TUSD BF'!$X$58</f>
        <v>0</v>
      </c>
      <c r="Y38" s="25">
        <f>'TUSD BE'!$Y$38*'TUSD BF'!$Y$58</f>
        <v>0</v>
      </c>
      <c r="Z38" s="25">
        <f>'TUSD BE'!$Z$38*'TUSD BF'!$Z$58</f>
        <v>0</v>
      </c>
      <c r="AA38" s="25">
        <f>'TUSD BE'!$AA$38*'TUSD BF'!$AA$58</f>
        <v>0</v>
      </c>
      <c r="AB38" s="25">
        <f>SUM($U$38:$AA$38)</f>
        <v>0</v>
      </c>
      <c r="AC38" s="25">
        <f>'TUSD BE'!$AC$38*'TUSD BF'!$AC$58</f>
        <v>0</v>
      </c>
      <c r="AD38" s="25">
        <f>SUM($AC$38:$AC$38)</f>
        <v>0</v>
      </c>
      <c r="AE38" s="25">
        <f ca="1">$AO$38*$AO$55</f>
        <v>0</v>
      </c>
      <c r="AF38" s="25">
        <f ca="1">$AP$38*$AP$55</f>
        <v>0</v>
      </c>
      <c r="AG38" s="25">
        <f ca="1">SUM($AE$38:$AF$38)</f>
        <v>0</v>
      </c>
      <c r="AH38" s="25">
        <f>'TUSD BE'!$AH$38*'TUSD BF'!$AH$58</f>
        <v>0</v>
      </c>
      <c r="AI38" s="25">
        <f>'TUSD BE'!$AI$38*'TUSD BF'!$AI$58</f>
        <v>0</v>
      </c>
      <c r="AJ38" s="25">
        <f ca="1">'TUSD BE'!$AJ$38*'TUSD BF'!$AJ$58</f>
        <v>0</v>
      </c>
      <c r="AK38" s="25">
        <f ca="1">'TUSD BE'!$AK$38*'TUSD BF'!$AK$58</f>
        <v>0</v>
      </c>
      <c r="AL38" s="25">
        <f ca="1">SUM($AH$38:$AK$38)</f>
        <v>0</v>
      </c>
      <c r="AM38" s="25">
        <f ca="1">SUMIF($L$4:$AL$4,"SUBTOTAL",$L$38:$AL$38)</f>
        <v>0</v>
      </c>
      <c r="AO38" s="30">
        <f ca="1">+'TUSD BE'!$T$38+'TUSD BE'!$AB$38+'TUSD BE'!$AD$38+'TUSD BE'!$AL$38</f>
        <v>2466.8910660681099</v>
      </c>
      <c r="AP38" s="30">
        <f ca="1">+'TUSD BE'!$T$38+'TUSD BE'!$AB$38+'TUSD BE'!$AD$38+'TUSD BE'!$AL$38</f>
        <v>2466.8910660681099</v>
      </c>
    </row>
    <row r="39" spans="1:42" ht="11.25" customHeight="1" x14ac:dyDescent="0.3">
      <c r="A39" s="120"/>
      <c r="B39" s="120"/>
      <c r="C39" s="120"/>
      <c r="D39" s="120"/>
      <c r="E39" s="120"/>
      <c r="F39" s="120"/>
      <c r="G39" s="21" t="s">
        <v>85</v>
      </c>
      <c r="H39" s="21" t="s">
        <v>72</v>
      </c>
      <c r="I39" s="21">
        <f>'MERCADO TUSD'!$U$36</f>
        <v>0</v>
      </c>
      <c r="J39" s="17"/>
      <c r="L39" s="25">
        <f>'TUSD BE'!$L$39*'TUSD BF'!$L$58</f>
        <v>0</v>
      </c>
      <c r="M39" s="25">
        <f>'TUSD BE'!$M$39*'TUSD BF'!$M$58</f>
        <v>0</v>
      </c>
      <c r="N39" s="25">
        <f ca="1">'TUSD BE'!$N$39*'TUSD BF'!$N$58</f>
        <v>0</v>
      </c>
      <c r="O39" s="25">
        <f>'TUSD BE'!$O$39*'TUSD BF'!$O$58</f>
        <v>0</v>
      </c>
      <c r="P39" s="25">
        <f>'TUSD BE'!$P$39*'TUSD BF'!$P$58</f>
        <v>0</v>
      </c>
      <c r="Q39" s="25">
        <f>'TUSD BE'!$Q$39*'TUSD BF'!$Q$58</f>
        <v>0</v>
      </c>
      <c r="R39" s="25">
        <f>'TUSD BE'!$R$39*'TUSD BF'!$R$58</f>
        <v>0</v>
      </c>
      <c r="S39" s="25">
        <f>'TUSD BE'!$R$39*'TUSD BF'!$S$58</f>
        <v>0</v>
      </c>
      <c r="T39" s="25">
        <f ca="1">SUM($L$39:$S$39)</f>
        <v>0</v>
      </c>
      <c r="U39" s="25">
        <f>'TUSD BE'!$U$39*'TUSD BF'!$U$58</f>
        <v>0</v>
      </c>
      <c r="V39" s="25">
        <f>'TUSD BE'!$V$39*'TUSD BF'!$V$58</f>
        <v>0</v>
      </c>
      <c r="W39" s="25">
        <f>'TUSD BE'!$W$39*'TUSD BF'!$W$58</f>
        <v>0</v>
      </c>
      <c r="X39" s="25">
        <f>'TUSD BE'!$X$39*'TUSD BF'!$X$58</f>
        <v>0</v>
      </c>
      <c r="Y39" s="25">
        <f>'TUSD BE'!$Y$39*'TUSD BF'!$Y$58</f>
        <v>0</v>
      </c>
      <c r="Z39" s="25">
        <f>'TUSD BE'!$Z$39*'TUSD BF'!$Z$58</f>
        <v>0</v>
      </c>
      <c r="AA39" s="25">
        <f>'TUSD BE'!$AA$39*'TUSD BF'!$AA$58</f>
        <v>0</v>
      </c>
      <c r="AB39" s="25">
        <f>SUM($U$39:$AA$39)</f>
        <v>0</v>
      </c>
      <c r="AC39" s="25">
        <f>'TUSD BE'!$AC$39*'TUSD BF'!$AC$58</f>
        <v>0</v>
      </c>
      <c r="AD39" s="25">
        <f>SUM($AC$39:$AC$39)</f>
        <v>0</v>
      </c>
      <c r="AE39" s="25">
        <f ca="1">$AO$39*$AO$55</f>
        <v>0</v>
      </c>
      <c r="AF39" s="25">
        <f ca="1">$AP$39*$AP$55</f>
        <v>0</v>
      </c>
      <c r="AG39" s="25">
        <f ca="1">SUM($AE$39:$AF$39)</f>
        <v>0</v>
      </c>
      <c r="AH39" s="25">
        <f>'TUSD BE'!$AH$39*'TUSD BF'!$AH$58</f>
        <v>0</v>
      </c>
      <c r="AI39" s="25">
        <f>'TUSD BE'!$AI$39*'TUSD BF'!$AI$58</f>
        <v>0</v>
      </c>
      <c r="AJ39" s="25">
        <f ca="1">'TUSD BE'!$AJ$39*'TUSD BF'!$AJ$58</f>
        <v>0</v>
      </c>
      <c r="AK39" s="25">
        <f ca="1">'TUSD BE'!$AK$39*'TUSD BF'!$AK$58</f>
        <v>0</v>
      </c>
      <c r="AL39" s="25">
        <f ca="1">SUM($AH$39:$AK$39)</f>
        <v>0</v>
      </c>
      <c r="AM39" s="25">
        <f ca="1">SUMIF($L$4:$AL$4,"SUBTOTAL",$L$39:$AL$39)</f>
        <v>0</v>
      </c>
      <c r="AO39" s="30">
        <f ca="1">+'TUSD BE'!$T$39+'TUSD BE'!$AB$39+'TUSD BE'!$AD$39+'TUSD BE'!$AL$39</f>
        <v>1544.3834899046374</v>
      </c>
      <c r="AP39" s="30">
        <f ca="1">+'TUSD BE'!$T$39+'TUSD BE'!$AB$39+'TUSD BE'!$AD$39+'TUSD BE'!$AL$39</f>
        <v>1544.3834899046374</v>
      </c>
    </row>
    <row r="40" spans="1:42" ht="11.25" customHeight="1" x14ac:dyDescent="0.3">
      <c r="A40" s="120"/>
      <c r="B40" s="120"/>
      <c r="C40" s="120"/>
      <c r="D40" s="120"/>
      <c r="E40" s="120"/>
      <c r="F40" s="120"/>
      <c r="G40" s="21" t="s">
        <v>74</v>
      </c>
      <c r="H40" s="21" t="s">
        <v>72</v>
      </c>
      <c r="I40" s="21">
        <f>'MERCADO TUSD'!$U$37</f>
        <v>0</v>
      </c>
      <c r="J40" s="17"/>
      <c r="L40" s="25">
        <f>'TUSD BE'!$L$40*'TUSD BF'!$L$58</f>
        <v>0</v>
      </c>
      <c r="M40" s="25">
        <f>'TUSD BE'!$M$40*'TUSD BF'!$M$58</f>
        <v>0</v>
      </c>
      <c r="N40" s="25">
        <f ca="1">'TUSD BE'!$N$40*'TUSD BF'!$N$58</f>
        <v>0</v>
      </c>
      <c r="O40" s="25">
        <f>'TUSD BE'!$O$40*'TUSD BF'!$O$58</f>
        <v>0</v>
      </c>
      <c r="P40" s="25">
        <f>'TUSD BE'!$P$40*'TUSD BF'!$P$58</f>
        <v>0</v>
      </c>
      <c r="Q40" s="25">
        <f>'TUSD BE'!$Q$40*'TUSD BF'!$Q$58</f>
        <v>0</v>
      </c>
      <c r="R40" s="25">
        <f>'TUSD BE'!$R$40*'TUSD BF'!$R$58</f>
        <v>0</v>
      </c>
      <c r="S40" s="25">
        <f>'TUSD BE'!$R$40*'TUSD BF'!$S$58</f>
        <v>0</v>
      </c>
      <c r="T40" s="25">
        <f ca="1">SUM($L$40:$S$40)</f>
        <v>0</v>
      </c>
      <c r="U40" s="25">
        <f>'TUSD BE'!$U$40*'TUSD BF'!$U$58</f>
        <v>0</v>
      </c>
      <c r="V40" s="25">
        <f>'TUSD BE'!$V$40*'TUSD BF'!$V$58</f>
        <v>0</v>
      </c>
      <c r="W40" s="25">
        <f>'TUSD BE'!$W$40*'TUSD BF'!$W$58</f>
        <v>0</v>
      </c>
      <c r="X40" s="25">
        <f>'TUSD BE'!$X$40*'TUSD BF'!$X$58</f>
        <v>0</v>
      </c>
      <c r="Y40" s="25">
        <f>'TUSD BE'!$Y$40*'TUSD BF'!$Y$58</f>
        <v>0</v>
      </c>
      <c r="Z40" s="25">
        <f>'TUSD BE'!$Z$40*'TUSD BF'!$Z$58</f>
        <v>0</v>
      </c>
      <c r="AA40" s="25">
        <f>'TUSD BE'!$AA$40*'TUSD BF'!$AA$58</f>
        <v>0</v>
      </c>
      <c r="AB40" s="25">
        <f>SUM($U$40:$AA$40)</f>
        <v>0</v>
      </c>
      <c r="AC40" s="25">
        <f>'TUSD BE'!$AC$40*'TUSD BF'!$AC$58</f>
        <v>0</v>
      </c>
      <c r="AD40" s="25">
        <f>SUM($AC$40:$AC$40)</f>
        <v>0</v>
      </c>
      <c r="AE40" s="25">
        <f ca="1">$AO$40*$AO$55</f>
        <v>0</v>
      </c>
      <c r="AF40" s="25">
        <f ca="1">$AP$40*$AP$55</f>
        <v>0</v>
      </c>
      <c r="AG40" s="25">
        <f ca="1">SUM($AE$40:$AF$40)</f>
        <v>0</v>
      </c>
      <c r="AH40" s="25">
        <f>'TUSD BE'!$AH$40*'TUSD BF'!$AH$58</f>
        <v>0</v>
      </c>
      <c r="AI40" s="25">
        <f>'TUSD BE'!$AI$40*'TUSD BF'!$AI$58</f>
        <v>0</v>
      </c>
      <c r="AJ40" s="25">
        <f ca="1">'TUSD BE'!$AJ$40*'TUSD BF'!$AJ$58</f>
        <v>0</v>
      </c>
      <c r="AK40" s="25">
        <f ca="1">'TUSD BE'!$AK$40*'TUSD BF'!$AK$58</f>
        <v>0</v>
      </c>
      <c r="AL40" s="25">
        <f ca="1">SUM($AH$40:$AK$40)</f>
        <v>0</v>
      </c>
      <c r="AM40" s="25">
        <f ca="1">SUMIF($L$4:$AL$4,"SUBTOTAL",$L$40:$AL$40)</f>
        <v>0</v>
      </c>
      <c r="AO40" s="30">
        <f ca="1">+'TUSD BE'!$T$40+'TUSD BE'!$AB$40+'TUSD BE'!$AD$40+'TUSD BE'!$AL$40</f>
        <v>621.87564289178829</v>
      </c>
      <c r="AP40" s="30">
        <f ca="1">+'TUSD BE'!$T$40+'TUSD BE'!$AB$40+'TUSD BE'!$AD$40+'TUSD BE'!$AL$40</f>
        <v>621.87564289178829</v>
      </c>
    </row>
    <row r="41" spans="1:42" ht="11.25" customHeight="1" x14ac:dyDescent="0.3">
      <c r="A41" s="120"/>
      <c r="B41" s="28" t="s">
        <v>23</v>
      </c>
      <c r="C41" s="28" t="s">
        <v>44</v>
      </c>
      <c r="D41" s="28" t="s">
        <v>89</v>
      </c>
      <c r="E41" s="28" t="s">
        <v>25</v>
      </c>
      <c r="F41" s="28" t="s">
        <v>25</v>
      </c>
      <c r="G41" s="21" t="s">
        <v>76</v>
      </c>
      <c r="H41" s="21" t="s">
        <v>72</v>
      </c>
      <c r="I41" s="21">
        <f>'MERCADO TUSD'!$U$38</f>
        <v>0</v>
      </c>
      <c r="J41" s="17"/>
      <c r="L41" s="25">
        <f>'TUSD BE'!$L$41*'TUSD BF'!$L$58</f>
        <v>0</v>
      </c>
      <c r="M41" s="25">
        <f>'TUSD BE'!$M$41*'TUSD BF'!$M$58</f>
        <v>0</v>
      </c>
      <c r="N41" s="25">
        <f ca="1">'TUSD BE'!$N$41*'TUSD BF'!$N$58</f>
        <v>0</v>
      </c>
      <c r="O41" s="25">
        <f>'TUSD BE'!$O$41*'TUSD BF'!$O$58</f>
        <v>0</v>
      </c>
      <c r="P41" s="25">
        <f>'TUSD BE'!$P$41*'TUSD BF'!$P$58</f>
        <v>0</v>
      </c>
      <c r="Q41" s="25">
        <f>'TUSD BE'!$Q$41*'TUSD BF'!$Q$58</f>
        <v>0</v>
      </c>
      <c r="R41" s="25">
        <f>'TUSD BE'!$R$41*'TUSD BF'!$R$58</f>
        <v>0</v>
      </c>
      <c r="S41" s="25">
        <f>'TUSD BE'!$R$41*'TUSD BF'!$S$58</f>
        <v>0</v>
      </c>
      <c r="T41" s="25">
        <f ca="1">SUM($L$41:$S$41)</f>
        <v>0</v>
      </c>
      <c r="U41" s="25">
        <f>'TUSD BE'!$U$41*'TUSD BF'!$U$58</f>
        <v>0</v>
      </c>
      <c r="V41" s="25">
        <f>'TUSD BE'!$V$41*'TUSD BF'!$V$58</f>
        <v>0</v>
      </c>
      <c r="W41" s="25">
        <f>'TUSD BE'!$W$41*'TUSD BF'!$W$58</f>
        <v>0</v>
      </c>
      <c r="X41" s="25">
        <f>'TUSD BE'!$X$41*'TUSD BF'!$X$58</f>
        <v>0</v>
      </c>
      <c r="Y41" s="25">
        <f>'TUSD BE'!$Y$41*'TUSD BF'!$Y$58</f>
        <v>0</v>
      </c>
      <c r="Z41" s="25">
        <f>'TUSD BE'!$Z$41*'TUSD BF'!$Z$58</f>
        <v>0</v>
      </c>
      <c r="AA41" s="25">
        <f>'TUSD BE'!$AA$41*'TUSD BF'!$AA$58</f>
        <v>0</v>
      </c>
      <c r="AB41" s="25">
        <f>SUM($U$41:$AA$41)</f>
        <v>0</v>
      </c>
      <c r="AC41" s="25">
        <f>'TUSD BE'!$AC$41*'TUSD BF'!$AC$58</f>
        <v>0</v>
      </c>
      <c r="AD41" s="25">
        <f>SUM($AC$41:$AC$41)</f>
        <v>0</v>
      </c>
      <c r="AE41" s="25">
        <f ca="1">$AO$41*$AO$55</f>
        <v>0</v>
      </c>
      <c r="AF41" s="25">
        <f ca="1">$AP$41*$AP$55</f>
        <v>0</v>
      </c>
      <c r="AG41" s="25">
        <f ca="1">SUM($AE$41:$AF$41)</f>
        <v>0</v>
      </c>
      <c r="AH41" s="25">
        <f>'TUSD BE'!$AH$41*'TUSD BF'!$AH$58</f>
        <v>0</v>
      </c>
      <c r="AI41" s="25">
        <f>'TUSD BE'!$AI$41*'TUSD BF'!$AI$58</f>
        <v>0</v>
      </c>
      <c r="AJ41" s="25">
        <f ca="1">'TUSD BE'!$AJ$41*'TUSD BF'!$AJ$58</f>
        <v>0</v>
      </c>
      <c r="AK41" s="25">
        <f ca="1">'TUSD BE'!$AK$41*'TUSD BF'!$AK$58</f>
        <v>0</v>
      </c>
      <c r="AL41" s="25">
        <f ca="1">SUM($AH$41:$AK$41)</f>
        <v>0</v>
      </c>
      <c r="AM41" s="25">
        <f ca="1">SUMIF($L$4:$AL$4,"SUBTOTAL",$L$41:$AL$41)</f>
        <v>0</v>
      </c>
      <c r="AO41" s="30">
        <f ca="1">+'TUSD BE'!$T$41+'TUSD BE'!$AB$41+'TUSD BE'!$AD$41+'TUSD BE'!$AL$41</f>
        <v>1047.6487845789259</v>
      </c>
      <c r="AP41" s="30">
        <f ca="1">+'TUSD BE'!$T$41+'TUSD BE'!$AB$41+'TUSD BE'!$AD$41+'TUSD BE'!$AL$41</f>
        <v>1047.6487845789259</v>
      </c>
    </row>
    <row r="42" spans="1:42" ht="11.25" customHeight="1" x14ac:dyDescent="0.3">
      <c r="A42" s="120"/>
      <c r="B42" s="120" t="s">
        <v>87</v>
      </c>
      <c r="C42" s="120" t="s">
        <v>44</v>
      </c>
      <c r="D42" s="28" t="s">
        <v>25</v>
      </c>
      <c r="E42" s="28" t="s">
        <v>25</v>
      </c>
      <c r="F42" s="28" t="s">
        <v>25</v>
      </c>
      <c r="G42" s="21" t="s">
        <v>76</v>
      </c>
      <c r="H42" s="21" t="s">
        <v>72</v>
      </c>
      <c r="I42" s="21">
        <f>'MERCADO TUSD'!$U$39</f>
        <v>0</v>
      </c>
      <c r="J42" s="17"/>
      <c r="L42" s="25">
        <f>'TUSD BE'!$L$42*'TUSD BF'!$L$58</f>
        <v>0</v>
      </c>
      <c r="M42" s="25">
        <f>'TUSD BE'!$M$42*'TUSD BF'!$M$58</f>
        <v>0</v>
      </c>
      <c r="N42" s="25">
        <f ca="1">'TUSD BE'!$N$42*'TUSD BF'!$N$58</f>
        <v>0</v>
      </c>
      <c r="O42" s="25">
        <f>'TUSD BE'!$O$42*'TUSD BF'!$O$58</f>
        <v>0</v>
      </c>
      <c r="P42" s="25">
        <f>'TUSD BE'!$P$42*'TUSD BF'!$P$58</f>
        <v>0</v>
      </c>
      <c r="Q42" s="25">
        <f>'TUSD BE'!$Q$42*'TUSD BF'!$Q$58</f>
        <v>0</v>
      </c>
      <c r="R42" s="25">
        <f>'TUSD BE'!$R$42*'TUSD BF'!$R$58</f>
        <v>0</v>
      </c>
      <c r="S42" s="25">
        <f>'TUSD BE'!$R$42*'TUSD BF'!$S$58</f>
        <v>0</v>
      </c>
      <c r="T42" s="25">
        <f ca="1">SUM($L$42:$S$42)</f>
        <v>0</v>
      </c>
      <c r="U42" s="25">
        <f>'TUSD BE'!$U$42*'TUSD BF'!$U$58</f>
        <v>0</v>
      </c>
      <c r="V42" s="25">
        <f>'TUSD BE'!$V$42*'TUSD BF'!$V$58</f>
        <v>0</v>
      </c>
      <c r="W42" s="25">
        <f>'TUSD BE'!$W$42*'TUSD BF'!$W$58</f>
        <v>0</v>
      </c>
      <c r="X42" s="25">
        <f>'TUSD BE'!$X$42*'TUSD BF'!$X$58</f>
        <v>0</v>
      </c>
      <c r="Y42" s="25">
        <f>'TUSD BE'!$Y$42*'TUSD BF'!$Y$58</f>
        <v>0</v>
      </c>
      <c r="Z42" s="25">
        <f>'TUSD BE'!$Z$42*'TUSD BF'!$Z$58</f>
        <v>0</v>
      </c>
      <c r="AA42" s="25">
        <f>'TUSD BE'!$AA$42*'TUSD BF'!$AA$58</f>
        <v>0</v>
      </c>
      <c r="AB42" s="25">
        <f>SUM($U$42:$AA$42)</f>
        <v>0</v>
      </c>
      <c r="AC42" s="25">
        <f>'TUSD BE'!$AC$42*'TUSD BF'!$AC$58</f>
        <v>0</v>
      </c>
      <c r="AD42" s="25">
        <f>SUM($AC$42:$AC$42)</f>
        <v>0</v>
      </c>
      <c r="AE42" s="25">
        <f ca="1">$AO$42*$AO$55</f>
        <v>0</v>
      </c>
      <c r="AF42" s="25">
        <f ca="1">$AP$42*$AP$55</f>
        <v>0</v>
      </c>
      <c r="AG42" s="25">
        <f ca="1">SUM($AE$42:$AF$42)</f>
        <v>0</v>
      </c>
      <c r="AH42" s="25">
        <f>'TUSD BE'!$AH$42*'TUSD BF'!$AH$58</f>
        <v>0</v>
      </c>
      <c r="AI42" s="25">
        <f>'TUSD BE'!$AI$42*'TUSD BF'!$AI$58</f>
        <v>0</v>
      </c>
      <c r="AJ42" s="25">
        <f ca="1">'TUSD BE'!$AJ$42*'TUSD BF'!$AJ$58</f>
        <v>0</v>
      </c>
      <c r="AK42" s="25">
        <f ca="1">'TUSD BE'!$AK$42*'TUSD BF'!$AK$58</f>
        <v>0</v>
      </c>
      <c r="AL42" s="25">
        <f ca="1">SUM($AH$42:$AK$42)</f>
        <v>0</v>
      </c>
      <c r="AM42" s="25">
        <f ca="1">SUMIF($L$4:$AL$4,"SUBTOTAL",$L$42:$AL$42)</f>
        <v>0</v>
      </c>
      <c r="AO42" s="30">
        <f ca="1">+'TUSD BE'!$T$42+'TUSD BE'!$AB$42+'TUSD BE'!$AD$42+'TUSD BE'!$AL$42</f>
        <v>1047.6487845789259</v>
      </c>
      <c r="AP42" s="30">
        <f ca="1">+'TUSD BE'!$T$42+'TUSD BE'!$AB$42+'TUSD BE'!$AD$42+'TUSD BE'!$AL$42</f>
        <v>1047.6487845789259</v>
      </c>
    </row>
    <row r="43" spans="1:42" ht="11.25" customHeight="1" x14ac:dyDescent="0.3">
      <c r="A43" s="120"/>
      <c r="B43" s="120"/>
      <c r="C43" s="120"/>
      <c r="D43" s="28" t="s">
        <v>88</v>
      </c>
      <c r="E43" s="28" t="s">
        <v>25</v>
      </c>
      <c r="F43" s="28" t="s">
        <v>25</v>
      </c>
      <c r="G43" s="21" t="s">
        <v>76</v>
      </c>
      <c r="H43" s="21" t="s">
        <v>72</v>
      </c>
      <c r="I43" s="21">
        <f>'MERCADO TUSD'!$U$40</f>
        <v>0</v>
      </c>
      <c r="J43" s="17"/>
      <c r="L43" s="25">
        <f>'TUSD BE'!$L$43*'TUSD BF'!$L$58</f>
        <v>0</v>
      </c>
      <c r="M43" s="25">
        <f>'TUSD BE'!$M$43*'TUSD BF'!$M$58</f>
        <v>0</v>
      </c>
      <c r="N43" s="25">
        <f ca="1">'TUSD BE'!$N$43*'TUSD BF'!$N$58</f>
        <v>0</v>
      </c>
      <c r="O43" s="25">
        <f>'TUSD BE'!$O$43*'TUSD BF'!$O$58</f>
        <v>0</v>
      </c>
      <c r="P43" s="25">
        <f>'TUSD BE'!$P$43*'TUSD BF'!$P$58</f>
        <v>0</v>
      </c>
      <c r="Q43" s="25">
        <f>'TUSD BE'!$Q$43*'TUSD BF'!$Q$58</f>
        <v>0</v>
      </c>
      <c r="R43" s="25">
        <f>'TUSD BE'!$R$43*'TUSD BF'!$R$58</f>
        <v>0</v>
      </c>
      <c r="S43" s="25">
        <f>'TUSD BE'!$R$43*'TUSD BF'!$S$58</f>
        <v>0</v>
      </c>
      <c r="T43" s="25">
        <f ca="1">SUM($L$43:$S$43)</f>
        <v>0</v>
      </c>
      <c r="U43" s="25">
        <f>'TUSD BE'!$U$43*'TUSD BF'!$U$58</f>
        <v>0</v>
      </c>
      <c r="V43" s="25">
        <f>'TUSD BE'!$V$43*'TUSD BF'!$V$58</f>
        <v>0</v>
      </c>
      <c r="W43" s="25">
        <f>'TUSD BE'!$W$43*'TUSD BF'!$W$58</f>
        <v>0</v>
      </c>
      <c r="X43" s="25">
        <f>'TUSD BE'!$X$43*'TUSD BF'!$X$58</f>
        <v>0</v>
      </c>
      <c r="Y43" s="25">
        <f>'TUSD BE'!$Y$43*'TUSD BF'!$Y$58</f>
        <v>0</v>
      </c>
      <c r="Z43" s="25">
        <f>'TUSD BE'!$Z$43*'TUSD BF'!$Z$58</f>
        <v>0</v>
      </c>
      <c r="AA43" s="25">
        <f>'TUSD BE'!$AA$43*'TUSD BF'!$AA$58</f>
        <v>0</v>
      </c>
      <c r="AB43" s="25">
        <f>SUM($U$43:$AA$43)</f>
        <v>0</v>
      </c>
      <c r="AC43" s="25">
        <f>'TUSD BE'!$AC$43*'TUSD BF'!$AC$58</f>
        <v>0</v>
      </c>
      <c r="AD43" s="25">
        <f>SUM($AC$43:$AC$43)</f>
        <v>0</v>
      </c>
      <c r="AE43" s="25">
        <f ca="1">$AO$43*$AO$55</f>
        <v>0</v>
      </c>
      <c r="AF43" s="25">
        <f ca="1">$AP$43*$AP$55</f>
        <v>0</v>
      </c>
      <c r="AG43" s="25">
        <f ca="1">SUM($AE$43:$AF$43)</f>
        <v>0</v>
      </c>
      <c r="AH43" s="25">
        <f>'TUSD BE'!$AH$43*'TUSD BF'!$AH$58</f>
        <v>0</v>
      </c>
      <c r="AI43" s="25">
        <f>'TUSD BE'!$AI$43*'TUSD BF'!$AI$58</f>
        <v>0</v>
      </c>
      <c r="AJ43" s="25">
        <f ca="1">'TUSD BE'!$AJ$43*'TUSD BF'!$AJ$58</f>
        <v>0</v>
      </c>
      <c r="AK43" s="25">
        <f ca="1">'TUSD BE'!$AK$43*'TUSD BF'!$AK$58</f>
        <v>0</v>
      </c>
      <c r="AL43" s="25">
        <f ca="1">SUM($AH$43:$AK$43)</f>
        <v>0</v>
      </c>
      <c r="AM43" s="25">
        <f ca="1">SUMIF($L$4:$AL$4,"SUBTOTAL",$L$43:$AL$43)</f>
        <v>0</v>
      </c>
      <c r="AO43" s="30">
        <f ca="1">+'TUSD BE'!$T$43+'TUSD BE'!$AB$43+'TUSD BE'!$AD$43+'TUSD BE'!$AL$43</f>
        <v>1047.6487845789259</v>
      </c>
      <c r="AP43" s="30">
        <f ca="1">+'TUSD BE'!$T$43+'TUSD BE'!$AB$43+'TUSD BE'!$AD$43+'TUSD BE'!$AL$43</f>
        <v>1047.6487845789259</v>
      </c>
    </row>
    <row r="44" spans="1:42" ht="11.25" customHeight="1" x14ac:dyDescent="0.3">
      <c r="A44" s="120"/>
      <c r="B44" s="120"/>
      <c r="C44" s="120"/>
      <c r="D44" s="28" t="s">
        <v>89</v>
      </c>
      <c r="E44" s="28" t="s">
        <v>25</v>
      </c>
      <c r="F44" s="28" t="s">
        <v>25</v>
      </c>
      <c r="G44" s="21" t="s">
        <v>76</v>
      </c>
      <c r="H44" s="21" t="s">
        <v>72</v>
      </c>
      <c r="I44" s="21">
        <f>'MERCADO TUSD'!$U$41</f>
        <v>0</v>
      </c>
      <c r="J44" s="17"/>
      <c r="L44" s="25">
        <f>'TUSD BE'!$L$44*'TUSD BF'!$L$58</f>
        <v>0</v>
      </c>
      <c r="M44" s="25">
        <f>'TUSD BE'!$M$44*'TUSD BF'!$M$58</f>
        <v>0</v>
      </c>
      <c r="N44" s="25">
        <f ca="1">'TUSD BE'!$N$44*'TUSD BF'!$N$58</f>
        <v>0</v>
      </c>
      <c r="O44" s="25">
        <f>'TUSD BE'!$O$44*'TUSD BF'!$O$58</f>
        <v>0</v>
      </c>
      <c r="P44" s="25">
        <f>'TUSD BE'!$P$44*'TUSD BF'!$P$58</f>
        <v>0</v>
      </c>
      <c r="Q44" s="25">
        <f>'TUSD BE'!$Q$44*'TUSD BF'!$Q$58</f>
        <v>0</v>
      </c>
      <c r="R44" s="25">
        <f>'TUSD BE'!$R$44*'TUSD BF'!$R$58</f>
        <v>0</v>
      </c>
      <c r="S44" s="25">
        <f>'TUSD BE'!$R$44*'TUSD BF'!$S$58</f>
        <v>0</v>
      </c>
      <c r="T44" s="25">
        <f ca="1">SUM($L$44:$S$44)</f>
        <v>0</v>
      </c>
      <c r="U44" s="25">
        <f>'TUSD BE'!$U$44*'TUSD BF'!$U$58</f>
        <v>0</v>
      </c>
      <c r="V44" s="25">
        <f>'TUSD BE'!$V$44*'TUSD BF'!$V$58</f>
        <v>0</v>
      </c>
      <c r="W44" s="25">
        <f>'TUSD BE'!$W$44*'TUSD BF'!$W$58</f>
        <v>0</v>
      </c>
      <c r="X44" s="25">
        <f>'TUSD BE'!$X$44*'TUSD BF'!$X$58</f>
        <v>0</v>
      </c>
      <c r="Y44" s="25">
        <f>'TUSD BE'!$Y$44*'TUSD BF'!$Y$58</f>
        <v>0</v>
      </c>
      <c r="Z44" s="25">
        <f>'TUSD BE'!$Z$44*'TUSD BF'!$Z$58</f>
        <v>0</v>
      </c>
      <c r="AA44" s="25">
        <f>'TUSD BE'!$AA$44*'TUSD BF'!$AA$58</f>
        <v>0</v>
      </c>
      <c r="AB44" s="25">
        <f>SUM($U$44:$AA$44)</f>
        <v>0</v>
      </c>
      <c r="AC44" s="25">
        <f>'TUSD BE'!$AC$44*'TUSD BF'!$AC$58</f>
        <v>0</v>
      </c>
      <c r="AD44" s="25">
        <f>SUM($AC$44:$AC$44)</f>
        <v>0</v>
      </c>
      <c r="AE44" s="25">
        <f ca="1">$AO$44*$AO$55</f>
        <v>0</v>
      </c>
      <c r="AF44" s="25">
        <f ca="1">$AP$44*$AP$55</f>
        <v>0</v>
      </c>
      <c r="AG44" s="25">
        <f ca="1">SUM($AE$44:$AF$44)</f>
        <v>0</v>
      </c>
      <c r="AH44" s="25">
        <f>'TUSD BE'!$AH$44*'TUSD BF'!$AH$58</f>
        <v>0</v>
      </c>
      <c r="AI44" s="25">
        <f>'TUSD BE'!$AI$44*'TUSD BF'!$AI$58</f>
        <v>0</v>
      </c>
      <c r="AJ44" s="25">
        <f ca="1">'TUSD BE'!$AJ$44*'TUSD BF'!$AJ$58</f>
        <v>0</v>
      </c>
      <c r="AK44" s="25">
        <f ca="1">'TUSD BE'!$AK$44*'TUSD BF'!$AK$58</f>
        <v>0</v>
      </c>
      <c r="AL44" s="25">
        <f ca="1">SUM($AH$44:$AK$44)</f>
        <v>0</v>
      </c>
      <c r="AM44" s="25">
        <f ca="1">SUMIF($L$4:$AL$4,"SUBTOTAL",$L$44:$AL$44)</f>
        <v>0</v>
      </c>
      <c r="AO44" s="30">
        <f ca="1">+'TUSD BE'!$T$44+'TUSD BE'!$AB$44+'TUSD BE'!$AD$44+'TUSD BE'!$AL$44</f>
        <v>1047.6487845789259</v>
      </c>
      <c r="AP44" s="30">
        <f ca="1">+'TUSD BE'!$T$44+'TUSD BE'!$AB$44+'TUSD BE'!$AD$44+'TUSD BE'!$AL$44</f>
        <v>1047.6487845789259</v>
      </c>
    </row>
    <row r="45" spans="1:42" ht="11.25" customHeight="1" x14ac:dyDescent="0.3">
      <c r="A45" s="120" t="s">
        <v>35</v>
      </c>
      <c r="B45" s="120" t="s">
        <v>33</v>
      </c>
      <c r="C45" s="120" t="s">
        <v>25</v>
      </c>
      <c r="D45" s="120" t="s">
        <v>25</v>
      </c>
      <c r="E45" s="120" t="s">
        <v>25</v>
      </c>
      <c r="F45" s="120" t="s">
        <v>25</v>
      </c>
      <c r="G45" s="21" t="s">
        <v>73</v>
      </c>
      <c r="H45" s="21" t="s">
        <v>72</v>
      </c>
      <c r="I45" s="21">
        <f>'MERCADO TUSD'!$U$42</f>
        <v>0.38900000000000001</v>
      </c>
      <c r="J45" s="17"/>
      <c r="L45" s="25">
        <f>'TUSD BE'!$L$45*'TUSD BF'!$L$58</f>
        <v>0</v>
      </c>
      <c r="M45" s="25">
        <f>'TUSD BE'!$M$45*'TUSD BF'!$M$58</f>
        <v>0</v>
      </c>
      <c r="N45" s="25">
        <f ca="1">'TUSD BE'!$N$45*'TUSD BF'!$N$58</f>
        <v>0</v>
      </c>
      <c r="O45" s="25">
        <f>'TUSD BE'!$O$45*'TUSD BF'!$O$58</f>
        <v>0</v>
      </c>
      <c r="P45" s="25">
        <f>'TUSD BE'!$P$45*'TUSD BF'!$P$58</f>
        <v>0</v>
      </c>
      <c r="Q45" s="25">
        <f>'TUSD BE'!$Q$45*'TUSD BF'!$Q$58</f>
        <v>0</v>
      </c>
      <c r="R45" s="25">
        <f>'TUSD BE'!$R$45*'TUSD BF'!$R$58</f>
        <v>0</v>
      </c>
      <c r="S45" s="25">
        <f>'TUSD BE'!$R$45*'TUSD BF'!$S$58</f>
        <v>0</v>
      </c>
      <c r="T45" s="25">
        <f ca="1">SUM($L$45:$S$45)</f>
        <v>0</v>
      </c>
      <c r="U45" s="25">
        <f>'TUSD BE'!$U$45*'TUSD BF'!$U$58</f>
        <v>0</v>
      </c>
      <c r="V45" s="25">
        <f>'TUSD BE'!$V$45*'TUSD BF'!$V$58</f>
        <v>0</v>
      </c>
      <c r="W45" s="25">
        <f>'TUSD BE'!$W$45*'TUSD BF'!$W$58</f>
        <v>0</v>
      </c>
      <c r="X45" s="25">
        <f>'TUSD BE'!$X$45*'TUSD BF'!$X$58</f>
        <v>0</v>
      </c>
      <c r="Y45" s="25">
        <f>'TUSD BE'!$Y$45*'TUSD BF'!$Y$58</f>
        <v>0</v>
      </c>
      <c r="Z45" s="25">
        <f>'TUSD BE'!$Z$45*'TUSD BF'!$Z$58</f>
        <v>0</v>
      </c>
      <c r="AA45" s="25">
        <f>'TUSD BE'!$AA$45*'TUSD BF'!$AA$58</f>
        <v>0</v>
      </c>
      <c r="AB45" s="25">
        <f>SUM($U$45:$AA$45)</f>
        <v>0</v>
      </c>
      <c r="AC45" s="25">
        <f>'TUSD BE'!$AC$45*'TUSD BF'!$AC$58</f>
        <v>0</v>
      </c>
      <c r="AD45" s="25">
        <f>SUM($AC$45:$AC$45)</f>
        <v>0</v>
      </c>
      <c r="AE45" s="25">
        <f ca="1">$AO$45*$AO$55</f>
        <v>0</v>
      </c>
      <c r="AF45" s="25">
        <f ca="1">$AP$45*$AP$55</f>
        <v>0</v>
      </c>
      <c r="AG45" s="25">
        <f ca="1">SUM($AE$45:$AF$45)</f>
        <v>0</v>
      </c>
      <c r="AH45" s="25">
        <f>'TUSD BE'!$AH$45*'TUSD BF'!$AH$58</f>
        <v>0</v>
      </c>
      <c r="AI45" s="25">
        <f>'TUSD BE'!$AI$45*'TUSD BF'!$AI$58</f>
        <v>0</v>
      </c>
      <c r="AJ45" s="25">
        <f ca="1">'TUSD BE'!$AJ$45*'TUSD BF'!$AJ$58</f>
        <v>0</v>
      </c>
      <c r="AK45" s="25">
        <f ca="1">'TUSD BE'!$AK$45*'TUSD BF'!$AK$58</f>
        <v>0</v>
      </c>
      <c r="AL45" s="25">
        <f ca="1">SUM($AH$45:$AK$45)</f>
        <v>0</v>
      </c>
      <c r="AM45" s="25">
        <f ca="1">SUMIF($L$4:$AL$4,"SUBTOTAL",$L$45:$AL$45)</f>
        <v>0</v>
      </c>
      <c r="AO45" s="30">
        <f ca="1">+'TUSD BE'!$T$45+'TUSD BE'!$AB$45+'TUSD BE'!$AD$45+'TUSD BE'!$AL$45</f>
        <v>2866.0526963527213</v>
      </c>
      <c r="AP45" s="30">
        <f ca="1">+'TUSD BE'!$T$45+'TUSD BE'!$AB$45+'TUSD BE'!$AD$45+'TUSD BE'!$AL$45</f>
        <v>2866.0526963527213</v>
      </c>
    </row>
    <row r="46" spans="1:42" ht="11.25" customHeight="1" x14ac:dyDescent="0.3">
      <c r="A46" s="120"/>
      <c r="B46" s="120"/>
      <c r="C46" s="120"/>
      <c r="D46" s="120"/>
      <c r="E46" s="120"/>
      <c r="F46" s="120"/>
      <c r="G46" s="21" t="s">
        <v>85</v>
      </c>
      <c r="H46" s="21" t="s">
        <v>72</v>
      </c>
      <c r="I46" s="21">
        <f>'MERCADO TUSD'!$U$43</f>
        <v>0.23799999999999999</v>
      </c>
      <c r="J46" s="17"/>
      <c r="L46" s="25">
        <f>'TUSD BE'!$L$46*'TUSD BF'!$L$58</f>
        <v>0</v>
      </c>
      <c r="M46" s="25">
        <f>'TUSD BE'!$M$46*'TUSD BF'!$M$58</f>
        <v>0</v>
      </c>
      <c r="N46" s="25">
        <f ca="1">'TUSD BE'!$N$46*'TUSD BF'!$N$58</f>
        <v>0</v>
      </c>
      <c r="O46" s="25">
        <f>'TUSD BE'!$O$46*'TUSD BF'!$O$58</f>
        <v>0</v>
      </c>
      <c r="P46" s="25">
        <f>'TUSD BE'!$P$46*'TUSD BF'!$P$58</f>
        <v>0</v>
      </c>
      <c r="Q46" s="25">
        <f>'TUSD BE'!$Q$46*'TUSD BF'!$Q$58</f>
        <v>0</v>
      </c>
      <c r="R46" s="25">
        <f>'TUSD BE'!$R$46*'TUSD BF'!$R$58</f>
        <v>0</v>
      </c>
      <c r="S46" s="25">
        <f>'TUSD BE'!$R$46*'TUSD BF'!$S$58</f>
        <v>0</v>
      </c>
      <c r="T46" s="25">
        <f ca="1">SUM($L$46:$S$46)</f>
        <v>0</v>
      </c>
      <c r="U46" s="25">
        <f>'TUSD BE'!$U$46*'TUSD BF'!$U$58</f>
        <v>0</v>
      </c>
      <c r="V46" s="25">
        <f>'TUSD BE'!$V$46*'TUSD BF'!$V$58</f>
        <v>0</v>
      </c>
      <c r="W46" s="25">
        <f>'TUSD BE'!$W$46*'TUSD BF'!$W$58</f>
        <v>0</v>
      </c>
      <c r="X46" s="25">
        <f>'TUSD BE'!$X$46*'TUSD BF'!$X$58</f>
        <v>0</v>
      </c>
      <c r="Y46" s="25">
        <f>'TUSD BE'!$Y$46*'TUSD BF'!$Y$58</f>
        <v>0</v>
      </c>
      <c r="Z46" s="25">
        <f>'TUSD BE'!$Z$46*'TUSD BF'!$Z$58</f>
        <v>0</v>
      </c>
      <c r="AA46" s="25">
        <f>'TUSD BE'!$AA$46*'TUSD BF'!$AA$58</f>
        <v>0</v>
      </c>
      <c r="AB46" s="25">
        <f>SUM($U$46:$AA$46)</f>
        <v>0</v>
      </c>
      <c r="AC46" s="25">
        <f>'TUSD BE'!$AC$46*'TUSD BF'!$AC$58</f>
        <v>0</v>
      </c>
      <c r="AD46" s="25">
        <f>SUM($AC$46:$AC$46)</f>
        <v>0</v>
      </c>
      <c r="AE46" s="25">
        <f ca="1">$AO$46*$AO$55</f>
        <v>0</v>
      </c>
      <c r="AF46" s="25">
        <f ca="1">$AP$46*$AP$55</f>
        <v>0</v>
      </c>
      <c r="AG46" s="25">
        <f ca="1">SUM($AE$46:$AF$46)</f>
        <v>0</v>
      </c>
      <c r="AH46" s="25">
        <f>'TUSD BE'!$AH$46*'TUSD BF'!$AH$58</f>
        <v>0</v>
      </c>
      <c r="AI46" s="25">
        <f>'TUSD BE'!$AI$46*'TUSD BF'!$AI$58</f>
        <v>0</v>
      </c>
      <c r="AJ46" s="25">
        <f ca="1">'TUSD BE'!$AJ$46*'TUSD BF'!$AJ$58</f>
        <v>0</v>
      </c>
      <c r="AK46" s="25">
        <f ca="1">'TUSD BE'!$AK$46*'TUSD BF'!$AK$58</f>
        <v>0</v>
      </c>
      <c r="AL46" s="25">
        <f ca="1">SUM($AH$46:$AK$46)</f>
        <v>0</v>
      </c>
      <c r="AM46" s="25">
        <f ca="1">SUMIF($L$4:$AL$4,"SUBTOTAL",$L$46:$AL$46)</f>
        <v>0</v>
      </c>
      <c r="AO46" s="30">
        <f ca="1">+'TUSD BE'!$T$46+'TUSD BE'!$AB$46+'TUSD BE'!$AD$46+'TUSD BE'!$AL$46</f>
        <v>1783.8808950272905</v>
      </c>
      <c r="AP46" s="30">
        <f ca="1">+'TUSD BE'!$T$46+'TUSD BE'!$AB$46+'TUSD BE'!$AD$46+'TUSD BE'!$AL$46</f>
        <v>1783.8808950272905</v>
      </c>
    </row>
    <row r="47" spans="1:42" ht="11.25" customHeight="1" x14ac:dyDescent="0.3">
      <c r="A47" s="120"/>
      <c r="B47" s="120"/>
      <c r="C47" s="120"/>
      <c r="D47" s="120"/>
      <c r="E47" s="120"/>
      <c r="F47" s="120"/>
      <c r="G47" s="21" t="s">
        <v>74</v>
      </c>
      <c r="H47" s="21" t="s">
        <v>72</v>
      </c>
      <c r="I47" s="21">
        <f>'MERCADO TUSD'!$U$44</f>
        <v>2.8279999999999998</v>
      </c>
      <c r="J47" s="17"/>
      <c r="L47" s="25">
        <f>'TUSD BE'!$L$47*'TUSD BF'!$L$58</f>
        <v>0</v>
      </c>
      <c r="M47" s="25">
        <f>'TUSD BE'!$M$47*'TUSD BF'!$M$58</f>
        <v>0</v>
      </c>
      <c r="N47" s="25">
        <f ca="1">'TUSD BE'!$N$47*'TUSD BF'!$N$58</f>
        <v>0</v>
      </c>
      <c r="O47" s="25">
        <f>'TUSD BE'!$O$47*'TUSD BF'!$O$58</f>
        <v>0</v>
      </c>
      <c r="P47" s="25">
        <f>'TUSD BE'!$P$47*'TUSD BF'!$P$58</f>
        <v>0</v>
      </c>
      <c r="Q47" s="25">
        <f>'TUSD BE'!$Q$47*'TUSD BF'!$Q$58</f>
        <v>0</v>
      </c>
      <c r="R47" s="25">
        <f>'TUSD BE'!$R$47*'TUSD BF'!$R$58</f>
        <v>0</v>
      </c>
      <c r="S47" s="25">
        <f>'TUSD BE'!$R$47*'TUSD BF'!$S$58</f>
        <v>0</v>
      </c>
      <c r="T47" s="25">
        <f ca="1">SUM($L$47:$S$47)</f>
        <v>0</v>
      </c>
      <c r="U47" s="25">
        <f>'TUSD BE'!$U$47*'TUSD BF'!$U$58</f>
        <v>0</v>
      </c>
      <c r="V47" s="25">
        <f>'TUSD BE'!$V$47*'TUSD BF'!$V$58</f>
        <v>0</v>
      </c>
      <c r="W47" s="25">
        <f>'TUSD BE'!$W$47*'TUSD BF'!$W$58</f>
        <v>0</v>
      </c>
      <c r="X47" s="25">
        <f>'TUSD BE'!$X$47*'TUSD BF'!$X$58</f>
        <v>0</v>
      </c>
      <c r="Y47" s="25">
        <f>'TUSD BE'!$Y$47*'TUSD BF'!$Y$58</f>
        <v>0</v>
      </c>
      <c r="Z47" s="25">
        <f>'TUSD BE'!$Z$47*'TUSD BF'!$Z$58</f>
        <v>0</v>
      </c>
      <c r="AA47" s="25">
        <f>'TUSD BE'!$AA$47*'TUSD BF'!$AA$58</f>
        <v>0</v>
      </c>
      <c r="AB47" s="25">
        <f>SUM($U$47:$AA$47)</f>
        <v>0</v>
      </c>
      <c r="AC47" s="25">
        <f>'TUSD BE'!$AC$47*'TUSD BF'!$AC$58</f>
        <v>0</v>
      </c>
      <c r="AD47" s="25">
        <f>SUM($AC$47:$AC$47)</f>
        <v>0</v>
      </c>
      <c r="AE47" s="25">
        <f ca="1">$AO$47*$AO$55</f>
        <v>0</v>
      </c>
      <c r="AF47" s="25">
        <f ca="1">$AP$47*$AP$55</f>
        <v>0</v>
      </c>
      <c r="AG47" s="25">
        <f ca="1">SUM($AE$47:$AF$47)</f>
        <v>0</v>
      </c>
      <c r="AH47" s="25">
        <f>'TUSD BE'!$AH$47*'TUSD BF'!$AH$58</f>
        <v>0</v>
      </c>
      <c r="AI47" s="25">
        <f>'TUSD BE'!$AI$47*'TUSD BF'!$AI$58</f>
        <v>0</v>
      </c>
      <c r="AJ47" s="25">
        <f ca="1">'TUSD BE'!$AJ$47*'TUSD BF'!$AJ$58</f>
        <v>0</v>
      </c>
      <c r="AK47" s="25">
        <f ca="1">'TUSD BE'!$AK$47*'TUSD BF'!$AK$58</f>
        <v>0</v>
      </c>
      <c r="AL47" s="25">
        <f ca="1">SUM($AH$47:$AK$47)</f>
        <v>0</v>
      </c>
      <c r="AM47" s="25">
        <f ca="1">SUMIF($L$4:$AL$4,"SUBTOTAL",$L$47:$AL$47)</f>
        <v>0</v>
      </c>
      <c r="AO47" s="30">
        <f ca="1">+'TUSD BE'!$T$47+'TUSD BE'!$AB$47+'TUSD BE'!$AD$47+'TUSD BE'!$AL$47</f>
        <v>701.70882285248354</v>
      </c>
      <c r="AP47" s="30">
        <f ca="1">+'TUSD BE'!$T$47+'TUSD BE'!$AB$47+'TUSD BE'!$AD$47+'TUSD BE'!$AL$47</f>
        <v>701.70882285248354</v>
      </c>
    </row>
    <row r="48" spans="1:42" ht="11.25" customHeight="1" x14ac:dyDescent="0.3">
      <c r="A48" s="120"/>
      <c r="B48" s="28" t="s">
        <v>23</v>
      </c>
      <c r="C48" s="28" t="s">
        <v>25</v>
      </c>
      <c r="D48" s="28" t="s">
        <v>25</v>
      </c>
      <c r="E48" s="28" t="s">
        <v>25</v>
      </c>
      <c r="F48" s="28" t="s">
        <v>25</v>
      </c>
      <c r="G48" s="21" t="s">
        <v>76</v>
      </c>
      <c r="H48" s="21" t="s">
        <v>72</v>
      </c>
      <c r="I48" s="21">
        <f>'MERCADO TUSD'!$U$45</f>
        <v>1798.9960000000001</v>
      </c>
      <c r="J48" s="17"/>
      <c r="L48" s="25">
        <f>'TUSD BE'!$L$48*'TUSD BF'!$L$58</f>
        <v>0</v>
      </c>
      <c r="M48" s="25">
        <f>'TUSD BE'!$M$48*'TUSD BF'!$M$58</f>
        <v>0</v>
      </c>
      <c r="N48" s="25">
        <f ca="1">'TUSD BE'!$N$48*'TUSD BF'!$N$58</f>
        <v>0</v>
      </c>
      <c r="O48" s="25">
        <f>'TUSD BE'!$O$48*'TUSD BF'!$O$58</f>
        <v>0</v>
      </c>
      <c r="P48" s="25">
        <f>'TUSD BE'!$P$48*'TUSD BF'!$P$58</f>
        <v>0</v>
      </c>
      <c r="Q48" s="25">
        <f>'TUSD BE'!$Q$48*'TUSD BF'!$Q$58</f>
        <v>0</v>
      </c>
      <c r="R48" s="25">
        <f>'TUSD BE'!$R$48*'TUSD BF'!$R$58</f>
        <v>0</v>
      </c>
      <c r="S48" s="25">
        <f>'TUSD BE'!$R$48*'TUSD BF'!$S$58</f>
        <v>0</v>
      </c>
      <c r="T48" s="25">
        <f ca="1">SUM($L$48:$S$48)</f>
        <v>0</v>
      </c>
      <c r="U48" s="25">
        <f>'TUSD BE'!$U$48*'TUSD BF'!$U$58</f>
        <v>0</v>
      </c>
      <c r="V48" s="25">
        <f>'TUSD BE'!$V$48*'TUSD BF'!$V$58</f>
        <v>0</v>
      </c>
      <c r="W48" s="25">
        <f>'TUSD BE'!$W$48*'TUSD BF'!$W$58</f>
        <v>0</v>
      </c>
      <c r="X48" s="25">
        <f>'TUSD BE'!$X$48*'TUSD BF'!$X$58</f>
        <v>0</v>
      </c>
      <c r="Y48" s="25">
        <f>'TUSD BE'!$Y$48*'TUSD BF'!$Y$58</f>
        <v>0</v>
      </c>
      <c r="Z48" s="25">
        <f>'TUSD BE'!$Z$48*'TUSD BF'!$Z$58</f>
        <v>0</v>
      </c>
      <c r="AA48" s="25">
        <f>'TUSD BE'!$AA$48*'TUSD BF'!$AA$58</f>
        <v>0</v>
      </c>
      <c r="AB48" s="25">
        <f>SUM($U$48:$AA$48)</f>
        <v>0</v>
      </c>
      <c r="AC48" s="25">
        <f>'TUSD BE'!$AC$48*'TUSD BF'!$AC$58</f>
        <v>0</v>
      </c>
      <c r="AD48" s="25">
        <f>SUM($AC$48:$AC$48)</f>
        <v>0</v>
      </c>
      <c r="AE48" s="25">
        <f ca="1">$AO$48*$AO$55</f>
        <v>0</v>
      </c>
      <c r="AF48" s="25">
        <f ca="1">$AP$48*$AP$55</f>
        <v>0</v>
      </c>
      <c r="AG48" s="25">
        <f ca="1">SUM($AE$48:$AF$48)</f>
        <v>0</v>
      </c>
      <c r="AH48" s="25">
        <f>'TUSD BE'!$AH$48*'TUSD BF'!$AH$58</f>
        <v>0</v>
      </c>
      <c r="AI48" s="25">
        <f>'TUSD BE'!$AI$48*'TUSD BF'!$AI$58</f>
        <v>0</v>
      </c>
      <c r="AJ48" s="25">
        <f ca="1">'TUSD BE'!$AJ$48*'TUSD BF'!$AJ$58</f>
        <v>0</v>
      </c>
      <c r="AK48" s="25">
        <f ca="1">'TUSD BE'!$AK$48*'TUSD BF'!$AK$58</f>
        <v>0</v>
      </c>
      <c r="AL48" s="25">
        <f ca="1">SUM($AH$48:$AK$48)</f>
        <v>0</v>
      </c>
      <c r="AM48" s="25">
        <f ca="1">SUMIF($L$4:$AL$4,"SUBTOTAL",$L$48:$AL$48)</f>
        <v>0</v>
      </c>
      <c r="AO48" s="30">
        <f ca="1">+'TUSD BE'!$T$48+'TUSD BE'!$AB$48+'TUSD BE'!$AD$48+'TUSD BE'!$AL$48</f>
        <v>1047.6487845789259</v>
      </c>
      <c r="AP48" s="30">
        <f ca="1">+'TUSD BE'!$T$48+'TUSD BE'!$AB$48+'TUSD BE'!$AD$48+'TUSD BE'!$AL$48</f>
        <v>1047.6487845789259</v>
      </c>
    </row>
    <row r="49" spans="1:42" ht="11.25" customHeight="1" x14ac:dyDescent="0.3">
      <c r="A49" s="120"/>
      <c r="B49" s="28" t="s">
        <v>87</v>
      </c>
      <c r="C49" s="28" t="s">
        <v>25</v>
      </c>
      <c r="D49" s="28" t="s">
        <v>25</v>
      </c>
      <c r="E49" s="28" t="s">
        <v>25</v>
      </c>
      <c r="F49" s="28" t="s">
        <v>25</v>
      </c>
      <c r="G49" s="21" t="s">
        <v>76</v>
      </c>
      <c r="H49" s="21" t="s">
        <v>72</v>
      </c>
      <c r="I49" s="21">
        <f>'MERCADO TUSD'!$U$46</f>
        <v>0</v>
      </c>
      <c r="J49" s="17"/>
      <c r="L49" s="25">
        <f>'TUSD BE'!$L$49*'TUSD BF'!$L$58</f>
        <v>0</v>
      </c>
      <c r="M49" s="25">
        <f>'TUSD BE'!$M$49*'TUSD BF'!$M$58</f>
        <v>0</v>
      </c>
      <c r="N49" s="25">
        <f ca="1">'TUSD BE'!$N$49*'TUSD BF'!$N$58</f>
        <v>0</v>
      </c>
      <c r="O49" s="25">
        <f>'TUSD BE'!$O$49*'TUSD BF'!$O$58</f>
        <v>0</v>
      </c>
      <c r="P49" s="25">
        <f>'TUSD BE'!$P$49*'TUSD BF'!$P$58</f>
        <v>0</v>
      </c>
      <c r="Q49" s="25">
        <f>'TUSD BE'!$Q$49*'TUSD BF'!$Q$58</f>
        <v>0</v>
      </c>
      <c r="R49" s="25">
        <f>'TUSD BE'!$R$49*'TUSD BF'!$R$58</f>
        <v>0</v>
      </c>
      <c r="S49" s="25">
        <f>'TUSD BE'!$R$49*'TUSD BF'!$S$58</f>
        <v>0</v>
      </c>
      <c r="T49" s="25">
        <f ca="1">SUM($L$49:$S$49)</f>
        <v>0</v>
      </c>
      <c r="U49" s="25">
        <f>'TUSD BE'!$U$49*'TUSD BF'!$U$58</f>
        <v>0</v>
      </c>
      <c r="V49" s="25">
        <f>'TUSD BE'!$V$49*'TUSD BF'!$V$58</f>
        <v>0</v>
      </c>
      <c r="W49" s="25">
        <f>'TUSD BE'!$W$49*'TUSD BF'!$W$58</f>
        <v>0</v>
      </c>
      <c r="X49" s="25">
        <f>'TUSD BE'!$X$49*'TUSD BF'!$X$58</f>
        <v>0</v>
      </c>
      <c r="Y49" s="25">
        <f>'TUSD BE'!$Y$49*'TUSD BF'!$Y$58</f>
        <v>0</v>
      </c>
      <c r="Z49" s="25">
        <f>'TUSD BE'!$Z$49*'TUSD BF'!$Z$58</f>
        <v>0</v>
      </c>
      <c r="AA49" s="25">
        <f>'TUSD BE'!$AA$49*'TUSD BF'!$AA$58</f>
        <v>0</v>
      </c>
      <c r="AB49" s="25">
        <f>SUM($U$49:$AA$49)</f>
        <v>0</v>
      </c>
      <c r="AC49" s="25">
        <f>'TUSD BE'!$AC$49*'TUSD BF'!$AC$58</f>
        <v>0</v>
      </c>
      <c r="AD49" s="25">
        <f>SUM($AC$49:$AC$49)</f>
        <v>0</v>
      </c>
      <c r="AE49" s="25">
        <f ca="1">$AO$49*$AO$55</f>
        <v>0</v>
      </c>
      <c r="AF49" s="25">
        <f ca="1">$AP$49*$AP$55</f>
        <v>0</v>
      </c>
      <c r="AG49" s="25">
        <f ca="1">SUM($AE$49:$AF$49)</f>
        <v>0</v>
      </c>
      <c r="AH49" s="25">
        <f>'TUSD BE'!$AH$49*'TUSD BF'!$AH$58</f>
        <v>0</v>
      </c>
      <c r="AI49" s="25">
        <f>'TUSD BE'!$AI$49*'TUSD BF'!$AI$58</f>
        <v>0</v>
      </c>
      <c r="AJ49" s="25">
        <f ca="1">'TUSD BE'!$AJ$49*'TUSD BF'!$AJ$58</f>
        <v>0</v>
      </c>
      <c r="AK49" s="25">
        <f ca="1">'TUSD BE'!$AK$49*'TUSD BF'!$AK$58</f>
        <v>0</v>
      </c>
      <c r="AL49" s="25">
        <f ca="1">SUM($AH$49:$AK$49)</f>
        <v>0</v>
      </c>
      <c r="AM49" s="25">
        <f ca="1">SUMIF($L$4:$AL$4,"SUBTOTAL",$L$49:$AL$49)</f>
        <v>0</v>
      </c>
      <c r="AO49" s="30">
        <f ca="1">+'TUSD BE'!$T$49+'TUSD BE'!$AB$49+'TUSD BE'!$AD$49+'TUSD BE'!$AL$49</f>
        <v>1047.6487845789259</v>
      </c>
      <c r="AP49" s="30">
        <f ca="1">+'TUSD BE'!$T$49+'TUSD BE'!$AB$49+'TUSD BE'!$AD$49+'TUSD BE'!$AL$49</f>
        <v>1047.6487845789259</v>
      </c>
    </row>
    <row r="50" spans="1:42" ht="11.25" customHeight="1" x14ac:dyDescent="0.3">
      <c r="A50" s="120" t="s">
        <v>46</v>
      </c>
      <c r="B50" s="120" t="s">
        <v>23</v>
      </c>
      <c r="C50" s="120" t="s">
        <v>47</v>
      </c>
      <c r="D50" s="28" t="s">
        <v>48</v>
      </c>
      <c r="E50" s="28" t="s">
        <v>25</v>
      </c>
      <c r="F50" s="28" t="s">
        <v>25</v>
      </c>
      <c r="G50" s="21" t="s">
        <v>76</v>
      </c>
      <c r="H50" s="21" t="s">
        <v>72</v>
      </c>
      <c r="I50" s="21">
        <f>'MERCADO TUSD'!$U$47</f>
        <v>3164.4159999999997</v>
      </c>
      <c r="J50" s="17"/>
      <c r="L50" s="25">
        <f>'TUSD BE'!$L$50*'TUSD BF'!$L$58</f>
        <v>0</v>
      </c>
      <c r="M50" s="25">
        <f>'TUSD BE'!$M$50*'TUSD BF'!$M$58</f>
        <v>0</v>
      </c>
      <c r="N50" s="25">
        <f ca="1">'TUSD BE'!$N$50*'TUSD BF'!$N$58</f>
        <v>0</v>
      </c>
      <c r="O50" s="25">
        <f>'TUSD BE'!$O$50*'TUSD BF'!$O$58</f>
        <v>0</v>
      </c>
      <c r="P50" s="25">
        <f>'TUSD BE'!$P$50*'TUSD BF'!$P$58</f>
        <v>0</v>
      </c>
      <c r="Q50" s="25">
        <f>'TUSD BE'!$Q$50*'TUSD BF'!$Q$58</f>
        <v>0</v>
      </c>
      <c r="R50" s="25">
        <f>'TUSD BE'!$R$50*'TUSD BF'!$R$58</f>
        <v>0</v>
      </c>
      <c r="S50" s="25">
        <f>'TUSD BE'!$R$50*'TUSD BF'!$S$58</f>
        <v>0</v>
      </c>
      <c r="T50" s="25">
        <f ca="1">SUM($L$50:$S$50)</f>
        <v>0</v>
      </c>
      <c r="U50" s="25">
        <f>'TUSD BE'!$U$50*'TUSD BF'!$U$58</f>
        <v>0</v>
      </c>
      <c r="V50" s="25">
        <f>'TUSD BE'!$V$50*'TUSD BF'!$V$58</f>
        <v>0</v>
      </c>
      <c r="W50" s="25">
        <f>'TUSD BE'!$W$50*'TUSD BF'!$W$58</f>
        <v>0</v>
      </c>
      <c r="X50" s="25">
        <f>'TUSD BE'!$X$50*'TUSD BF'!$X$58</f>
        <v>0</v>
      </c>
      <c r="Y50" s="25">
        <f>'TUSD BE'!$Y$50*'TUSD BF'!$Y$58</f>
        <v>0</v>
      </c>
      <c r="Z50" s="25">
        <f>'TUSD BE'!$Z$50*'TUSD BF'!$Z$58</f>
        <v>0</v>
      </c>
      <c r="AA50" s="25">
        <f>'TUSD BE'!$AA$50*'TUSD BF'!$AA$58</f>
        <v>0</v>
      </c>
      <c r="AB50" s="25">
        <f>SUM($U$50:$AA$50)</f>
        <v>0</v>
      </c>
      <c r="AC50" s="25">
        <f>'TUSD BE'!$AC$50*'TUSD BF'!$AC$58</f>
        <v>0</v>
      </c>
      <c r="AD50" s="25">
        <f>SUM($AC$50:$AC$50)</f>
        <v>0</v>
      </c>
      <c r="AE50" s="25">
        <f ca="1">$AO$50*$AO$55</f>
        <v>0</v>
      </c>
      <c r="AF50" s="25">
        <f ca="1">$AP$50*$AP$55</f>
        <v>0</v>
      </c>
      <c r="AG50" s="25">
        <f ca="1">SUM($AE$50:$AF$50)</f>
        <v>0</v>
      </c>
      <c r="AH50" s="25">
        <f>'TUSD BE'!$AH$50*'TUSD BF'!$AH$58</f>
        <v>0</v>
      </c>
      <c r="AI50" s="25">
        <f>'TUSD BE'!$AI$50*'TUSD BF'!$AI$58</f>
        <v>0</v>
      </c>
      <c r="AJ50" s="25">
        <f ca="1">'TUSD BE'!$AJ$50*'TUSD BF'!$AJ$58</f>
        <v>0</v>
      </c>
      <c r="AK50" s="25">
        <f ca="1">'TUSD BE'!$AK$50*'TUSD BF'!$AK$58</f>
        <v>0</v>
      </c>
      <c r="AL50" s="25">
        <f ca="1">SUM($AH$50:$AK$50)</f>
        <v>0</v>
      </c>
      <c r="AM50" s="25">
        <f ca="1">SUMIF($L$4:$AL$4,"SUBTOTAL",$L$50:$AL$50)</f>
        <v>0</v>
      </c>
      <c r="AO50" s="30">
        <f ca="1">+'TUSD BE'!$T$50+'TUSD BE'!$AB$50+'TUSD BE'!$AD$50+'TUSD BE'!$AL$50</f>
        <v>576.20683151840933</v>
      </c>
      <c r="AP50" s="30">
        <f ca="1">+'TUSD BE'!$T$50+'TUSD BE'!$AB$50+'TUSD BE'!$AD$50+'TUSD BE'!$AL$50</f>
        <v>576.20683151840933</v>
      </c>
    </row>
    <row r="51" spans="1:42" ht="11.25" customHeight="1" x14ac:dyDescent="0.3">
      <c r="A51" s="120"/>
      <c r="B51" s="120"/>
      <c r="C51" s="120"/>
      <c r="D51" s="21" t="s">
        <v>90</v>
      </c>
      <c r="E51" s="21" t="s">
        <v>25</v>
      </c>
      <c r="F51" s="21" t="s">
        <v>25</v>
      </c>
      <c r="G51" s="21" t="s">
        <v>76</v>
      </c>
      <c r="H51" s="21" t="s">
        <v>72</v>
      </c>
      <c r="I51" s="21">
        <f>'MERCADO TUSD'!$U$48</f>
        <v>0</v>
      </c>
      <c r="J51" s="17"/>
      <c r="L51" s="25">
        <f>'TUSD BE'!$L$51*'TUSD BF'!$L$58</f>
        <v>0</v>
      </c>
      <c r="M51" s="25">
        <f>'TUSD BE'!$M$51*'TUSD BF'!$M$58</f>
        <v>0</v>
      </c>
      <c r="N51" s="25">
        <f ca="1">'TUSD BE'!$N$51*'TUSD BF'!$N$58</f>
        <v>0</v>
      </c>
      <c r="O51" s="25">
        <f>'TUSD BE'!$O$51*'TUSD BF'!$O$58</f>
        <v>0</v>
      </c>
      <c r="P51" s="25">
        <f>'TUSD BE'!$P$51*'TUSD BF'!$P$58</f>
        <v>0</v>
      </c>
      <c r="Q51" s="25">
        <f>'TUSD BE'!$Q$51*'TUSD BF'!$Q$58</f>
        <v>0</v>
      </c>
      <c r="R51" s="25">
        <f>'TUSD BE'!$R$51*'TUSD BF'!$R$58</f>
        <v>0</v>
      </c>
      <c r="S51" s="25">
        <f>'TUSD BE'!$R$51*'TUSD BF'!$S$58</f>
        <v>0</v>
      </c>
      <c r="T51" s="25">
        <f ca="1">SUM($L$51:$S$51)</f>
        <v>0</v>
      </c>
      <c r="U51" s="25">
        <f>'TUSD BE'!$U$51*'TUSD BF'!$U$58</f>
        <v>0</v>
      </c>
      <c r="V51" s="25">
        <f>'TUSD BE'!$V$51*'TUSD BF'!$V$58</f>
        <v>0</v>
      </c>
      <c r="W51" s="25">
        <f>'TUSD BE'!$W$51*'TUSD BF'!$W$58</f>
        <v>0</v>
      </c>
      <c r="X51" s="25">
        <f>'TUSD BE'!$X$51*'TUSD BF'!$X$58</f>
        <v>0</v>
      </c>
      <c r="Y51" s="25">
        <f>'TUSD BE'!$Y$51*'TUSD BF'!$Y$58</f>
        <v>0</v>
      </c>
      <c r="Z51" s="25">
        <f>'TUSD BE'!$Z$51*'TUSD BF'!$Z$58</f>
        <v>0</v>
      </c>
      <c r="AA51" s="25">
        <f>'TUSD BE'!$AA$51*'TUSD BF'!$AA$58</f>
        <v>0</v>
      </c>
      <c r="AB51" s="25">
        <f>SUM($U$51:$AA$51)</f>
        <v>0</v>
      </c>
      <c r="AC51" s="25">
        <f>'TUSD BE'!$AC$51*'TUSD BF'!$AC$58</f>
        <v>0</v>
      </c>
      <c r="AD51" s="25">
        <f>SUM($AC$51:$AC$51)</f>
        <v>0</v>
      </c>
      <c r="AE51" s="25">
        <f ca="1">$AO$51*$AO$55</f>
        <v>0</v>
      </c>
      <c r="AF51" s="25">
        <f ca="1">$AP$51*$AP$55</f>
        <v>0</v>
      </c>
      <c r="AG51" s="25">
        <f ca="1">SUM($AE$51:$AF$51)</f>
        <v>0</v>
      </c>
      <c r="AH51" s="25">
        <f>'TUSD BE'!$AH$51*'TUSD BF'!$AH$58</f>
        <v>0</v>
      </c>
      <c r="AI51" s="25">
        <f>'TUSD BE'!$AI$51*'TUSD BF'!$AI$58</f>
        <v>0</v>
      </c>
      <c r="AJ51" s="25">
        <f ca="1">'TUSD BE'!$AJ$51*'TUSD BF'!$AJ$58</f>
        <v>0</v>
      </c>
      <c r="AK51" s="25">
        <f ca="1">'TUSD BE'!$AK$51*'TUSD BF'!$AK$58</f>
        <v>0</v>
      </c>
      <c r="AL51" s="25">
        <f ca="1">SUM($AH$51:$AK$51)</f>
        <v>0</v>
      </c>
      <c r="AM51" s="25">
        <f ca="1">SUMIF($L$4:$AL$4,"SUBTOTAL",$L$51:$AL$51)</f>
        <v>0</v>
      </c>
      <c r="AO51" s="30">
        <f ca="1">+'TUSD BE'!$T$51+'TUSD BE'!$AB$51+'TUSD BE'!$AD$51+'TUSD BE'!$AL$51</f>
        <v>628.5892707473555</v>
      </c>
      <c r="AP51" s="30">
        <f ca="1">+'TUSD BE'!$T$51+'TUSD BE'!$AB$51+'TUSD BE'!$AD$51+'TUSD BE'!$AL$51</f>
        <v>628.5892707473555</v>
      </c>
    </row>
    <row r="53" spans="1:42" ht="11.25" customHeight="1" x14ac:dyDescent="0.3">
      <c r="K53" s="27" t="s">
        <v>579</v>
      </c>
      <c r="L53" s="25">
        <f>SUMPRODUCT($I$5:$I51,$L$5:$L51)</f>
        <v>0</v>
      </c>
      <c r="M53" s="25">
        <f>SUMPRODUCT($I$5:$I51,$M$5:$M51)</f>
        <v>0</v>
      </c>
      <c r="N53" s="25">
        <f ca="1">SUMPRODUCT($I$5:$I51,$N$5:$N51)</f>
        <v>0</v>
      </c>
      <c r="O53" s="25">
        <f>SUMPRODUCT($I$5:$I51,$O$5:$O51)</f>
        <v>0</v>
      </c>
      <c r="P53" s="25">
        <f>SUMPRODUCT($I$5:$I51,$P$5:$P51)</f>
        <v>0</v>
      </c>
      <c r="Q53" s="25">
        <f>SUMPRODUCT($I$5:$I51,$Q$5:$Q51)</f>
        <v>0</v>
      </c>
      <c r="R53" s="25">
        <f>SUMPRODUCT($I$5:$I51,$R$5:$R51)</f>
        <v>0</v>
      </c>
      <c r="S53" s="25">
        <f>SUMPRODUCT($I$5:$I51,$S$5:$S51)</f>
        <v>0</v>
      </c>
      <c r="T53" s="25">
        <f ca="1">SUMPRODUCT($I$5:$I51,$T$5:$T51)</f>
        <v>0</v>
      </c>
      <c r="U53" s="25">
        <f>SUMPRODUCT($I$5:$I51,$U$5:$U51)</f>
        <v>0</v>
      </c>
      <c r="V53" s="25">
        <f>SUMPRODUCT($I$5:$I51,$V$5:$V51)</f>
        <v>0</v>
      </c>
      <c r="W53" s="25">
        <f>SUMPRODUCT($I$5:$I51,$W$5:$W51)</f>
        <v>0</v>
      </c>
      <c r="X53" s="25">
        <f>SUMPRODUCT($I$5:$I51,$X$5:$X51)</f>
        <v>0</v>
      </c>
      <c r="Y53" s="25">
        <f>SUMPRODUCT($I$5:$I51,$Y$5:$Y51)</f>
        <v>0</v>
      </c>
      <c r="Z53" s="25">
        <f>SUMPRODUCT($I$5:$I51,$Z$5:$Z51)</f>
        <v>0</v>
      </c>
      <c r="AA53" s="25">
        <f>SUMPRODUCT($I$5:$I51,$AA$5:$AA51)</f>
        <v>0</v>
      </c>
      <c r="AB53" s="25">
        <f>SUMPRODUCT($I$5:$I51,$AB$5:$AB51)</f>
        <v>0</v>
      </c>
      <c r="AC53" s="25">
        <f>SUMPRODUCT($I$5:$I51,$AC$5:$AC51)</f>
        <v>0</v>
      </c>
      <c r="AD53" s="25">
        <f>SUMPRODUCT($I$5:$I51,$AD$5:$AD51)</f>
        <v>0</v>
      </c>
      <c r="AE53" s="25">
        <f ca="1">SUMPRODUCT($I$5:$I51,$AE$5:$AE51)</f>
        <v>0</v>
      </c>
      <c r="AF53" s="25">
        <f ca="1">SUMPRODUCT($I$5:$I51,$AF$5:$AF51)</f>
        <v>0</v>
      </c>
      <c r="AG53" s="25">
        <f ca="1">SUMPRODUCT($I$5:$I51,$AG$5:$AG51)</f>
        <v>0</v>
      </c>
      <c r="AH53" s="25">
        <f>SUMPRODUCT($I$5:$I51,$AH$5:$AH51)</f>
        <v>0</v>
      </c>
      <c r="AI53" s="25">
        <f>SUMPRODUCT($I$5:$I51,$AI$5:$AI51)</f>
        <v>0</v>
      </c>
      <c r="AJ53" s="25">
        <f ca="1">SUMPRODUCT($I$5:$I51,$AJ$5:$AJ51)</f>
        <v>0</v>
      </c>
      <c r="AK53" s="25">
        <f ca="1">SUMPRODUCT($I$5:$I51,$AK$5:$AK51)</f>
        <v>0</v>
      </c>
      <c r="AL53" s="25">
        <f ca="1">SUMPRODUCT($I$5:$I51,$AL$5:$AL51)</f>
        <v>0</v>
      </c>
      <c r="AM53" s="25">
        <f ca="1">SUMPRODUCT($I$5:$I51,$AM$5:$AM51)</f>
        <v>0</v>
      </c>
      <c r="AO53" s="21">
        <f ca="1">SUMPRODUCT($I$5:$I51,$AO$5:$AO51)</f>
        <v>17517786.027997669</v>
      </c>
      <c r="AP53" s="21">
        <f ca="1">SUMPRODUCT($I$5:$I51,$AP$5:$AP51)</f>
        <v>17517786.027997669</v>
      </c>
    </row>
    <row r="54" spans="1:42" ht="11.25" customHeight="1" x14ac:dyDescent="0.3">
      <c r="K54" s="27" t="s">
        <v>511</v>
      </c>
      <c r="L54" s="25">
        <f>'TR TUSD'!$L$56</f>
        <v>234949.90172849185</v>
      </c>
      <c r="M54" s="25">
        <f>'TR TUSD'!$M$56</f>
        <v>54052.861712467515</v>
      </c>
      <c r="N54" s="25">
        <f>'TR TUSD'!$N$56</f>
        <v>0</v>
      </c>
      <c r="O54" s="25">
        <f>'TR TUSD'!$O$56</f>
        <v>0</v>
      </c>
      <c r="P54" s="25">
        <f>'TR TUSD'!$P$56</f>
        <v>0</v>
      </c>
      <c r="Q54" s="25">
        <f>'TR TUSD'!$Q$56</f>
        <v>1554108.6682800003</v>
      </c>
      <c r="R54" s="25">
        <f>'TR TUSD'!$R$56</f>
        <v>265519.51470000012</v>
      </c>
      <c r="S54" s="25">
        <f>'TR TUSD'!$S$56</f>
        <v>0</v>
      </c>
      <c r="T54" s="25">
        <f>'TR TUSD'!$T$56</f>
        <v>2108630.9464209597</v>
      </c>
      <c r="U54" s="25">
        <f>'TR TUSD'!$U$56</f>
        <v>0</v>
      </c>
      <c r="V54" s="25">
        <f>'TR TUSD'!$V$56</f>
        <v>0</v>
      </c>
      <c r="W54" s="25">
        <f>'TR TUSD'!$W$56</f>
        <v>0</v>
      </c>
      <c r="X54" s="25">
        <f>'TR TUSD'!$X$56</f>
        <v>0</v>
      </c>
      <c r="Y54" s="25">
        <f>'TR TUSD'!$Y$56</f>
        <v>3775885.0549178002</v>
      </c>
      <c r="Z54" s="25">
        <f>'TR TUSD'!$Z$56</f>
        <v>0</v>
      </c>
      <c r="AA54" s="25">
        <f>'TR TUSD'!$AA$56</f>
        <v>0</v>
      </c>
      <c r="AB54" s="25">
        <f>'TR TUSD'!$AB$56</f>
        <v>3775885.0549178002</v>
      </c>
      <c r="AC54" s="25">
        <f>'TR TUSD'!$AC$56</f>
        <v>11057461.609999999</v>
      </c>
      <c r="AD54" s="25">
        <f>'TR TUSD'!$AD$56</f>
        <v>11057461.609999999</v>
      </c>
      <c r="AE54" s="25">
        <f>'TR TUSD'!$AE$56</f>
        <v>0</v>
      </c>
      <c r="AF54" s="25">
        <f>'TR TUSD'!$AF$56</f>
        <v>0</v>
      </c>
      <c r="AG54" s="25">
        <f>'TR TUSD'!$AG$56</f>
        <v>0</v>
      </c>
      <c r="AH54" s="25">
        <f>'TR TUSD'!$AH$56</f>
        <v>361375.49138598313</v>
      </c>
      <c r="AI54" s="25">
        <f>'TR TUSD'!$AI$56</f>
        <v>0</v>
      </c>
      <c r="AJ54" s="25">
        <f>'TR TUSD'!$AJ$56</f>
        <v>214432.92527292715</v>
      </c>
      <c r="AK54" s="25">
        <f>'TR TUSD'!$AK$56</f>
        <v>0</v>
      </c>
      <c r="AL54" s="25">
        <f>'TR TUSD'!$AL$56</f>
        <v>575808.41665891022</v>
      </c>
      <c r="AM54" s="25">
        <f>CUSTOS!$D$29</f>
        <v>17517786.027997669</v>
      </c>
      <c r="AO54" s="21">
        <f>$AE$56</f>
        <v>0</v>
      </c>
      <c r="AP54" s="21">
        <f>$AF$56</f>
        <v>0</v>
      </c>
    </row>
    <row r="55" spans="1:42" ht="11.25" customHeight="1" x14ac:dyDescent="0.3">
      <c r="K55" s="27" t="s">
        <v>512</v>
      </c>
      <c r="L55" s="25">
        <f>CUSTOS!$E$2</f>
        <v>0</v>
      </c>
      <c r="M55" s="25">
        <f>CUSTOS!$E$3</f>
        <v>-431.13707121974284</v>
      </c>
      <c r="N55" s="25">
        <f>CUSTOS!$E$4</f>
        <v>0</v>
      </c>
      <c r="O55" s="25">
        <f>CUSTOS!$E$5</f>
        <v>0</v>
      </c>
      <c r="P55" s="25">
        <f>CUSTOS!$E$6</f>
        <v>0</v>
      </c>
      <c r="Q55" s="25">
        <f>CUSTOS!$E$7</f>
        <v>-2603.3615549570059</v>
      </c>
      <c r="R55" s="25">
        <f>CUSTOS!$E$8</f>
        <v>-119.12081097291502</v>
      </c>
      <c r="S55" s="25">
        <f>CUSTOS!$E$9</f>
        <v>0</v>
      </c>
      <c r="T55" s="25">
        <f>CUSTOS!$E$10</f>
        <v>-3153.6194371496636</v>
      </c>
      <c r="U55" s="25">
        <f>CUSTOS!$E$11</f>
        <v>0</v>
      </c>
      <c r="V55" s="25">
        <f>CUSTOS!$E$12</f>
        <v>0</v>
      </c>
      <c r="W55" s="25">
        <f>CUSTOS!$E$13</f>
        <v>0</v>
      </c>
      <c r="X55" s="25">
        <f>CUSTOS!$E$14</f>
        <v>0</v>
      </c>
      <c r="Y55" s="25">
        <f>CUSTOS!$E$15</f>
        <v>931940.46910175029</v>
      </c>
      <c r="Z55" s="25">
        <f>CUSTOS!$E$16</f>
        <v>0</v>
      </c>
      <c r="AA55" s="25">
        <f>CUSTOS!$E$17</f>
        <v>0</v>
      </c>
      <c r="AB55" s="25">
        <f>CUSTOS!$E$18</f>
        <v>931940.46910175029</v>
      </c>
      <c r="AC55" s="25">
        <f>CUSTOS!$E$19</f>
        <v>-2105190.4988346547</v>
      </c>
      <c r="AD55" s="25">
        <f>CUSTOS!$E$20</f>
        <v>-2105190.4988346547</v>
      </c>
      <c r="AE55" s="25">
        <f>CUSTOS!$E$21</f>
        <v>0</v>
      </c>
      <c r="AF55" s="25">
        <f>CUSTOS!$E$22</f>
        <v>0</v>
      </c>
      <c r="AG55" s="25">
        <f>CUSTOS!$E$23</f>
        <v>0</v>
      </c>
      <c r="AH55" s="25">
        <f>CUSTOS!$E$24</f>
        <v>109941.98773885565</v>
      </c>
      <c r="AI55" s="25">
        <f>CUSTOS!$E$25</f>
        <v>0</v>
      </c>
      <c r="AJ55" s="25">
        <f>CUSTOS!$E$26</f>
        <v>65237.357272750363</v>
      </c>
      <c r="AK55" s="25">
        <f>CUSTOS!$E$27</f>
        <v>0</v>
      </c>
      <c r="AL55" s="25">
        <f>CUSTOS!$E$28</f>
        <v>175179.345011606</v>
      </c>
      <c r="AM55" s="25">
        <f>CUSTOS!$E$29</f>
        <v>-1001224.3041584481</v>
      </c>
      <c r="AO55" s="21">
        <f ca="1">IF(AO53&lt;&gt;0,AO54/AO53,0)</f>
        <v>0</v>
      </c>
      <c r="AP55" s="21">
        <f ca="1">IF(AP53&lt;&gt;0,AP54/AP53,0)</f>
        <v>0</v>
      </c>
    </row>
    <row r="56" spans="1:42" ht="11.25" customHeight="1" x14ac:dyDescent="0.3">
      <c r="K56" s="27" t="s">
        <v>513</v>
      </c>
      <c r="L56" s="25">
        <f>CUSTOS!$F$2</f>
        <v>0</v>
      </c>
      <c r="M56" s="25">
        <f>CUSTOS!$F$3</f>
        <v>0</v>
      </c>
      <c r="N56" s="25">
        <f>CUSTOS!$F$4</f>
        <v>0</v>
      </c>
      <c r="O56" s="25">
        <f>CUSTOS!$F$5</f>
        <v>0</v>
      </c>
      <c r="P56" s="25">
        <f>CUSTOS!$F$6</f>
        <v>0</v>
      </c>
      <c r="Q56" s="25">
        <f>CUSTOS!$F$7</f>
        <v>0</v>
      </c>
      <c r="R56" s="25">
        <f>CUSTOS!$F$8</f>
        <v>0</v>
      </c>
      <c r="S56" s="25">
        <f>CUSTOS!$F$9</f>
        <v>0</v>
      </c>
      <c r="T56" s="25">
        <f>CUSTOS!$F$10</f>
        <v>0</v>
      </c>
      <c r="U56" s="25">
        <f>CUSTOS!$F$11</f>
        <v>0</v>
      </c>
      <c r="V56" s="25">
        <f>CUSTOS!$F$12</f>
        <v>0</v>
      </c>
      <c r="W56" s="25">
        <f>CUSTOS!$F$13</f>
        <v>0</v>
      </c>
      <c r="X56" s="25">
        <f>CUSTOS!$F$14</f>
        <v>0</v>
      </c>
      <c r="Y56" s="25">
        <f>CUSTOS!$F$15</f>
        <v>0</v>
      </c>
      <c r="Z56" s="25">
        <f>CUSTOS!$F$16</f>
        <v>0</v>
      </c>
      <c r="AA56" s="25">
        <f>CUSTOS!$F$17</f>
        <v>0</v>
      </c>
      <c r="AB56" s="25">
        <f>CUSTOS!$F$18</f>
        <v>0</v>
      </c>
      <c r="AC56" s="25">
        <f>CUSTOS!$F$19</f>
        <v>0</v>
      </c>
      <c r="AD56" s="25">
        <f>CUSTOS!$F$20</f>
        <v>0</v>
      </c>
      <c r="AE56" s="25">
        <f>CUSTOS!$F$21</f>
        <v>0</v>
      </c>
      <c r="AF56" s="25">
        <f>CUSTOS!$F$22</f>
        <v>0</v>
      </c>
      <c r="AG56" s="25">
        <f>CUSTOS!$F$23</f>
        <v>0</v>
      </c>
      <c r="AH56" s="25">
        <f>CUSTOS!$F$24</f>
        <v>0</v>
      </c>
      <c r="AI56" s="25">
        <f>CUSTOS!$F$25</f>
        <v>0</v>
      </c>
      <c r="AJ56" s="25">
        <f>CUSTOS!$F$26</f>
        <v>0</v>
      </c>
      <c r="AK56" s="25">
        <f>CUSTOS!$F$27</f>
        <v>0</v>
      </c>
      <c r="AL56" s="25">
        <f>CUSTOS!$F$28</f>
        <v>0</v>
      </c>
      <c r="AM56" s="25">
        <f>CUSTOS!$F$29</f>
        <v>0</v>
      </c>
    </row>
    <row r="57" spans="1:42" ht="11.25" customHeight="1" x14ac:dyDescent="0.3">
      <c r="K57" s="27" t="s">
        <v>576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/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/>
      <c r="AC57" s="25">
        <v>0</v>
      </c>
      <c r="AD57" s="25"/>
      <c r="AE57" s="25">
        <v>0</v>
      </c>
      <c r="AF57" s="25">
        <v>0</v>
      </c>
      <c r="AG57" s="25"/>
      <c r="AH57" s="25">
        <v>0</v>
      </c>
      <c r="AI57" s="25">
        <v>0</v>
      </c>
      <c r="AJ57" s="25">
        <v>0</v>
      </c>
      <c r="AK57" s="25">
        <v>0</v>
      </c>
      <c r="AL57" s="25"/>
      <c r="AM57" s="25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39" priority="55" operator="notEqual">
      <formula>$L$56</formula>
    </cfRule>
    <cfRule type="cellIs" dxfId="838" priority="56" operator="equal">
      <formula>$L$56</formula>
    </cfRule>
  </conditionalFormatting>
  <conditionalFormatting sqref="M53">
    <cfRule type="cellIs" dxfId="837" priority="53" operator="notEqual">
      <formula>$M$56</formula>
    </cfRule>
    <cfRule type="cellIs" dxfId="836" priority="54" operator="equal">
      <formula>$M$56</formula>
    </cfRule>
  </conditionalFormatting>
  <conditionalFormatting sqref="N53">
    <cfRule type="cellIs" dxfId="835" priority="51" operator="notEqual">
      <formula>$N$56</formula>
    </cfRule>
    <cfRule type="cellIs" dxfId="834" priority="52" operator="equal">
      <formula>$N$56</formula>
    </cfRule>
  </conditionalFormatting>
  <conditionalFormatting sqref="O53">
    <cfRule type="cellIs" dxfId="833" priority="49" operator="notEqual">
      <formula>$O$56</formula>
    </cfRule>
    <cfRule type="cellIs" dxfId="832" priority="50" operator="equal">
      <formula>$O$56</formula>
    </cfRule>
  </conditionalFormatting>
  <conditionalFormatting sqref="P53">
    <cfRule type="cellIs" dxfId="831" priority="47" operator="notEqual">
      <formula>$P$56</formula>
    </cfRule>
    <cfRule type="cellIs" dxfId="830" priority="48" operator="equal">
      <formula>$P$56</formula>
    </cfRule>
  </conditionalFormatting>
  <conditionalFormatting sqref="Q53">
    <cfRule type="cellIs" dxfId="829" priority="45" operator="notEqual">
      <formula>$Q$56</formula>
    </cfRule>
    <cfRule type="cellIs" dxfId="828" priority="46" operator="equal">
      <formula>$Q$56</formula>
    </cfRule>
  </conditionalFormatting>
  <conditionalFormatting sqref="R53">
    <cfRule type="cellIs" dxfId="827" priority="43" operator="notEqual">
      <formula>$R$56</formula>
    </cfRule>
    <cfRule type="cellIs" dxfId="826" priority="44" operator="equal">
      <formula>$R$56</formula>
    </cfRule>
  </conditionalFormatting>
  <conditionalFormatting sqref="S53">
    <cfRule type="cellIs" dxfId="825" priority="41" operator="notEqual">
      <formula>$S$56</formula>
    </cfRule>
    <cfRule type="cellIs" dxfId="824" priority="42" operator="equal">
      <formula>$S$56</formula>
    </cfRule>
  </conditionalFormatting>
  <conditionalFormatting sqref="T53">
    <cfRule type="cellIs" dxfId="823" priority="39" operator="notEqual">
      <formula>$T$56</formula>
    </cfRule>
    <cfRule type="cellIs" dxfId="822" priority="40" operator="equal">
      <formula>$T$56</formula>
    </cfRule>
  </conditionalFormatting>
  <conditionalFormatting sqref="U53">
    <cfRule type="cellIs" dxfId="821" priority="37" operator="notEqual">
      <formula>$U$56</formula>
    </cfRule>
    <cfRule type="cellIs" dxfId="820" priority="38" operator="equal">
      <formula>$U$56</formula>
    </cfRule>
  </conditionalFormatting>
  <conditionalFormatting sqref="V53">
    <cfRule type="cellIs" dxfId="819" priority="35" operator="notEqual">
      <formula>$V$56</formula>
    </cfRule>
    <cfRule type="cellIs" dxfId="818" priority="36" operator="equal">
      <formula>$V$56</formula>
    </cfRule>
  </conditionalFormatting>
  <conditionalFormatting sqref="W53">
    <cfRule type="cellIs" dxfId="817" priority="33" operator="notEqual">
      <formula>$W$56</formula>
    </cfRule>
    <cfRule type="cellIs" dxfId="816" priority="34" operator="equal">
      <formula>$W$56</formula>
    </cfRule>
  </conditionalFormatting>
  <conditionalFormatting sqref="X53">
    <cfRule type="cellIs" dxfId="815" priority="31" operator="notEqual">
      <formula>$X$56</formula>
    </cfRule>
    <cfRule type="cellIs" dxfId="814" priority="32" operator="equal">
      <formula>$X$56</formula>
    </cfRule>
  </conditionalFormatting>
  <conditionalFormatting sqref="Y53">
    <cfRule type="cellIs" dxfId="813" priority="29" operator="notEqual">
      <formula>$Y$56</formula>
    </cfRule>
    <cfRule type="cellIs" dxfId="812" priority="30" operator="equal">
      <formula>$Y$56</formula>
    </cfRule>
  </conditionalFormatting>
  <conditionalFormatting sqref="Z53">
    <cfRule type="cellIs" dxfId="811" priority="27" operator="notEqual">
      <formula>$Z$56</formula>
    </cfRule>
    <cfRule type="cellIs" dxfId="810" priority="28" operator="equal">
      <formula>$Z$56</formula>
    </cfRule>
  </conditionalFormatting>
  <conditionalFormatting sqref="AA53">
    <cfRule type="cellIs" dxfId="809" priority="25" operator="notEqual">
      <formula>$AA$56</formula>
    </cfRule>
    <cfRule type="cellIs" dxfId="808" priority="26" operator="equal">
      <formula>$AA$56</formula>
    </cfRule>
  </conditionalFormatting>
  <conditionalFormatting sqref="AB53">
    <cfRule type="cellIs" dxfId="807" priority="23" operator="notEqual">
      <formula>$AB$56</formula>
    </cfRule>
    <cfRule type="cellIs" dxfId="806" priority="24" operator="equal">
      <formula>$AB$56</formula>
    </cfRule>
  </conditionalFormatting>
  <conditionalFormatting sqref="AC53">
    <cfRule type="cellIs" dxfId="805" priority="21" operator="notEqual">
      <formula>$AC$56</formula>
    </cfRule>
    <cfRule type="cellIs" dxfId="804" priority="22" operator="equal">
      <formula>$AC$56</formula>
    </cfRule>
  </conditionalFormatting>
  <conditionalFormatting sqref="AD53">
    <cfRule type="cellIs" dxfId="803" priority="19" operator="notEqual">
      <formula>$AD$56</formula>
    </cfRule>
    <cfRule type="cellIs" dxfId="802" priority="20" operator="equal">
      <formula>$AD$56</formula>
    </cfRule>
  </conditionalFormatting>
  <conditionalFormatting sqref="AE53">
    <cfRule type="cellIs" dxfId="801" priority="17" operator="notEqual">
      <formula>$AE$56</formula>
    </cfRule>
    <cfRule type="cellIs" dxfId="800" priority="18" operator="equal">
      <formula>$AE$56</formula>
    </cfRule>
  </conditionalFormatting>
  <conditionalFormatting sqref="AF53">
    <cfRule type="cellIs" dxfId="799" priority="16" operator="equal">
      <formula>$AF$56</formula>
    </cfRule>
  </conditionalFormatting>
  <conditionalFormatting sqref="AF53">
    <cfRule type="cellIs" dxfId="798" priority="15" operator="notEqual">
      <formula>$AF$56</formula>
    </cfRule>
  </conditionalFormatting>
  <conditionalFormatting sqref="AG53">
    <cfRule type="cellIs" dxfId="797" priority="14" operator="equal">
      <formula>$AG$56</formula>
    </cfRule>
  </conditionalFormatting>
  <conditionalFormatting sqref="AG53">
    <cfRule type="cellIs" dxfId="796" priority="13" operator="notEqual">
      <formula>$AG$56</formula>
    </cfRule>
  </conditionalFormatting>
  <conditionalFormatting sqref="AH53">
    <cfRule type="cellIs" dxfId="795" priority="12" operator="equal">
      <formula>$AH$56</formula>
    </cfRule>
  </conditionalFormatting>
  <conditionalFormatting sqref="AH53">
    <cfRule type="cellIs" dxfId="794" priority="11" operator="notEqual">
      <formula>$AH$56</formula>
    </cfRule>
  </conditionalFormatting>
  <conditionalFormatting sqref="AI53">
    <cfRule type="cellIs" dxfId="793" priority="10" operator="equal">
      <formula>$AI$56</formula>
    </cfRule>
  </conditionalFormatting>
  <conditionalFormatting sqref="AI53">
    <cfRule type="cellIs" dxfId="792" priority="9" operator="notEqual">
      <formula>$AI$56</formula>
    </cfRule>
  </conditionalFormatting>
  <conditionalFormatting sqref="AJ53">
    <cfRule type="cellIs" dxfId="791" priority="8" operator="equal">
      <formula>$AJ$56</formula>
    </cfRule>
  </conditionalFormatting>
  <conditionalFormatting sqref="AJ53">
    <cfRule type="cellIs" dxfId="790" priority="7" operator="notEqual">
      <formula>$AJ$56</formula>
    </cfRule>
  </conditionalFormatting>
  <conditionalFormatting sqref="AK53">
    <cfRule type="cellIs" dxfId="789" priority="6" operator="equal">
      <formula>$AK$56</formula>
    </cfRule>
  </conditionalFormatting>
  <conditionalFormatting sqref="AK53">
    <cfRule type="cellIs" dxfId="788" priority="5" operator="notEqual">
      <formula>$AK$56</formula>
    </cfRule>
  </conditionalFormatting>
  <conditionalFormatting sqref="AL53">
    <cfRule type="cellIs" dxfId="787" priority="4" operator="equal">
      <formula>$AL$56</formula>
    </cfRule>
  </conditionalFormatting>
  <conditionalFormatting sqref="AL53">
    <cfRule type="cellIs" dxfId="786" priority="3" operator="notEqual">
      <formula>$AL$56</formula>
    </cfRule>
  </conditionalFormatting>
  <conditionalFormatting sqref="AM53">
    <cfRule type="cellIs" dxfId="785" priority="2" operator="equal">
      <formula>$AM$56</formula>
    </cfRule>
  </conditionalFormatting>
  <conditionalFormatting sqref="AM53">
    <cfRule type="cellIs" dxfId="784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E77A-F443-44F0-948F-A69963C7C5B5}">
  <dimension ref="A1:AA50"/>
  <sheetViews>
    <sheetView showGridLines="0" topLeftCell="A26" workbookViewId="0">
      <selection activeCell="K44" sqref="K44:AA50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" style="9" bestFit="1" customWidth="1"/>
    <col min="10" max="10" width="9.109375" style="9"/>
    <col min="11" max="11" width="20" style="9" bestFit="1" customWidth="1"/>
    <col min="12" max="14" width="7.88671875" style="9" bestFit="1" customWidth="1"/>
    <col min="15" max="15" width="11.109375" style="9" bestFit="1" customWidth="1"/>
    <col min="16" max="16" width="9.33203125" style="9" bestFit="1" customWidth="1"/>
    <col min="17" max="17" width="15" style="9" bestFit="1" customWidth="1"/>
    <col min="18" max="18" width="10" style="9" bestFit="1" customWidth="1"/>
    <col min="19" max="19" width="7.88671875" style="9" bestFit="1" customWidth="1"/>
    <col min="20" max="20" width="10.44140625" style="9" bestFit="1" customWidth="1"/>
    <col min="21" max="21" width="7.88671875" style="9" bestFit="1" customWidth="1"/>
    <col min="22" max="22" width="9.33203125" style="9" bestFit="1" customWidth="1"/>
    <col min="23" max="23" width="8" style="9" bestFit="1" customWidth="1"/>
    <col min="24" max="24" width="9.33203125" style="9" bestFit="1" customWidth="1"/>
    <col min="25" max="25" width="11" style="9" bestFit="1" customWidth="1"/>
    <col min="26" max="26" width="9.33203125" style="9" bestFit="1" customWidth="1"/>
    <col min="27" max="27" width="10" style="9" bestFit="1" customWidth="1"/>
    <col min="28" max="16384" width="9.109375" style="9"/>
  </cols>
  <sheetData>
    <row r="1" spans="1:27" ht="11.25" customHeight="1" x14ac:dyDescent="0.3">
      <c r="A1" s="130" t="s">
        <v>62</v>
      </c>
      <c r="B1" s="130" t="s">
        <v>63</v>
      </c>
      <c r="C1" s="130" t="s">
        <v>64</v>
      </c>
      <c r="D1" s="130" t="s">
        <v>65</v>
      </c>
      <c r="E1" s="130" t="s">
        <v>66</v>
      </c>
      <c r="F1" s="130" t="s">
        <v>15</v>
      </c>
      <c r="G1" s="130" t="s">
        <v>68</v>
      </c>
      <c r="H1" s="130" t="s">
        <v>69</v>
      </c>
      <c r="I1" s="130" t="s">
        <v>570</v>
      </c>
      <c r="J1" s="118"/>
      <c r="L1" s="128" t="s">
        <v>591</v>
      </c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</row>
    <row r="2" spans="1:27" ht="11.25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18"/>
      <c r="L2" s="128" t="s">
        <v>498</v>
      </c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ht="11.25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18"/>
      <c r="L3" s="128" t="s">
        <v>471</v>
      </c>
      <c r="M3" s="128"/>
      <c r="N3" s="128"/>
      <c r="O3" s="128"/>
      <c r="P3" s="128"/>
      <c r="Q3" s="128" t="s">
        <v>501</v>
      </c>
      <c r="R3" s="128"/>
      <c r="S3" s="128" t="s">
        <v>480</v>
      </c>
      <c r="T3" s="128"/>
      <c r="U3" s="128"/>
      <c r="V3" s="128"/>
      <c r="W3" s="128" t="s">
        <v>490</v>
      </c>
      <c r="X3" s="128"/>
      <c r="Y3" s="128" t="s">
        <v>493</v>
      </c>
      <c r="Z3" s="128"/>
      <c r="AA3" s="128" t="s">
        <v>479</v>
      </c>
    </row>
    <row r="4" spans="1:27" ht="11.25" customHeight="1" x14ac:dyDescent="0.3">
      <c r="A4" s="130"/>
      <c r="B4" s="130"/>
      <c r="C4" s="130"/>
      <c r="D4" s="130"/>
      <c r="E4" s="130"/>
      <c r="F4" s="130"/>
      <c r="G4" s="130"/>
      <c r="H4" s="130"/>
      <c r="I4" s="130"/>
      <c r="J4" s="118"/>
      <c r="L4" s="34" t="s">
        <v>473</v>
      </c>
      <c r="M4" s="34" t="s">
        <v>499</v>
      </c>
      <c r="N4" s="34" t="s">
        <v>500</v>
      </c>
      <c r="O4" s="34" t="s">
        <v>558</v>
      </c>
      <c r="P4" s="34" t="s">
        <v>479</v>
      </c>
      <c r="Q4" s="34" t="s">
        <v>502</v>
      </c>
      <c r="R4" s="34" t="s">
        <v>479</v>
      </c>
      <c r="S4" s="34" t="s">
        <v>503</v>
      </c>
      <c r="T4" s="34" t="s">
        <v>504</v>
      </c>
      <c r="U4" s="34" t="s">
        <v>505</v>
      </c>
      <c r="V4" s="34" t="s">
        <v>479</v>
      </c>
      <c r="W4" s="34" t="s">
        <v>491</v>
      </c>
      <c r="X4" s="34" t="s">
        <v>479</v>
      </c>
      <c r="Y4" s="34" t="s">
        <v>506</v>
      </c>
      <c r="Z4" s="34" t="s">
        <v>479</v>
      </c>
      <c r="AA4" s="129"/>
    </row>
    <row r="5" spans="1:27" ht="11.25" customHeight="1" x14ac:dyDescent="0.3">
      <c r="A5" s="131" t="s">
        <v>37</v>
      </c>
      <c r="B5" s="131" t="s">
        <v>71</v>
      </c>
      <c r="C5" s="131" t="s">
        <v>25</v>
      </c>
      <c r="D5" s="131" t="s">
        <v>25</v>
      </c>
      <c r="E5" s="131" t="s">
        <v>25</v>
      </c>
      <c r="F5" s="131" t="s">
        <v>25</v>
      </c>
      <c r="G5" s="32" t="s">
        <v>73</v>
      </c>
      <c r="H5" s="32" t="s">
        <v>72</v>
      </c>
      <c r="I5" s="32">
        <f>'MERCADO TE'!$U$2</f>
        <v>89.825000000000003</v>
      </c>
      <c r="J5" s="17"/>
      <c r="L5" s="30">
        <v>1</v>
      </c>
      <c r="M5" s="30">
        <v>1</v>
      </c>
      <c r="N5" s="30">
        <v>1</v>
      </c>
      <c r="O5" s="30">
        <v>1</v>
      </c>
      <c r="P5" s="30"/>
      <c r="Q5" s="30">
        <v>1</v>
      </c>
      <c r="R5" s="30"/>
      <c r="S5" s="30">
        <v>1</v>
      </c>
      <c r="T5" s="30">
        <v>1</v>
      </c>
      <c r="U5" s="30">
        <v>1</v>
      </c>
      <c r="V5" s="30"/>
      <c r="W5" s="30"/>
      <c r="X5" s="30"/>
      <c r="Y5" s="30">
        <v>1</v>
      </c>
      <c r="Z5" s="30"/>
      <c r="AA5" s="30"/>
    </row>
    <row r="6" spans="1:27" ht="11.25" customHeight="1" x14ac:dyDescent="0.3">
      <c r="A6" s="131"/>
      <c r="B6" s="131"/>
      <c r="C6" s="131"/>
      <c r="D6" s="131"/>
      <c r="E6" s="131"/>
      <c r="F6" s="131"/>
      <c r="G6" s="32" t="s">
        <v>74</v>
      </c>
      <c r="H6" s="32" t="s">
        <v>72</v>
      </c>
      <c r="I6" s="32">
        <f>'MERCADO TE'!$U$3</f>
        <v>3257.1160000000004</v>
      </c>
      <c r="J6" s="17"/>
      <c r="L6" s="30">
        <v>1</v>
      </c>
      <c r="M6" s="30">
        <v>1</v>
      </c>
      <c r="N6" s="30">
        <v>1</v>
      </c>
      <c r="O6" s="30">
        <v>1</v>
      </c>
      <c r="P6" s="30"/>
      <c r="Q6" s="30">
        <v>1</v>
      </c>
      <c r="R6" s="30"/>
      <c r="S6" s="30">
        <v>1</v>
      </c>
      <c r="T6" s="30">
        <v>1</v>
      </c>
      <c r="U6" s="30">
        <v>1</v>
      </c>
      <c r="V6" s="30"/>
      <c r="W6" s="30"/>
      <c r="X6" s="30"/>
      <c r="Y6" s="30">
        <v>1</v>
      </c>
      <c r="Z6" s="30"/>
      <c r="AA6" s="30"/>
    </row>
    <row r="7" spans="1:27" ht="11.25" customHeight="1" x14ac:dyDescent="0.3">
      <c r="A7" s="131"/>
      <c r="B7" s="33" t="s">
        <v>75</v>
      </c>
      <c r="C7" s="33" t="s">
        <v>25</v>
      </c>
      <c r="D7" s="33" t="s">
        <v>25</v>
      </c>
      <c r="E7" s="33" t="s">
        <v>25</v>
      </c>
      <c r="F7" s="33" t="s">
        <v>25</v>
      </c>
      <c r="G7" s="32" t="s">
        <v>76</v>
      </c>
      <c r="H7" s="32" t="s">
        <v>72</v>
      </c>
      <c r="I7" s="32">
        <f>'MERCADO TE'!$U$4</f>
        <v>0</v>
      </c>
      <c r="J7" s="17"/>
      <c r="L7" s="30">
        <v>1</v>
      </c>
      <c r="M7" s="30">
        <v>1</v>
      </c>
      <c r="N7" s="30">
        <v>1</v>
      </c>
      <c r="O7" s="30">
        <v>1</v>
      </c>
      <c r="P7" s="30"/>
      <c r="Q7" s="30">
        <v>1</v>
      </c>
      <c r="R7" s="30"/>
      <c r="S7" s="30">
        <v>1</v>
      </c>
      <c r="T7" s="30">
        <v>1</v>
      </c>
      <c r="U7" s="30">
        <v>1</v>
      </c>
      <c r="V7" s="30"/>
      <c r="W7" s="30"/>
      <c r="X7" s="30"/>
      <c r="Y7" s="30">
        <v>1</v>
      </c>
      <c r="Z7" s="30"/>
      <c r="AA7" s="30"/>
    </row>
    <row r="8" spans="1:27" ht="11.25" customHeight="1" x14ac:dyDescent="0.3">
      <c r="A8" s="131" t="s">
        <v>22</v>
      </c>
      <c r="B8" s="131" t="s">
        <v>71</v>
      </c>
      <c r="C8" s="131" t="s">
        <v>24</v>
      </c>
      <c r="D8" s="131" t="s">
        <v>24</v>
      </c>
      <c r="E8" s="131" t="s">
        <v>25</v>
      </c>
      <c r="F8" s="131" t="s">
        <v>25</v>
      </c>
      <c r="G8" s="32" t="s">
        <v>73</v>
      </c>
      <c r="H8" s="32" t="s">
        <v>72</v>
      </c>
      <c r="I8" s="32">
        <f>'MERCADO TE'!$U$5</f>
        <v>3.1E-2</v>
      </c>
      <c r="J8" s="17"/>
      <c r="L8" s="30">
        <v>1</v>
      </c>
      <c r="M8" s="30">
        <v>1</v>
      </c>
      <c r="N8" s="30">
        <v>1</v>
      </c>
      <c r="O8" s="30">
        <v>1</v>
      </c>
      <c r="P8" s="30"/>
      <c r="Q8" s="30">
        <v>1</v>
      </c>
      <c r="R8" s="30"/>
      <c r="S8" s="30">
        <v>1</v>
      </c>
      <c r="T8" s="30">
        <v>1</v>
      </c>
      <c r="U8" s="30">
        <v>1</v>
      </c>
      <c r="V8" s="30"/>
      <c r="W8" s="30"/>
      <c r="X8" s="30"/>
      <c r="Y8" s="30">
        <v>1</v>
      </c>
      <c r="Z8" s="30"/>
      <c r="AA8" s="30"/>
    </row>
    <row r="9" spans="1:27" ht="11.25" customHeight="1" x14ac:dyDescent="0.3">
      <c r="A9" s="131"/>
      <c r="B9" s="131"/>
      <c r="C9" s="131"/>
      <c r="D9" s="131"/>
      <c r="E9" s="131"/>
      <c r="F9" s="131"/>
      <c r="G9" s="32" t="s">
        <v>85</v>
      </c>
      <c r="H9" s="32" t="s">
        <v>72</v>
      </c>
      <c r="I9" s="32">
        <f>'MERCADO TE'!$U$6</f>
        <v>0</v>
      </c>
      <c r="J9" s="17"/>
      <c r="L9" s="30">
        <v>1</v>
      </c>
      <c r="M9" s="30">
        <v>1</v>
      </c>
      <c r="N9" s="30">
        <v>1</v>
      </c>
      <c r="O9" s="30">
        <v>1</v>
      </c>
      <c r="P9" s="30"/>
      <c r="Q9" s="30">
        <v>1</v>
      </c>
      <c r="R9" s="30"/>
      <c r="S9" s="30">
        <v>1</v>
      </c>
      <c r="T9" s="30">
        <v>1</v>
      </c>
      <c r="U9" s="30">
        <v>1</v>
      </c>
      <c r="V9" s="30"/>
      <c r="W9" s="30"/>
      <c r="X9" s="30"/>
      <c r="Y9" s="30">
        <v>1</v>
      </c>
      <c r="Z9" s="30"/>
      <c r="AA9" s="30"/>
    </row>
    <row r="10" spans="1:27" ht="11.25" customHeight="1" x14ac:dyDescent="0.3">
      <c r="A10" s="131"/>
      <c r="B10" s="131"/>
      <c r="C10" s="131"/>
      <c r="D10" s="131"/>
      <c r="E10" s="131"/>
      <c r="F10" s="131"/>
      <c r="G10" s="32" t="s">
        <v>74</v>
      </c>
      <c r="H10" s="32" t="s">
        <v>72</v>
      </c>
      <c r="I10" s="32">
        <f>'MERCADO TE'!$U$7</f>
        <v>0.71099999999999985</v>
      </c>
      <c r="J10" s="17"/>
      <c r="L10" s="30">
        <v>1</v>
      </c>
      <c r="M10" s="30">
        <v>1</v>
      </c>
      <c r="N10" s="30">
        <v>1</v>
      </c>
      <c r="O10" s="30">
        <v>1</v>
      </c>
      <c r="P10" s="30"/>
      <c r="Q10" s="30">
        <v>1</v>
      </c>
      <c r="R10" s="30"/>
      <c r="S10" s="30">
        <v>1</v>
      </c>
      <c r="T10" s="30">
        <v>1</v>
      </c>
      <c r="U10" s="30">
        <v>1</v>
      </c>
      <c r="V10" s="30"/>
      <c r="W10" s="30"/>
      <c r="X10" s="30"/>
      <c r="Y10" s="30">
        <v>1</v>
      </c>
      <c r="Z10" s="30"/>
      <c r="AA10" s="30"/>
    </row>
    <row r="11" spans="1:27" ht="11.25" customHeight="1" x14ac:dyDescent="0.3">
      <c r="A11" s="131"/>
      <c r="B11" s="131" t="s">
        <v>75</v>
      </c>
      <c r="C11" s="131" t="s">
        <v>24</v>
      </c>
      <c r="D11" s="33" t="s">
        <v>24</v>
      </c>
      <c r="E11" s="33" t="s">
        <v>25</v>
      </c>
      <c r="F11" s="33" t="s">
        <v>25</v>
      </c>
      <c r="G11" s="32" t="s">
        <v>76</v>
      </c>
      <c r="H11" s="32" t="s">
        <v>72</v>
      </c>
      <c r="I11" s="32">
        <f>'MERCADO TE'!$U$8</f>
        <v>9876.3909999999996</v>
      </c>
      <c r="J11" s="17"/>
      <c r="L11" s="30">
        <v>1</v>
      </c>
      <c r="M11" s="30">
        <v>1</v>
      </c>
      <c r="N11" s="30">
        <v>1</v>
      </c>
      <c r="O11" s="30">
        <v>1</v>
      </c>
      <c r="P11" s="30"/>
      <c r="Q11" s="30">
        <v>1</v>
      </c>
      <c r="R11" s="30"/>
      <c r="S11" s="30">
        <v>1</v>
      </c>
      <c r="T11" s="30">
        <v>1</v>
      </c>
      <c r="U11" s="30">
        <v>1</v>
      </c>
      <c r="V11" s="30"/>
      <c r="W11" s="30"/>
      <c r="X11" s="30"/>
      <c r="Y11" s="30">
        <v>1</v>
      </c>
      <c r="Z11" s="30"/>
      <c r="AA11" s="30"/>
    </row>
    <row r="12" spans="1:27" ht="11.25" customHeight="1" x14ac:dyDescent="0.3">
      <c r="A12" s="131"/>
      <c r="B12" s="131"/>
      <c r="C12" s="131"/>
      <c r="D12" s="33" t="s">
        <v>29</v>
      </c>
      <c r="E12" s="33" t="s">
        <v>25</v>
      </c>
      <c r="F12" s="33" t="s">
        <v>25</v>
      </c>
      <c r="G12" s="32" t="s">
        <v>76</v>
      </c>
      <c r="H12" s="32" t="s">
        <v>72</v>
      </c>
      <c r="I12" s="32">
        <f>'MERCADO TE'!$U$9</f>
        <v>38.58</v>
      </c>
      <c r="J12" s="17"/>
      <c r="L12" s="30">
        <f>1 - CUSTOS!$M$24</f>
        <v>1</v>
      </c>
      <c r="M12" s="30">
        <f>1 - CUSTOS!$M$24</f>
        <v>1</v>
      </c>
      <c r="N12" s="30">
        <f>1 - CUSTOS!$M$24</f>
        <v>1</v>
      </c>
      <c r="O12" s="30">
        <f>1 - CUSTOS!$M$24</f>
        <v>1</v>
      </c>
      <c r="P12" s="30"/>
      <c r="Q12" s="30">
        <f>(1 - CUSTOS!$M$24)*1</f>
        <v>1</v>
      </c>
      <c r="R12" s="30"/>
      <c r="S12" s="30">
        <f>1 - CUSTOS!$M$24</f>
        <v>1</v>
      </c>
      <c r="T12" s="30">
        <f>1 - CUSTOS!$M$24</f>
        <v>1</v>
      </c>
      <c r="U12" s="30">
        <f>1 - CUSTOS!$M$24</f>
        <v>1</v>
      </c>
      <c r="V12" s="30"/>
      <c r="W12" s="30"/>
      <c r="X12" s="30"/>
      <c r="Y12" s="30">
        <f>1 - CUSTOS!$M$24</f>
        <v>1</v>
      </c>
      <c r="Z12" s="30"/>
      <c r="AA12" s="30"/>
    </row>
    <row r="13" spans="1:27" ht="11.25" customHeight="1" x14ac:dyDescent="0.3">
      <c r="A13" s="131"/>
      <c r="B13" s="131"/>
      <c r="C13" s="131"/>
      <c r="D13" s="33" t="s">
        <v>30</v>
      </c>
      <c r="E13" s="33" t="s">
        <v>25</v>
      </c>
      <c r="F13" s="33" t="s">
        <v>25</v>
      </c>
      <c r="G13" s="32" t="s">
        <v>76</v>
      </c>
      <c r="H13" s="32" t="s">
        <v>72</v>
      </c>
      <c r="I13" s="32">
        <f>'MERCADO TE'!$U$10</f>
        <v>77.120999999999995</v>
      </c>
      <c r="J13" s="17"/>
      <c r="L13" s="30">
        <f>1 - CUSTOS!$M$25</f>
        <v>1</v>
      </c>
      <c r="M13" s="30">
        <f>1 - CUSTOS!$M$25</f>
        <v>1</v>
      </c>
      <c r="N13" s="30">
        <f>1 - CUSTOS!$M$25</f>
        <v>1</v>
      </c>
      <c r="O13" s="30">
        <f>1 - CUSTOS!$M$25</f>
        <v>1</v>
      </c>
      <c r="P13" s="30"/>
      <c r="Q13" s="30">
        <f>(1 - CUSTOS!$M$25)*1</f>
        <v>1</v>
      </c>
      <c r="R13" s="30"/>
      <c r="S13" s="30">
        <f>1 - CUSTOS!$M$25</f>
        <v>1</v>
      </c>
      <c r="T13" s="30">
        <f>1 - CUSTOS!$M$25</f>
        <v>1</v>
      </c>
      <c r="U13" s="30">
        <f>1 - CUSTOS!$M$25</f>
        <v>1</v>
      </c>
      <c r="V13" s="30"/>
      <c r="W13" s="30"/>
      <c r="X13" s="30"/>
      <c r="Y13" s="30">
        <f>1 - CUSTOS!$M$25</f>
        <v>1</v>
      </c>
      <c r="Z13" s="30"/>
      <c r="AA13" s="30"/>
    </row>
    <row r="14" spans="1:27" ht="11.25" customHeight="1" x14ac:dyDescent="0.3">
      <c r="A14" s="131"/>
      <c r="B14" s="131"/>
      <c r="C14" s="131"/>
      <c r="D14" s="33" t="s">
        <v>31</v>
      </c>
      <c r="E14" s="33" t="s">
        <v>25</v>
      </c>
      <c r="F14" s="33" t="s">
        <v>25</v>
      </c>
      <c r="G14" s="32" t="s">
        <v>76</v>
      </c>
      <c r="H14" s="32" t="s">
        <v>72</v>
      </c>
      <c r="I14" s="32">
        <f>'MERCADO TE'!$U$11</f>
        <v>54.47</v>
      </c>
      <c r="J14" s="17"/>
      <c r="L14" s="30">
        <f>1 - CUSTOS!$M$26</f>
        <v>1</v>
      </c>
      <c r="M14" s="30">
        <f>1 - CUSTOS!$M$26</f>
        <v>1</v>
      </c>
      <c r="N14" s="30">
        <f>1 - CUSTOS!$M$26</f>
        <v>1</v>
      </c>
      <c r="O14" s="30">
        <f>1 - CUSTOS!$M$26</f>
        <v>1</v>
      </c>
      <c r="P14" s="30"/>
      <c r="Q14" s="30">
        <f>(1 - CUSTOS!$M$26)*1</f>
        <v>1</v>
      </c>
      <c r="R14" s="30"/>
      <c r="S14" s="30">
        <f>1 - CUSTOS!$M$26</f>
        <v>1</v>
      </c>
      <c r="T14" s="30">
        <f>1 - CUSTOS!$M$26</f>
        <v>1</v>
      </c>
      <c r="U14" s="30">
        <f>1 - CUSTOS!$M$26</f>
        <v>1</v>
      </c>
      <c r="V14" s="30"/>
      <c r="W14" s="30"/>
      <c r="X14" s="30"/>
      <c r="Y14" s="30">
        <f>1 - CUSTOS!$M$26</f>
        <v>1</v>
      </c>
      <c r="Z14" s="30"/>
      <c r="AA14" s="30"/>
    </row>
    <row r="15" spans="1:27" ht="11.25" customHeight="1" x14ac:dyDescent="0.3">
      <c r="A15" s="131"/>
      <c r="B15" s="131"/>
      <c r="C15" s="131"/>
      <c r="D15" s="33" t="s">
        <v>32</v>
      </c>
      <c r="E15" s="33" t="s">
        <v>25</v>
      </c>
      <c r="F15" s="33" t="s">
        <v>25</v>
      </c>
      <c r="G15" s="32" t="s">
        <v>76</v>
      </c>
      <c r="H15" s="32" t="s">
        <v>72</v>
      </c>
      <c r="I15" s="32">
        <f>'MERCADO TE'!$U$12</f>
        <v>9.1170000000000009</v>
      </c>
      <c r="J15" s="17"/>
      <c r="L15" s="30">
        <f>1 - CUSTOS!$M$27</f>
        <v>1</v>
      </c>
      <c r="M15" s="30">
        <f>1 - CUSTOS!$M$27</f>
        <v>1</v>
      </c>
      <c r="N15" s="30">
        <f>1 - CUSTOS!$M$27</f>
        <v>1</v>
      </c>
      <c r="O15" s="30">
        <f>1 - CUSTOS!$M$27</f>
        <v>1</v>
      </c>
      <c r="P15" s="30"/>
      <c r="Q15" s="30">
        <f>(1 - CUSTOS!$M$27)*1</f>
        <v>1</v>
      </c>
      <c r="R15" s="30"/>
      <c r="S15" s="30">
        <f>1 - CUSTOS!$M$27</f>
        <v>1</v>
      </c>
      <c r="T15" s="30">
        <f>1 - CUSTOS!$M$27</f>
        <v>1</v>
      </c>
      <c r="U15" s="30">
        <f>1 - CUSTOS!$M$27</f>
        <v>1</v>
      </c>
      <c r="V15" s="30"/>
      <c r="W15" s="30"/>
      <c r="X15" s="30"/>
      <c r="Y15" s="30">
        <f>1 - CUSTOS!$M$27</f>
        <v>1</v>
      </c>
      <c r="Z15" s="30"/>
      <c r="AA15" s="30"/>
    </row>
    <row r="16" spans="1:27" ht="11.25" customHeight="1" x14ac:dyDescent="0.3">
      <c r="A16" s="131"/>
      <c r="B16" s="131" t="s">
        <v>86</v>
      </c>
      <c r="C16" s="131" t="s">
        <v>24</v>
      </c>
      <c r="D16" s="33" t="s">
        <v>24</v>
      </c>
      <c r="E16" s="33" t="s">
        <v>25</v>
      </c>
      <c r="F16" s="33" t="s">
        <v>25</v>
      </c>
      <c r="G16" s="32" t="s">
        <v>76</v>
      </c>
      <c r="H16" s="32" t="s">
        <v>72</v>
      </c>
      <c r="I16" s="32">
        <f>'MERCADO TE'!$U$13</f>
        <v>0</v>
      </c>
      <c r="J16" s="17"/>
      <c r="L16" s="30">
        <v>1</v>
      </c>
      <c r="M16" s="30">
        <v>1</v>
      </c>
      <c r="N16" s="30">
        <v>1</v>
      </c>
      <c r="O16" s="30">
        <v>1</v>
      </c>
      <c r="P16" s="30"/>
      <c r="Q16" s="30">
        <v>1</v>
      </c>
      <c r="R16" s="30"/>
      <c r="S16" s="30">
        <v>1</v>
      </c>
      <c r="T16" s="30">
        <v>1</v>
      </c>
      <c r="U16" s="30">
        <v>1</v>
      </c>
      <c r="V16" s="30"/>
      <c r="W16" s="30"/>
      <c r="X16" s="30"/>
      <c r="Y16" s="30">
        <v>1</v>
      </c>
      <c r="Z16" s="30"/>
      <c r="AA16" s="30"/>
    </row>
    <row r="17" spans="1:27" ht="11.25" customHeight="1" x14ac:dyDescent="0.3">
      <c r="A17" s="131"/>
      <c r="B17" s="131"/>
      <c r="C17" s="131"/>
      <c r="D17" s="33" t="s">
        <v>29</v>
      </c>
      <c r="E17" s="33" t="s">
        <v>25</v>
      </c>
      <c r="F17" s="33" t="s">
        <v>25</v>
      </c>
      <c r="G17" s="32" t="s">
        <v>76</v>
      </c>
      <c r="H17" s="32" t="s">
        <v>72</v>
      </c>
      <c r="I17" s="32">
        <f>'MERCADO TE'!$U$14</f>
        <v>0</v>
      </c>
      <c r="J17" s="17"/>
      <c r="L17" s="30">
        <f>1 - CUSTOS!$M$24</f>
        <v>1</v>
      </c>
      <c r="M17" s="30">
        <f>1 - CUSTOS!$M$24</f>
        <v>1</v>
      </c>
      <c r="N17" s="30">
        <f>1 - CUSTOS!$M$24</f>
        <v>1</v>
      </c>
      <c r="O17" s="30">
        <f>1 - CUSTOS!$M$24</f>
        <v>1</v>
      </c>
      <c r="P17" s="30"/>
      <c r="Q17" s="30">
        <f>(1 - CUSTOS!$M$24)*1</f>
        <v>1</v>
      </c>
      <c r="R17" s="30"/>
      <c r="S17" s="30">
        <f>1 - CUSTOS!$M$24</f>
        <v>1</v>
      </c>
      <c r="T17" s="30">
        <f>1 - CUSTOS!$M$24</f>
        <v>1</v>
      </c>
      <c r="U17" s="30">
        <f>1 - CUSTOS!$M$24</f>
        <v>1</v>
      </c>
      <c r="V17" s="30"/>
      <c r="W17" s="30"/>
      <c r="X17" s="30"/>
      <c r="Y17" s="30">
        <f>1 - CUSTOS!$M$24</f>
        <v>1</v>
      </c>
      <c r="Z17" s="30"/>
      <c r="AA17" s="30"/>
    </row>
    <row r="18" spans="1:27" ht="11.25" customHeight="1" x14ac:dyDescent="0.3">
      <c r="A18" s="131"/>
      <c r="B18" s="131"/>
      <c r="C18" s="131"/>
      <c r="D18" s="33" t="s">
        <v>30</v>
      </c>
      <c r="E18" s="33" t="s">
        <v>25</v>
      </c>
      <c r="F18" s="33" t="s">
        <v>25</v>
      </c>
      <c r="G18" s="32" t="s">
        <v>76</v>
      </c>
      <c r="H18" s="32" t="s">
        <v>72</v>
      </c>
      <c r="I18" s="32">
        <f>'MERCADO TE'!$U$15</f>
        <v>0</v>
      </c>
      <c r="J18" s="17"/>
      <c r="L18" s="30">
        <f>1 - CUSTOS!$M$25</f>
        <v>1</v>
      </c>
      <c r="M18" s="30">
        <f>1 - CUSTOS!$M$25</f>
        <v>1</v>
      </c>
      <c r="N18" s="30">
        <f>1 - CUSTOS!$M$25</f>
        <v>1</v>
      </c>
      <c r="O18" s="30">
        <f>1 - CUSTOS!$M$25</f>
        <v>1</v>
      </c>
      <c r="P18" s="30"/>
      <c r="Q18" s="30">
        <f>(1 - CUSTOS!$M$25)*1</f>
        <v>1</v>
      </c>
      <c r="R18" s="30"/>
      <c r="S18" s="30">
        <f>1 - CUSTOS!$M$25</f>
        <v>1</v>
      </c>
      <c r="T18" s="30">
        <f>1 - CUSTOS!$M$25</f>
        <v>1</v>
      </c>
      <c r="U18" s="30">
        <f>1 - CUSTOS!$M$25</f>
        <v>1</v>
      </c>
      <c r="V18" s="30"/>
      <c r="W18" s="30"/>
      <c r="X18" s="30"/>
      <c r="Y18" s="30">
        <f>1 - CUSTOS!$M$25</f>
        <v>1</v>
      </c>
      <c r="Z18" s="30"/>
      <c r="AA18" s="30"/>
    </row>
    <row r="19" spans="1:27" ht="11.25" customHeight="1" x14ac:dyDescent="0.3">
      <c r="A19" s="131"/>
      <c r="B19" s="131"/>
      <c r="C19" s="131"/>
      <c r="D19" s="33" t="s">
        <v>31</v>
      </c>
      <c r="E19" s="33" t="s">
        <v>25</v>
      </c>
      <c r="F19" s="33" t="s">
        <v>25</v>
      </c>
      <c r="G19" s="32" t="s">
        <v>76</v>
      </c>
      <c r="H19" s="32" t="s">
        <v>72</v>
      </c>
      <c r="I19" s="32">
        <f>'MERCADO TE'!$U$16</f>
        <v>0</v>
      </c>
      <c r="J19" s="17"/>
      <c r="L19" s="30">
        <f>1 - CUSTOS!$M$26</f>
        <v>1</v>
      </c>
      <c r="M19" s="30">
        <f>1 - CUSTOS!$M$26</f>
        <v>1</v>
      </c>
      <c r="N19" s="30">
        <f>1 - CUSTOS!$M$26</f>
        <v>1</v>
      </c>
      <c r="O19" s="30">
        <f>1 - CUSTOS!$M$26</f>
        <v>1</v>
      </c>
      <c r="P19" s="30"/>
      <c r="Q19" s="30">
        <f>(1 - CUSTOS!$M$26)*1</f>
        <v>1</v>
      </c>
      <c r="R19" s="30"/>
      <c r="S19" s="30">
        <f>1 - CUSTOS!$M$26</f>
        <v>1</v>
      </c>
      <c r="T19" s="30">
        <f>1 - CUSTOS!$M$26</f>
        <v>1</v>
      </c>
      <c r="U19" s="30">
        <f>1 - CUSTOS!$M$26</f>
        <v>1</v>
      </c>
      <c r="V19" s="30"/>
      <c r="W19" s="30"/>
      <c r="X19" s="30"/>
      <c r="Y19" s="30">
        <f>1 - CUSTOS!$M$26</f>
        <v>1</v>
      </c>
      <c r="Z19" s="30"/>
      <c r="AA19" s="30"/>
    </row>
    <row r="20" spans="1:27" ht="11.25" customHeight="1" x14ac:dyDescent="0.3">
      <c r="A20" s="131"/>
      <c r="B20" s="131"/>
      <c r="C20" s="131"/>
      <c r="D20" s="33" t="s">
        <v>32</v>
      </c>
      <c r="E20" s="33" t="s">
        <v>25</v>
      </c>
      <c r="F20" s="33" t="s">
        <v>25</v>
      </c>
      <c r="G20" s="32" t="s">
        <v>76</v>
      </c>
      <c r="H20" s="32" t="s">
        <v>72</v>
      </c>
      <c r="I20" s="32">
        <f>'MERCADO TE'!$U$17</f>
        <v>0</v>
      </c>
      <c r="J20" s="17"/>
      <c r="L20" s="30">
        <f>1 - CUSTOS!$M$27</f>
        <v>1</v>
      </c>
      <c r="M20" s="30">
        <f>1 - CUSTOS!$M$27</f>
        <v>1</v>
      </c>
      <c r="N20" s="30">
        <f>1 - CUSTOS!$M$27</f>
        <v>1</v>
      </c>
      <c r="O20" s="30">
        <f>1 - CUSTOS!$M$27</f>
        <v>1</v>
      </c>
      <c r="P20" s="30"/>
      <c r="Q20" s="30">
        <f>(1 - CUSTOS!$M$27)*1</f>
        <v>1</v>
      </c>
      <c r="R20" s="30"/>
      <c r="S20" s="30">
        <f>1 - CUSTOS!$M$27</f>
        <v>1</v>
      </c>
      <c r="T20" s="30">
        <f>1 - CUSTOS!$M$27</f>
        <v>1</v>
      </c>
      <c r="U20" s="30">
        <f>1 - CUSTOS!$M$27</f>
        <v>1</v>
      </c>
      <c r="V20" s="30"/>
      <c r="W20" s="30"/>
      <c r="X20" s="30"/>
      <c r="Y20" s="30">
        <f>1 - CUSTOS!$M$27</f>
        <v>1</v>
      </c>
      <c r="Z20" s="30"/>
      <c r="AA20" s="30"/>
    </row>
    <row r="21" spans="1:27" ht="11.25" customHeight="1" x14ac:dyDescent="0.3">
      <c r="A21" s="131" t="s">
        <v>43</v>
      </c>
      <c r="B21" s="131" t="s">
        <v>71</v>
      </c>
      <c r="C21" s="131" t="s">
        <v>44</v>
      </c>
      <c r="D21" s="131" t="s">
        <v>25</v>
      </c>
      <c r="E21" s="131" t="s">
        <v>25</v>
      </c>
      <c r="F21" s="131" t="s">
        <v>25</v>
      </c>
      <c r="G21" s="32" t="s">
        <v>73</v>
      </c>
      <c r="H21" s="32" t="s">
        <v>72</v>
      </c>
      <c r="I21" s="32">
        <f>'MERCADO TE'!$U$18</f>
        <v>0</v>
      </c>
      <c r="J21" s="17"/>
      <c r="L21" s="30">
        <f>1 - CUSTOS!$M$28</f>
        <v>1</v>
      </c>
      <c r="M21" s="30">
        <f>1 - CUSTOS!$M$28</f>
        <v>1</v>
      </c>
      <c r="N21" s="30">
        <f>1 - CUSTOS!$M$28</f>
        <v>1</v>
      </c>
      <c r="O21" s="30">
        <f>1 - CUSTOS!$M$28</f>
        <v>1</v>
      </c>
      <c r="P21" s="30"/>
      <c r="Q21" s="30">
        <f>(1 - CUSTOS!$M$28)*1</f>
        <v>1</v>
      </c>
      <c r="R21" s="30"/>
      <c r="S21" s="30">
        <f>1 - CUSTOS!$M$28</f>
        <v>1</v>
      </c>
      <c r="T21" s="30">
        <f>1 - CUSTOS!$M$28</f>
        <v>1</v>
      </c>
      <c r="U21" s="30">
        <f>1 - CUSTOS!$M$28</f>
        <v>1</v>
      </c>
      <c r="V21" s="30"/>
      <c r="W21" s="30"/>
      <c r="X21" s="30"/>
      <c r="Y21" s="30">
        <f>1 - CUSTOS!$M$28</f>
        <v>1</v>
      </c>
      <c r="Z21" s="30"/>
      <c r="AA21" s="30"/>
    </row>
    <row r="22" spans="1:27" ht="11.25" customHeight="1" x14ac:dyDescent="0.3">
      <c r="A22" s="131"/>
      <c r="B22" s="131"/>
      <c r="C22" s="131"/>
      <c r="D22" s="131"/>
      <c r="E22" s="131"/>
      <c r="F22" s="131"/>
      <c r="G22" s="32" t="s">
        <v>85</v>
      </c>
      <c r="H22" s="32" t="s">
        <v>72</v>
      </c>
      <c r="I22" s="32">
        <f>'MERCADO TE'!$U$19</f>
        <v>0</v>
      </c>
      <c r="J22" s="17"/>
      <c r="L22" s="30">
        <f>1 - CUSTOS!$M$28</f>
        <v>1</v>
      </c>
      <c r="M22" s="30">
        <f>1 - CUSTOS!$M$28</f>
        <v>1</v>
      </c>
      <c r="N22" s="30">
        <f>1 - CUSTOS!$M$28</f>
        <v>1</v>
      </c>
      <c r="O22" s="30">
        <f>1 - CUSTOS!$M$28</f>
        <v>1</v>
      </c>
      <c r="P22" s="30"/>
      <c r="Q22" s="30">
        <f>(1 - CUSTOS!$M$28)*1</f>
        <v>1</v>
      </c>
      <c r="R22" s="30"/>
      <c r="S22" s="30">
        <f>1 - CUSTOS!$M$28</f>
        <v>1</v>
      </c>
      <c r="T22" s="30">
        <f>1 - CUSTOS!$M$28</f>
        <v>1</v>
      </c>
      <c r="U22" s="30">
        <f>1 - CUSTOS!$M$28</f>
        <v>1</v>
      </c>
      <c r="V22" s="30"/>
      <c r="W22" s="30"/>
      <c r="X22" s="30"/>
      <c r="Y22" s="30">
        <f>1 - CUSTOS!$M$28</f>
        <v>1</v>
      </c>
      <c r="Z22" s="30"/>
      <c r="AA22" s="30"/>
    </row>
    <row r="23" spans="1:27" ht="11.25" customHeight="1" x14ac:dyDescent="0.3">
      <c r="A23" s="131"/>
      <c r="B23" s="131"/>
      <c r="C23" s="131"/>
      <c r="D23" s="131"/>
      <c r="E23" s="131"/>
      <c r="F23" s="131"/>
      <c r="G23" s="32" t="s">
        <v>74</v>
      </c>
      <c r="H23" s="32" t="s">
        <v>72</v>
      </c>
      <c r="I23" s="32">
        <f>'MERCADO TE'!$U$20</f>
        <v>0</v>
      </c>
      <c r="J23" s="17"/>
      <c r="L23" s="30">
        <f>1 - CUSTOS!$M$28</f>
        <v>1</v>
      </c>
      <c r="M23" s="30">
        <f>1 - CUSTOS!$M$28</f>
        <v>1</v>
      </c>
      <c r="N23" s="30">
        <f>1 - CUSTOS!$M$28</f>
        <v>1</v>
      </c>
      <c r="O23" s="30">
        <f>1 - CUSTOS!$M$28</f>
        <v>1</v>
      </c>
      <c r="P23" s="30"/>
      <c r="Q23" s="30">
        <f>(1 - CUSTOS!$M$28)*1</f>
        <v>1</v>
      </c>
      <c r="R23" s="30"/>
      <c r="S23" s="30">
        <f>1 - CUSTOS!$M$28</f>
        <v>1</v>
      </c>
      <c r="T23" s="30">
        <f>1 - CUSTOS!$M$28</f>
        <v>1</v>
      </c>
      <c r="U23" s="30">
        <f>1 - CUSTOS!$M$28</f>
        <v>1</v>
      </c>
      <c r="V23" s="30"/>
      <c r="W23" s="30"/>
      <c r="X23" s="30"/>
      <c r="Y23" s="30">
        <f>1 - CUSTOS!$M$28</f>
        <v>1</v>
      </c>
      <c r="Z23" s="30"/>
      <c r="AA23" s="30"/>
    </row>
    <row r="24" spans="1:27" ht="11.25" customHeight="1" x14ac:dyDescent="0.3">
      <c r="A24" s="131"/>
      <c r="B24" s="33" t="s">
        <v>75</v>
      </c>
      <c r="C24" s="33" t="s">
        <v>44</v>
      </c>
      <c r="D24" s="33" t="s">
        <v>25</v>
      </c>
      <c r="E24" s="33" t="s">
        <v>25</v>
      </c>
      <c r="F24" s="33" t="s">
        <v>25</v>
      </c>
      <c r="G24" s="32" t="s">
        <v>76</v>
      </c>
      <c r="H24" s="32" t="s">
        <v>72</v>
      </c>
      <c r="I24" s="32">
        <f>'MERCADO TE'!$U$21</f>
        <v>600.24900000000002</v>
      </c>
      <c r="J24" s="17"/>
      <c r="L24" s="30">
        <f>1 - CUSTOS!$M$28</f>
        <v>1</v>
      </c>
      <c r="M24" s="30">
        <f>1 - CUSTOS!$M$28</f>
        <v>1</v>
      </c>
      <c r="N24" s="30">
        <f>1 - CUSTOS!$M$28</f>
        <v>1</v>
      </c>
      <c r="O24" s="30">
        <f>1 - CUSTOS!$M$28</f>
        <v>1</v>
      </c>
      <c r="P24" s="30"/>
      <c r="Q24" s="30">
        <f>(1 - CUSTOS!$M$28)*1</f>
        <v>1</v>
      </c>
      <c r="R24" s="30"/>
      <c r="S24" s="30">
        <f>1 - CUSTOS!$M$28</f>
        <v>1</v>
      </c>
      <c r="T24" s="30">
        <f>1 - CUSTOS!$M$28</f>
        <v>1</v>
      </c>
      <c r="U24" s="30">
        <f>1 - CUSTOS!$M$28</f>
        <v>1</v>
      </c>
      <c r="V24" s="30"/>
      <c r="W24" s="30"/>
      <c r="X24" s="30"/>
      <c r="Y24" s="30">
        <f>1 - CUSTOS!$M$28</f>
        <v>1</v>
      </c>
      <c r="Z24" s="30"/>
      <c r="AA24" s="30"/>
    </row>
    <row r="25" spans="1:27" ht="11.25" customHeight="1" x14ac:dyDescent="0.3">
      <c r="A25" s="131"/>
      <c r="B25" s="131" t="s">
        <v>71</v>
      </c>
      <c r="C25" s="131" t="s">
        <v>44</v>
      </c>
      <c r="D25" s="131" t="s">
        <v>88</v>
      </c>
      <c r="E25" s="131" t="s">
        <v>25</v>
      </c>
      <c r="F25" s="131" t="s">
        <v>25</v>
      </c>
      <c r="G25" s="32" t="s">
        <v>73</v>
      </c>
      <c r="H25" s="32" t="s">
        <v>72</v>
      </c>
      <c r="I25" s="32">
        <f>'MERCADO TE'!$U$22</f>
        <v>0</v>
      </c>
      <c r="J25" s="17"/>
      <c r="L25" s="30">
        <f>1 - CUSTOS!$M$29</f>
        <v>1</v>
      </c>
      <c r="M25" s="30">
        <f>1 - CUSTOS!$M$29</f>
        <v>1</v>
      </c>
      <c r="N25" s="30">
        <f>1 - CUSTOS!$M$29</f>
        <v>1</v>
      </c>
      <c r="O25" s="30">
        <f>1 - CUSTOS!$M$29</f>
        <v>1</v>
      </c>
      <c r="P25" s="30"/>
      <c r="Q25" s="30">
        <f>(1 - CUSTOS!$M$29)*1</f>
        <v>1</v>
      </c>
      <c r="R25" s="30"/>
      <c r="S25" s="30">
        <f>1 - CUSTOS!$M$29</f>
        <v>1</v>
      </c>
      <c r="T25" s="30">
        <f>1 - CUSTOS!$M$29</f>
        <v>1</v>
      </c>
      <c r="U25" s="30">
        <f>1 - CUSTOS!$M$29</f>
        <v>1</v>
      </c>
      <c r="V25" s="30"/>
      <c r="W25" s="30"/>
      <c r="X25" s="30"/>
      <c r="Y25" s="30">
        <f>1 - CUSTOS!$M$29</f>
        <v>1</v>
      </c>
      <c r="Z25" s="30"/>
      <c r="AA25" s="30"/>
    </row>
    <row r="26" spans="1:27" ht="11.25" customHeight="1" x14ac:dyDescent="0.3">
      <c r="A26" s="131"/>
      <c r="B26" s="131"/>
      <c r="C26" s="131"/>
      <c r="D26" s="131"/>
      <c r="E26" s="131"/>
      <c r="F26" s="131"/>
      <c r="G26" s="32" t="s">
        <v>85</v>
      </c>
      <c r="H26" s="32" t="s">
        <v>72</v>
      </c>
      <c r="I26" s="32">
        <f>'MERCADO TE'!$U$23</f>
        <v>0</v>
      </c>
      <c r="J26" s="17"/>
      <c r="L26" s="30">
        <f>1 - CUSTOS!$M$29</f>
        <v>1</v>
      </c>
      <c r="M26" s="30">
        <f>1 - CUSTOS!$M$29</f>
        <v>1</v>
      </c>
      <c r="N26" s="30">
        <f>1 - CUSTOS!$M$29</f>
        <v>1</v>
      </c>
      <c r="O26" s="30">
        <f>1 - CUSTOS!$M$29</f>
        <v>1</v>
      </c>
      <c r="P26" s="30"/>
      <c r="Q26" s="30">
        <f>(1 - CUSTOS!$M$29)*1</f>
        <v>1</v>
      </c>
      <c r="R26" s="30"/>
      <c r="S26" s="30">
        <f>1 - CUSTOS!$M$29</f>
        <v>1</v>
      </c>
      <c r="T26" s="30">
        <f>1 - CUSTOS!$M$29</f>
        <v>1</v>
      </c>
      <c r="U26" s="30">
        <f>1 - CUSTOS!$M$29</f>
        <v>1</v>
      </c>
      <c r="V26" s="30"/>
      <c r="W26" s="30"/>
      <c r="X26" s="30"/>
      <c r="Y26" s="30">
        <f>1 - CUSTOS!$M$29</f>
        <v>1</v>
      </c>
      <c r="Z26" s="30"/>
      <c r="AA26" s="30"/>
    </row>
    <row r="27" spans="1:27" ht="11.25" customHeight="1" x14ac:dyDescent="0.3">
      <c r="A27" s="131"/>
      <c r="B27" s="131"/>
      <c r="C27" s="131"/>
      <c r="D27" s="131"/>
      <c r="E27" s="131"/>
      <c r="F27" s="131"/>
      <c r="G27" s="32" t="s">
        <v>74</v>
      </c>
      <c r="H27" s="32" t="s">
        <v>72</v>
      </c>
      <c r="I27" s="32">
        <f>'MERCADO TE'!$U$24</f>
        <v>0</v>
      </c>
      <c r="J27" s="17"/>
      <c r="L27" s="30">
        <f>1 - CUSTOS!$M$29</f>
        <v>1</v>
      </c>
      <c r="M27" s="30">
        <f>1 - CUSTOS!$M$29</f>
        <v>1</v>
      </c>
      <c r="N27" s="30">
        <f>1 - CUSTOS!$M$29</f>
        <v>1</v>
      </c>
      <c r="O27" s="30">
        <f>1 - CUSTOS!$M$29</f>
        <v>1</v>
      </c>
      <c r="P27" s="30"/>
      <c r="Q27" s="30">
        <f>(1 - CUSTOS!$M$29)*1</f>
        <v>1</v>
      </c>
      <c r="R27" s="30"/>
      <c r="S27" s="30">
        <f>1 - CUSTOS!$M$29</f>
        <v>1</v>
      </c>
      <c r="T27" s="30">
        <f>1 - CUSTOS!$M$29</f>
        <v>1</v>
      </c>
      <c r="U27" s="30">
        <f>1 - CUSTOS!$M$29</f>
        <v>1</v>
      </c>
      <c r="V27" s="30"/>
      <c r="W27" s="30"/>
      <c r="X27" s="30"/>
      <c r="Y27" s="30">
        <f>1 - CUSTOS!$M$29</f>
        <v>1</v>
      </c>
      <c r="Z27" s="30"/>
      <c r="AA27" s="30"/>
    </row>
    <row r="28" spans="1:27" ht="11.25" customHeight="1" x14ac:dyDescent="0.3">
      <c r="A28" s="131"/>
      <c r="B28" s="33" t="s">
        <v>75</v>
      </c>
      <c r="C28" s="33" t="s">
        <v>44</v>
      </c>
      <c r="D28" s="33" t="s">
        <v>88</v>
      </c>
      <c r="E28" s="33" t="s">
        <v>25</v>
      </c>
      <c r="F28" s="33" t="s">
        <v>25</v>
      </c>
      <c r="G28" s="32" t="s">
        <v>76</v>
      </c>
      <c r="H28" s="32" t="s">
        <v>72</v>
      </c>
      <c r="I28" s="32">
        <f>'MERCADO TE'!$U$25</f>
        <v>0</v>
      </c>
      <c r="J28" s="17"/>
      <c r="L28" s="30">
        <f>1 - CUSTOS!$M$29</f>
        <v>1</v>
      </c>
      <c r="M28" s="30">
        <f>1 - CUSTOS!$M$29</f>
        <v>1</v>
      </c>
      <c r="N28" s="30">
        <f>1 - CUSTOS!$M$29</f>
        <v>1</v>
      </c>
      <c r="O28" s="30">
        <f>1 - CUSTOS!$M$29</f>
        <v>1</v>
      </c>
      <c r="P28" s="30"/>
      <c r="Q28" s="30">
        <f>(1 - CUSTOS!$M$29)*1</f>
        <v>1</v>
      </c>
      <c r="R28" s="30"/>
      <c r="S28" s="30">
        <f>1 - CUSTOS!$M$29</f>
        <v>1</v>
      </c>
      <c r="T28" s="30">
        <f>1 - CUSTOS!$M$29</f>
        <v>1</v>
      </c>
      <c r="U28" s="30">
        <f>1 - CUSTOS!$M$29</f>
        <v>1</v>
      </c>
      <c r="V28" s="30"/>
      <c r="W28" s="30"/>
      <c r="X28" s="30"/>
      <c r="Y28" s="30">
        <f>1 - CUSTOS!$M$29</f>
        <v>1</v>
      </c>
      <c r="Z28" s="30"/>
      <c r="AA28" s="30"/>
    </row>
    <row r="29" spans="1:27" ht="11.25" customHeight="1" x14ac:dyDescent="0.3">
      <c r="A29" s="131"/>
      <c r="B29" s="131" t="s">
        <v>71</v>
      </c>
      <c r="C29" s="131" t="s">
        <v>44</v>
      </c>
      <c r="D29" s="131" t="s">
        <v>89</v>
      </c>
      <c r="E29" s="131" t="s">
        <v>25</v>
      </c>
      <c r="F29" s="131" t="s">
        <v>25</v>
      </c>
      <c r="G29" s="32" t="s">
        <v>73</v>
      </c>
      <c r="H29" s="32" t="s">
        <v>72</v>
      </c>
      <c r="I29" s="32">
        <f>'MERCADO TE'!$U$26</f>
        <v>0</v>
      </c>
      <c r="J29" s="17"/>
      <c r="L29" s="30">
        <f>1 - CUSTOS!$M$30</f>
        <v>1</v>
      </c>
      <c r="M29" s="30">
        <f>1 - CUSTOS!$M$30</f>
        <v>1</v>
      </c>
      <c r="N29" s="30">
        <f>1 - CUSTOS!$M$30</f>
        <v>1</v>
      </c>
      <c r="O29" s="30">
        <f>1 - CUSTOS!$M$30</f>
        <v>1</v>
      </c>
      <c r="P29" s="30"/>
      <c r="Q29" s="30">
        <f>(1 - CUSTOS!$M$30)*1</f>
        <v>1</v>
      </c>
      <c r="R29" s="30"/>
      <c r="S29" s="30">
        <f>1 - CUSTOS!$M$30</f>
        <v>1</v>
      </c>
      <c r="T29" s="30">
        <f>1 - CUSTOS!$M$30</f>
        <v>1</v>
      </c>
      <c r="U29" s="30">
        <f>1 - CUSTOS!$M$30</f>
        <v>1</v>
      </c>
      <c r="V29" s="30"/>
      <c r="W29" s="30"/>
      <c r="X29" s="30"/>
      <c r="Y29" s="30">
        <f>1 - CUSTOS!$M$30</f>
        <v>1</v>
      </c>
      <c r="Z29" s="30"/>
      <c r="AA29" s="30"/>
    </row>
    <row r="30" spans="1:27" ht="11.25" customHeight="1" x14ac:dyDescent="0.3">
      <c r="A30" s="131"/>
      <c r="B30" s="131"/>
      <c r="C30" s="131"/>
      <c r="D30" s="131"/>
      <c r="E30" s="131"/>
      <c r="F30" s="131"/>
      <c r="G30" s="32" t="s">
        <v>85</v>
      </c>
      <c r="H30" s="32" t="s">
        <v>72</v>
      </c>
      <c r="I30" s="32">
        <f>'MERCADO TE'!$U$27</f>
        <v>0</v>
      </c>
      <c r="J30" s="17"/>
      <c r="L30" s="30">
        <f>1 - CUSTOS!$M$30</f>
        <v>1</v>
      </c>
      <c r="M30" s="30">
        <f>1 - CUSTOS!$M$30</f>
        <v>1</v>
      </c>
      <c r="N30" s="30">
        <f>1 - CUSTOS!$M$30</f>
        <v>1</v>
      </c>
      <c r="O30" s="30">
        <f>1 - CUSTOS!$M$30</f>
        <v>1</v>
      </c>
      <c r="P30" s="30"/>
      <c r="Q30" s="30">
        <f>(1 - CUSTOS!$M$30)*1</f>
        <v>1</v>
      </c>
      <c r="R30" s="30"/>
      <c r="S30" s="30">
        <f>1 - CUSTOS!$M$30</f>
        <v>1</v>
      </c>
      <c r="T30" s="30">
        <f>1 - CUSTOS!$M$30</f>
        <v>1</v>
      </c>
      <c r="U30" s="30">
        <f>1 - CUSTOS!$M$30</f>
        <v>1</v>
      </c>
      <c r="V30" s="30"/>
      <c r="W30" s="30"/>
      <c r="X30" s="30"/>
      <c r="Y30" s="30">
        <f>1 - CUSTOS!$M$30</f>
        <v>1</v>
      </c>
      <c r="Z30" s="30"/>
      <c r="AA30" s="30"/>
    </row>
    <row r="31" spans="1:27" ht="11.25" customHeight="1" x14ac:dyDescent="0.3">
      <c r="A31" s="131"/>
      <c r="B31" s="131"/>
      <c r="C31" s="131"/>
      <c r="D31" s="131"/>
      <c r="E31" s="131"/>
      <c r="F31" s="131"/>
      <c r="G31" s="32" t="s">
        <v>74</v>
      </c>
      <c r="H31" s="32" t="s">
        <v>72</v>
      </c>
      <c r="I31" s="32">
        <f>'MERCADO TE'!$U$28</f>
        <v>0</v>
      </c>
      <c r="J31" s="17"/>
      <c r="L31" s="30">
        <f>1 - CUSTOS!$M$30</f>
        <v>1</v>
      </c>
      <c r="M31" s="30">
        <f>1 - CUSTOS!$M$30</f>
        <v>1</v>
      </c>
      <c r="N31" s="30">
        <f>1 - CUSTOS!$M$30</f>
        <v>1</v>
      </c>
      <c r="O31" s="30">
        <f>1 - CUSTOS!$M$30</f>
        <v>1</v>
      </c>
      <c r="P31" s="30"/>
      <c r="Q31" s="30">
        <f>(1 - CUSTOS!$M$30)*1</f>
        <v>1</v>
      </c>
      <c r="R31" s="30"/>
      <c r="S31" s="30">
        <f>1 - CUSTOS!$M$30</f>
        <v>1</v>
      </c>
      <c r="T31" s="30">
        <f>1 - CUSTOS!$M$30</f>
        <v>1</v>
      </c>
      <c r="U31" s="30">
        <f>1 - CUSTOS!$M$30</f>
        <v>1</v>
      </c>
      <c r="V31" s="30"/>
      <c r="W31" s="30"/>
      <c r="X31" s="30"/>
      <c r="Y31" s="30">
        <f>1 - CUSTOS!$M$30</f>
        <v>1</v>
      </c>
      <c r="Z31" s="30"/>
      <c r="AA31" s="30"/>
    </row>
    <row r="32" spans="1:27" ht="11.25" customHeight="1" x14ac:dyDescent="0.3">
      <c r="A32" s="131"/>
      <c r="B32" s="33" t="s">
        <v>75</v>
      </c>
      <c r="C32" s="33" t="s">
        <v>44</v>
      </c>
      <c r="D32" s="33" t="s">
        <v>89</v>
      </c>
      <c r="E32" s="33" t="s">
        <v>25</v>
      </c>
      <c r="F32" s="33" t="s">
        <v>25</v>
      </c>
      <c r="G32" s="32" t="s">
        <v>76</v>
      </c>
      <c r="H32" s="32" t="s">
        <v>72</v>
      </c>
      <c r="I32" s="32">
        <f>'MERCADO TE'!$U$29</f>
        <v>0</v>
      </c>
      <c r="J32" s="17"/>
      <c r="L32" s="30">
        <f>1 - CUSTOS!$M$30</f>
        <v>1</v>
      </c>
      <c r="M32" s="30">
        <f>1 - CUSTOS!$M$30</f>
        <v>1</v>
      </c>
      <c r="N32" s="30">
        <f>1 - CUSTOS!$M$30</f>
        <v>1</v>
      </c>
      <c r="O32" s="30">
        <f>1 - CUSTOS!$M$30</f>
        <v>1</v>
      </c>
      <c r="P32" s="30"/>
      <c r="Q32" s="30">
        <f>(1 - CUSTOS!$M$30)*1</f>
        <v>1</v>
      </c>
      <c r="R32" s="30"/>
      <c r="S32" s="30">
        <f>1 - CUSTOS!$M$30</f>
        <v>1</v>
      </c>
      <c r="T32" s="30">
        <f>1 - CUSTOS!$M$30</f>
        <v>1</v>
      </c>
      <c r="U32" s="30">
        <f>1 - CUSTOS!$M$30</f>
        <v>1</v>
      </c>
      <c r="V32" s="30"/>
      <c r="W32" s="30"/>
      <c r="X32" s="30"/>
      <c r="Y32" s="30">
        <f>1 - CUSTOS!$M$30</f>
        <v>1</v>
      </c>
      <c r="Z32" s="30"/>
      <c r="AA32" s="30"/>
    </row>
    <row r="33" spans="1:27" ht="11.25" customHeight="1" x14ac:dyDescent="0.3">
      <c r="A33" s="131"/>
      <c r="B33" s="131" t="s">
        <v>86</v>
      </c>
      <c r="C33" s="131" t="s">
        <v>44</v>
      </c>
      <c r="D33" s="33" t="s">
        <v>25</v>
      </c>
      <c r="E33" s="33" t="s">
        <v>25</v>
      </c>
      <c r="F33" s="33" t="s">
        <v>25</v>
      </c>
      <c r="G33" s="32" t="s">
        <v>76</v>
      </c>
      <c r="H33" s="32" t="s">
        <v>72</v>
      </c>
      <c r="I33" s="32">
        <f>'MERCADO TE'!$U$30</f>
        <v>0</v>
      </c>
      <c r="J33" s="17"/>
      <c r="L33" s="30">
        <f>1 - CUSTOS!$M$28</f>
        <v>1</v>
      </c>
      <c r="M33" s="30">
        <f>1 - CUSTOS!$M$28</f>
        <v>1</v>
      </c>
      <c r="N33" s="30">
        <f>1 - CUSTOS!$M$28</f>
        <v>1</v>
      </c>
      <c r="O33" s="30">
        <f>1 - CUSTOS!$M$28</f>
        <v>1</v>
      </c>
      <c r="P33" s="30"/>
      <c r="Q33" s="30">
        <f>(1 - CUSTOS!$M$28)*1</f>
        <v>1</v>
      </c>
      <c r="R33" s="30"/>
      <c r="S33" s="30">
        <f>1 - CUSTOS!$M$28</f>
        <v>1</v>
      </c>
      <c r="T33" s="30">
        <f>1 - CUSTOS!$M$28</f>
        <v>1</v>
      </c>
      <c r="U33" s="30">
        <f>1 - CUSTOS!$M$28</f>
        <v>1</v>
      </c>
      <c r="V33" s="30"/>
      <c r="W33" s="30"/>
      <c r="X33" s="30"/>
      <c r="Y33" s="30">
        <f>1 - CUSTOS!$M$28</f>
        <v>1</v>
      </c>
      <c r="Z33" s="30"/>
      <c r="AA33" s="30"/>
    </row>
    <row r="34" spans="1:27" ht="11.25" customHeight="1" x14ac:dyDescent="0.3">
      <c r="A34" s="131"/>
      <c r="B34" s="131"/>
      <c r="C34" s="131"/>
      <c r="D34" s="33" t="s">
        <v>88</v>
      </c>
      <c r="E34" s="33" t="s">
        <v>25</v>
      </c>
      <c r="F34" s="33" t="s">
        <v>25</v>
      </c>
      <c r="G34" s="32" t="s">
        <v>76</v>
      </c>
      <c r="H34" s="32" t="s">
        <v>72</v>
      </c>
      <c r="I34" s="32">
        <f>'MERCADO TE'!$U$31</f>
        <v>0</v>
      </c>
      <c r="J34" s="17"/>
      <c r="L34" s="30">
        <f>1 - CUSTOS!$M$29</f>
        <v>1</v>
      </c>
      <c r="M34" s="30">
        <f>1 - CUSTOS!$M$29</f>
        <v>1</v>
      </c>
      <c r="N34" s="30">
        <f>1 - CUSTOS!$M$29</f>
        <v>1</v>
      </c>
      <c r="O34" s="30">
        <f>1 - CUSTOS!$M$29</f>
        <v>1</v>
      </c>
      <c r="P34" s="30"/>
      <c r="Q34" s="30">
        <f>(1 - CUSTOS!$M$29)*1</f>
        <v>1</v>
      </c>
      <c r="R34" s="30"/>
      <c r="S34" s="30">
        <f>1 - CUSTOS!$M$29</f>
        <v>1</v>
      </c>
      <c r="T34" s="30">
        <f>1 - CUSTOS!$M$29</f>
        <v>1</v>
      </c>
      <c r="U34" s="30">
        <f>1 - CUSTOS!$M$29</f>
        <v>1</v>
      </c>
      <c r="V34" s="30"/>
      <c r="W34" s="30"/>
      <c r="X34" s="30"/>
      <c r="Y34" s="30">
        <f>1 - CUSTOS!$M$29</f>
        <v>1</v>
      </c>
      <c r="Z34" s="30"/>
      <c r="AA34" s="30"/>
    </row>
    <row r="35" spans="1:27" ht="11.25" customHeight="1" x14ac:dyDescent="0.3">
      <c r="A35" s="131"/>
      <c r="B35" s="131"/>
      <c r="C35" s="131"/>
      <c r="D35" s="33" t="s">
        <v>89</v>
      </c>
      <c r="E35" s="33" t="s">
        <v>25</v>
      </c>
      <c r="F35" s="33" t="s">
        <v>25</v>
      </c>
      <c r="G35" s="32" t="s">
        <v>76</v>
      </c>
      <c r="H35" s="32" t="s">
        <v>72</v>
      </c>
      <c r="I35" s="32">
        <f>'MERCADO TE'!$U$32</f>
        <v>0</v>
      </c>
      <c r="J35" s="17"/>
      <c r="L35" s="30">
        <f>1 - CUSTOS!$M$30</f>
        <v>1</v>
      </c>
      <c r="M35" s="30">
        <f>1 - CUSTOS!$M$30</f>
        <v>1</v>
      </c>
      <c r="N35" s="30">
        <f>1 - CUSTOS!$M$30</f>
        <v>1</v>
      </c>
      <c r="O35" s="30">
        <f>1 - CUSTOS!$M$30</f>
        <v>1</v>
      </c>
      <c r="P35" s="30"/>
      <c r="Q35" s="30">
        <f>(1 - CUSTOS!$M$30)*1</f>
        <v>1</v>
      </c>
      <c r="R35" s="30"/>
      <c r="S35" s="30">
        <f>1 - CUSTOS!$M$30</f>
        <v>1</v>
      </c>
      <c r="T35" s="30">
        <f>1 - CUSTOS!$M$30</f>
        <v>1</v>
      </c>
      <c r="U35" s="30">
        <f>1 - CUSTOS!$M$30</f>
        <v>1</v>
      </c>
      <c r="V35" s="30"/>
      <c r="W35" s="30"/>
      <c r="X35" s="30"/>
      <c r="Y35" s="30">
        <f>1 - CUSTOS!$M$30</f>
        <v>1</v>
      </c>
      <c r="Z35" s="30"/>
      <c r="AA35" s="30"/>
    </row>
    <row r="36" spans="1:27" ht="11.25" customHeight="1" x14ac:dyDescent="0.3">
      <c r="A36" s="131" t="s">
        <v>35</v>
      </c>
      <c r="B36" s="131" t="s">
        <v>71</v>
      </c>
      <c r="C36" s="131" t="s">
        <v>25</v>
      </c>
      <c r="D36" s="131" t="s">
        <v>25</v>
      </c>
      <c r="E36" s="131" t="s">
        <v>25</v>
      </c>
      <c r="F36" s="131" t="s">
        <v>25</v>
      </c>
      <c r="G36" s="32" t="s">
        <v>73</v>
      </c>
      <c r="H36" s="32" t="s">
        <v>72</v>
      </c>
      <c r="I36" s="32">
        <f>'MERCADO TE'!$U$33</f>
        <v>0.38900000000000001</v>
      </c>
      <c r="J36" s="17"/>
      <c r="L36" s="30">
        <f>1 - CUSTOS!$M$31</f>
        <v>1</v>
      </c>
      <c r="M36" s="30">
        <f>1 - CUSTOS!$M$31</f>
        <v>1</v>
      </c>
      <c r="N36" s="30">
        <f>1 - CUSTOS!$M$31</f>
        <v>1</v>
      </c>
      <c r="O36" s="30">
        <f>1 - CUSTOS!$M$31</f>
        <v>1</v>
      </c>
      <c r="P36" s="30"/>
      <c r="Q36" s="30">
        <f>(1 - CUSTOS!$M$31)*1</f>
        <v>1</v>
      </c>
      <c r="R36" s="30"/>
      <c r="S36" s="30">
        <f>1 - CUSTOS!$M$31</f>
        <v>1</v>
      </c>
      <c r="T36" s="30">
        <f>1 - CUSTOS!$M$31</f>
        <v>1</v>
      </c>
      <c r="U36" s="30">
        <f>1 - CUSTOS!$M$31</f>
        <v>1</v>
      </c>
      <c r="V36" s="30"/>
      <c r="W36" s="30"/>
      <c r="X36" s="30"/>
      <c r="Y36" s="30">
        <f>1 - CUSTOS!$M$31</f>
        <v>1</v>
      </c>
      <c r="Z36" s="30"/>
      <c r="AA36" s="30"/>
    </row>
    <row r="37" spans="1:27" ht="11.25" customHeight="1" x14ac:dyDescent="0.3">
      <c r="A37" s="131"/>
      <c r="B37" s="131"/>
      <c r="C37" s="131"/>
      <c r="D37" s="131"/>
      <c r="E37" s="131"/>
      <c r="F37" s="131"/>
      <c r="G37" s="32" t="s">
        <v>85</v>
      </c>
      <c r="H37" s="32" t="s">
        <v>72</v>
      </c>
      <c r="I37" s="32">
        <f>'MERCADO TE'!$U$34</f>
        <v>0.23799999999999999</v>
      </c>
      <c r="J37" s="17"/>
      <c r="L37" s="30">
        <f>1 - CUSTOS!$M$31</f>
        <v>1</v>
      </c>
      <c r="M37" s="30">
        <f>1 - CUSTOS!$M$31</f>
        <v>1</v>
      </c>
      <c r="N37" s="30">
        <f>1 - CUSTOS!$M$31</f>
        <v>1</v>
      </c>
      <c r="O37" s="30">
        <f>1 - CUSTOS!$M$31</f>
        <v>1</v>
      </c>
      <c r="P37" s="30"/>
      <c r="Q37" s="30">
        <f>(1 - CUSTOS!$M$31)*1</f>
        <v>1</v>
      </c>
      <c r="R37" s="30"/>
      <c r="S37" s="30">
        <f>1 - CUSTOS!$M$31</f>
        <v>1</v>
      </c>
      <c r="T37" s="30">
        <f>1 - CUSTOS!$M$31</f>
        <v>1</v>
      </c>
      <c r="U37" s="30">
        <f>1 - CUSTOS!$M$31</f>
        <v>1</v>
      </c>
      <c r="V37" s="30"/>
      <c r="W37" s="30"/>
      <c r="X37" s="30"/>
      <c r="Y37" s="30">
        <f>1 - CUSTOS!$M$31</f>
        <v>1</v>
      </c>
      <c r="Z37" s="30"/>
      <c r="AA37" s="30"/>
    </row>
    <row r="38" spans="1:27" ht="11.25" customHeight="1" x14ac:dyDescent="0.3">
      <c r="A38" s="131"/>
      <c r="B38" s="131"/>
      <c r="C38" s="131"/>
      <c r="D38" s="131"/>
      <c r="E38" s="131"/>
      <c r="F38" s="131"/>
      <c r="G38" s="32" t="s">
        <v>74</v>
      </c>
      <c r="H38" s="32" t="s">
        <v>72</v>
      </c>
      <c r="I38" s="32">
        <f>'MERCADO TE'!$U$35</f>
        <v>2.8279999999999998</v>
      </c>
      <c r="J38" s="17"/>
      <c r="L38" s="30">
        <f>1 - CUSTOS!$M$31</f>
        <v>1</v>
      </c>
      <c r="M38" s="30">
        <f>1 - CUSTOS!$M$31</f>
        <v>1</v>
      </c>
      <c r="N38" s="30">
        <f>1 - CUSTOS!$M$31</f>
        <v>1</v>
      </c>
      <c r="O38" s="30">
        <f>1 - CUSTOS!$M$31</f>
        <v>1</v>
      </c>
      <c r="P38" s="30"/>
      <c r="Q38" s="30">
        <f>(1 - CUSTOS!$M$31)*1</f>
        <v>1</v>
      </c>
      <c r="R38" s="30"/>
      <c r="S38" s="30">
        <f>1 - CUSTOS!$M$31</f>
        <v>1</v>
      </c>
      <c r="T38" s="30">
        <f>1 - CUSTOS!$M$31</f>
        <v>1</v>
      </c>
      <c r="U38" s="30">
        <f>1 - CUSTOS!$M$31</f>
        <v>1</v>
      </c>
      <c r="V38" s="30"/>
      <c r="W38" s="30"/>
      <c r="X38" s="30"/>
      <c r="Y38" s="30">
        <f>1 - CUSTOS!$M$31</f>
        <v>1</v>
      </c>
      <c r="Z38" s="30"/>
      <c r="AA38" s="30"/>
    </row>
    <row r="39" spans="1:27" ht="11.25" customHeight="1" x14ac:dyDescent="0.3">
      <c r="A39" s="131"/>
      <c r="B39" s="33" t="s">
        <v>75</v>
      </c>
      <c r="C39" s="33" t="s">
        <v>25</v>
      </c>
      <c r="D39" s="33" t="s">
        <v>25</v>
      </c>
      <c r="E39" s="33" t="s">
        <v>25</v>
      </c>
      <c r="F39" s="33" t="s">
        <v>25</v>
      </c>
      <c r="G39" s="32" t="s">
        <v>76</v>
      </c>
      <c r="H39" s="32" t="s">
        <v>72</v>
      </c>
      <c r="I39" s="32">
        <f>'MERCADO TE'!$U$36</f>
        <v>1798.9960000000001</v>
      </c>
      <c r="J39" s="17"/>
      <c r="L39" s="30">
        <f>1 - CUSTOS!$M$31</f>
        <v>1</v>
      </c>
      <c r="M39" s="30">
        <f>1 - CUSTOS!$M$31</f>
        <v>1</v>
      </c>
      <c r="N39" s="30">
        <f>1 - CUSTOS!$M$31</f>
        <v>1</v>
      </c>
      <c r="O39" s="30">
        <f>1 - CUSTOS!$M$31</f>
        <v>1</v>
      </c>
      <c r="P39" s="30"/>
      <c r="Q39" s="30">
        <f>(1 - CUSTOS!$M$31)*1</f>
        <v>1</v>
      </c>
      <c r="R39" s="30"/>
      <c r="S39" s="30">
        <f>1 - CUSTOS!$M$31</f>
        <v>1</v>
      </c>
      <c r="T39" s="30">
        <f>1 - CUSTOS!$M$31</f>
        <v>1</v>
      </c>
      <c r="U39" s="30">
        <f>1 - CUSTOS!$M$31</f>
        <v>1</v>
      </c>
      <c r="V39" s="30"/>
      <c r="W39" s="30"/>
      <c r="X39" s="30"/>
      <c r="Y39" s="30">
        <f>1 - CUSTOS!$M$31</f>
        <v>1</v>
      </c>
      <c r="Z39" s="30"/>
      <c r="AA39" s="30"/>
    </row>
    <row r="40" spans="1:27" ht="11.25" customHeight="1" x14ac:dyDescent="0.3">
      <c r="A40" s="131"/>
      <c r="B40" s="33" t="s">
        <v>86</v>
      </c>
      <c r="C40" s="33" t="s">
        <v>25</v>
      </c>
      <c r="D40" s="33" t="s">
        <v>25</v>
      </c>
      <c r="E40" s="33" t="s">
        <v>25</v>
      </c>
      <c r="F40" s="33" t="s">
        <v>25</v>
      </c>
      <c r="G40" s="32" t="s">
        <v>76</v>
      </c>
      <c r="H40" s="32" t="s">
        <v>72</v>
      </c>
      <c r="I40" s="32">
        <f>'MERCADO TE'!$U$37</f>
        <v>0</v>
      </c>
      <c r="J40" s="17"/>
      <c r="L40" s="30">
        <f>1 - CUSTOS!$M$31</f>
        <v>1</v>
      </c>
      <c r="M40" s="30">
        <f>1 - CUSTOS!$M$31</f>
        <v>1</v>
      </c>
      <c r="N40" s="30">
        <f>1 - CUSTOS!$M$31</f>
        <v>1</v>
      </c>
      <c r="O40" s="30">
        <f>1 - CUSTOS!$M$31</f>
        <v>1</v>
      </c>
      <c r="P40" s="30"/>
      <c r="Q40" s="30">
        <f>(1 - CUSTOS!$M$31)*1</f>
        <v>1</v>
      </c>
      <c r="R40" s="30"/>
      <c r="S40" s="30">
        <f>1 - CUSTOS!$M$31</f>
        <v>1</v>
      </c>
      <c r="T40" s="30">
        <f>1 - CUSTOS!$M$31</f>
        <v>1</v>
      </c>
      <c r="U40" s="30">
        <f>1 - CUSTOS!$M$31</f>
        <v>1</v>
      </c>
      <c r="V40" s="30"/>
      <c r="W40" s="30"/>
      <c r="X40" s="30"/>
      <c r="Y40" s="30">
        <f>1 - CUSTOS!$M$31</f>
        <v>1</v>
      </c>
      <c r="Z40" s="30"/>
      <c r="AA40" s="30"/>
    </row>
    <row r="41" spans="1:27" ht="11.25" customHeight="1" x14ac:dyDescent="0.3">
      <c r="A41" s="131" t="s">
        <v>46</v>
      </c>
      <c r="B41" s="131" t="s">
        <v>75</v>
      </c>
      <c r="C41" s="131" t="s">
        <v>47</v>
      </c>
      <c r="D41" s="33" t="s">
        <v>48</v>
      </c>
      <c r="E41" s="33" t="s">
        <v>25</v>
      </c>
      <c r="F41" s="33" t="s">
        <v>25</v>
      </c>
      <c r="G41" s="32" t="s">
        <v>76</v>
      </c>
      <c r="H41" s="32" t="s">
        <v>72</v>
      </c>
      <c r="I41" s="32">
        <f>'MERCADO TE'!$U$38</f>
        <v>3164.4159999999997</v>
      </c>
      <c r="J41" s="17"/>
      <c r="L41" s="30">
        <f>1 - CUSTOS!$M$32</f>
        <v>0.55000000000000004</v>
      </c>
      <c r="M41" s="30">
        <f>1 - CUSTOS!$M$32</f>
        <v>0.55000000000000004</v>
      </c>
      <c r="N41" s="30">
        <f>1 - CUSTOS!$M$32</f>
        <v>0.55000000000000004</v>
      </c>
      <c r="O41" s="30">
        <f>1 - CUSTOS!$M$32</f>
        <v>0.55000000000000004</v>
      </c>
      <c r="P41" s="30"/>
      <c r="Q41" s="30">
        <f>(1 - CUSTOS!$M$32)*1</f>
        <v>0.55000000000000004</v>
      </c>
      <c r="R41" s="30"/>
      <c r="S41" s="30">
        <f>1 - CUSTOS!$M$32</f>
        <v>0.55000000000000004</v>
      </c>
      <c r="T41" s="30">
        <f>1 - CUSTOS!$M$32</f>
        <v>0.55000000000000004</v>
      </c>
      <c r="U41" s="30">
        <f>1 - CUSTOS!$M$32</f>
        <v>0.55000000000000004</v>
      </c>
      <c r="V41" s="30"/>
      <c r="W41" s="30"/>
      <c r="X41" s="30"/>
      <c r="Y41" s="30">
        <f>1 - CUSTOS!$M$32</f>
        <v>0.55000000000000004</v>
      </c>
      <c r="Z41" s="30"/>
      <c r="AA41" s="30"/>
    </row>
    <row r="42" spans="1:27" ht="11.25" customHeight="1" x14ac:dyDescent="0.3">
      <c r="A42" s="131"/>
      <c r="B42" s="131"/>
      <c r="C42" s="131"/>
      <c r="D42" s="32" t="s">
        <v>90</v>
      </c>
      <c r="E42" s="32" t="s">
        <v>25</v>
      </c>
      <c r="F42" s="32" t="s">
        <v>25</v>
      </c>
      <c r="G42" s="32" t="s">
        <v>76</v>
      </c>
      <c r="H42" s="32" t="s">
        <v>72</v>
      </c>
      <c r="I42" s="32">
        <f>'MERCADO TE'!$U$39</f>
        <v>0</v>
      </c>
      <c r="J42" s="17"/>
      <c r="L42" s="30">
        <f>1 - CUSTOS!$M$33</f>
        <v>0.6</v>
      </c>
      <c r="M42" s="30">
        <f>1 - CUSTOS!$M$33</f>
        <v>0.6</v>
      </c>
      <c r="N42" s="30">
        <f>1 - CUSTOS!$M$33</f>
        <v>0.6</v>
      </c>
      <c r="O42" s="30">
        <f>1 - CUSTOS!$M$33</f>
        <v>0.6</v>
      </c>
      <c r="P42" s="30"/>
      <c r="Q42" s="30">
        <f>(1 - CUSTOS!$M$33)*1</f>
        <v>0.6</v>
      </c>
      <c r="R42" s="30"/>
      <c r="S42" s="30">
        <f>1 - CUSTOS!$M$33</f>
        <v>0.6</v>
      </c>
      <c r="T42" s="30">
        <f>1 - CUSTOS!$M$33</f>
        <v>0.6</v>
      </c>
      <c r="U42" s="30">
        <f>1 - CUSTOS!$M$33</f>
        <v>0.6</v>
      </c>
      <c r="V42" s="30"/>
      <c r="W42" s="30"/>
      <c r="X42" s="30"/>
      <c r="Y42" s="30">
        <f>1 - CUSTOS!$M$33</f>
        <v>0.6</v>
      </c>
      <c r="Z42" s="30"/>
      <c r="AA42" s="30"/>
    </row>
    <row r="44" spans="1:27" ht="11.25" customHeight="1" x14ac:dyDescent="0.3">
      <c r="K44" s="35" t="s">
        <v>592</v>
      </c>
      <c r="L44" s="30">
        <f t="shared" ref="L44:AA44" si="0">SUMPRODUCT($I$5:$I$42,L$5:L$42)</f>
        <v>17546.4908</v>
      </c>
      <c r="M44" s="30">
        <f t="shared" si="0"/>
        <v>17546.4908</v>
      </c>
      <c r="N44" s="30">
        <f t="shared" si="0"/>
        <v>17546.4908</v>
      </c>
      <c r="O44" s="30">
        <f t="shared" si="0"/>
        <v>17546.4908</v>
      </c>
      <c r="P44" s="30">
        <f t="shared" si="0"/>
        <v>0</v>
      </c>
      <c r="Q44" s="30">
        <f t="shared" si="0"/>
        <v>17546.4908</v>
      </c>
      <c r="R44" s="30">
        <f t="shared" si="0"/>
        <v>0</v>
      </c>
      <c r="S44" s="30">
        <f t="shared" si="0"/>
        <v>17546.4908</v>
      </c>
      <c r="T44" s="30">
        <f t="shared" si="0"/>
        <v>17546.4908</v>
      </c>
      <c r="U44" s="30">
        <f t="shared" si="0"/>
        <v>17546.4908</v>
      </c>
      <c r="V44" s="30">
        <f t="shared" si="0"/>
        <v>0</v>
      </c>
      <c r="W44" s="30">
        <f t="shared" si="0"/>
        <v>0</v>
      </c>
      <c r="X44" s="30">
        <f t="shared" si="0"/>
        <v>0</v>
      </c>
      <c r="Y44" s="30">
        <f t="shared" si="0"/>
        <v>17546.4908</v>
      </c>
      <c r="Z44" s="30">
        <f t="shared" si="0"/>
        <v>0</v>
      </c>
      <c r="AA44" s="30">
        <f t="shared" si="0"/>
        <v>0</v>
      </c>
    </row>
    <row r="45" spans="1:27" ht="11.25" customHeight="1" x14ac:dyDescent="0.3">
      <c r="K45" s="35" t="s">
        <v>511</v>
      </c>
      <c r="L45" s="30">
        <f>CUSTOS!$D$30</f>
        <v>0</v>
      </c>
      <c r="M45" s="30">
        <f>CUSTOS!$D$31</f>
        <v>0</v>
      </c>
      <c r="N45" s="30">
        <f>CUSTOS!$D$32</f>
        <v>0</v>
      </c>
      <c r="O45" s="30">
        <f>CUSTOS!$D$33</f>
        <v>0</v>
      </c>
      <c r="P45" s="30">
        <f>CUSTOS!$D$34</f>
        <v>0</v>
      </c>
      <c r="Q45" s="30">
        <f>CUSTOS!$D$35</f>
        <v>4449489.0916342959</v>
      </c>
      <c r="R45" s="30">
        <f>CUSTOS!$D$36</f>
        <v>4449489.0916342959</v>
      </c>
      <c r="S45" s="30">
        <f>CUSTOS!$D$37</f>
        <v>0</v>
      </c>
      <c r="T45" s="30">
        <f>CUSTOS!$D$38</f>
        <v>0</v>
      </c>
      <c r="U45" s="30">
        <f>CUSTOS!$D$39</f>
        <v>0</v>
      </c>
      <c r="V45" s="30">
        <f>CUSTOS!$D$40</f>
        <v>0</v>
      </c>
      <c r="W45" s="30">
        <f>CUSTOS!$D$41</f>
        <v>0</v>
      </c>
      <c r="X45" s="30">
        <f>CUSTOS!$D$42</f>
        <v>0</v>
      </c>
      <c r="Y45" s="30">
        <f>CUSTOS!$D$43</f>
        <v>0</v>
      </c>
      <c r="Z45" s="30">
        <f>CUSTOS!$D$44</f>
        <v>0</v>
      </c>
      <c r="AA45" s="30">
        <f>CUSTOS!$D$45</f>
        <v>4449489.0916342959</v>
      </c>
    </row>
    <row r="46" spans="1:27" ht="11.25" customHeight="1" x14ac:dyDescent="0.3">
      <c r="K46" s="35" t="s">
        <v>512</v>
      </c>
      <c r="L46" s="30">
        <f>CUSTOS!$E$30</f>
        <v>0</v>
      </c>
      <c r="M46" s="30">
        <f>CUSTOS!$E$31</f>
        <v>0</v>
      </c>
      <c r="N46" s="30">
        <f>CUSTOS!$E$32</f>
        <v>0</v>
      </c>
      <c r="O46" s="30">
        <f>CUSTOS!$E$33</f>
        <v>0</v>
      </c>
      <c r="P46" s="30">
        <f>CUSTOS!$E$34</f>
        <v>0</v>
      </c>
      <c r="Q46" s="30">
        <f>CUSTOS!$E$35</f>
        <v>1353676.9560117545</v>
      </c>
      <c r="R46" s="30">
        <f>CUSTOS!$E$36</f>
        <v>1353676.9560117545</v>
      </c>
      <c r="S46" s="30">
        <f>CUSTOS!$E$37</f>
        <v>0</v>
      </c>
      <c r="T46" s="30">
        <f>CUSTOS!$E$38</f>
        <v>0</v>
      </c>
      <c r="U46" s="30">
        <f>CUSTOS!$E$39</f>
        <v>0</v>
      </c>
      <c r="V46" s="30">
        <f>CUSTOS!$E$40</f>
        <v>0</v>
      </c>
      <c r="W46" s="30">
        <f>CUSTOS!$E$41</f>
        <v>0</v>
      </c>
      <c r="X46" s="30">
        <f>CUSTOS!$E$42</f>
        <v>0</v>
      </c>
      <c r="Y46" s="30">
        <f>CUSTOS!$E$43</f>
        <v>0</v>
      </c>
      <c r="Z46" s="30">
        <f>CUSTOS!$E$44</f>
        <v>0</v>
      </c>
      <c r="AA46" s="30">
        <f>CUSTOS!$E$45</f>
        <v>1353676.9560117545</v>
      </c>
    </row>
    <row r="47" spans="1:27" ht="11.25" customHeight="1" x14ac:dyDescent="0.3">
      <c r="K47" s="35" t="s">
        <v>513</v>
      </c>
      <c r="L47" s="30">
        <f>CUSTOS!$F$30</f>
        <v>0</v>
      </c>
      <c r="M47" s="30">
        <f>CUSTOS!$F$31</f>
        <v>0</v>
      </c>
      <c r="N47" s="30">
        <f>CUSTOS!$F$32</f>
        <v>0</v>
      </c>
      <c r="O47" s="30">
        <f>CUSTOS!$F$33</f>
        <v>0</v>
      </c>
      <c r="P47" s="30">
        <f>CUSTOS!$F$34</f>
        <v>0</v>
      </c>
      <c r="Q47" s="30">
        <f>CUSTOS!$F$35</f>
        <v>0</v>
      </c>
      <c r="R47" s="30">
        <f>CUSTOS!$F$36</f>
        <v>0</v>
      </c>
      <c r="S47" s="30">
        <f>CUSTOS!$F$37</f>
        <v>0</v>
      </c>
      <c r="T47" s="30">
        <f>CUSTOS!$F$38</f>
        <v>0</v>
      </c>
      <c r="U47" s="30">
        <f>CUSTOS!$F$39</f>
        <v>0</v>
      </c>
      <c r="V47" s="30">
        <f>CUSTOS!$F$40</f>
        <v>0</v>
      </c>
      <c r="W47" s="30">
        <f>CUSTOS!$F$41</f>
        <v>0</v>
      </c>
      <c r="X47" s="30">
        <f>CUSTOS!$F$42</f>
        <v>0</v>
      </c>
      <c r="Y47" s="30">
        <f>CUSTOS!$F$43</f>
        <v>0</v>
      </c>
      <c r="Z47" s="30">
        <f>CUSTOS!$F$44</f>
        <v>0</v>
      </c>
      <c r="AA47" s="30">
        <f>CUSTOS!$F$45</f>
        <v>0</v>
      </c>
    </row>
    <row r="48" spans="1:27" ht="11.25" customHeight="1" x14ac:dyDescent="0.3">
      <c r="K48" s="35" t="s">
        <v>593</v>
      </c>
      <c r="L48" s="30">
        <f>IF(SUMPRODUCT($I$5:$I$42,$L$5:$L$42)&lt;&gt;0,L45/SUMPRODUCT($I$5:$I$42,$L$5:$L$42),0)</f>
        <v>0</v>
      </c>
      <c r="M48" s="30">
        <f>IF(SUMPRODUCT($I$5:$I$42,$M$5:$M$42)&lt;&gt;0,M45/SUMPRODUCT($I$5:$I$42,$M$5:$M$42),0)</f>
        <v>0</v>
      </c>
      <c r="N48" s="30">
        <f>IF(SUMPRODUCT($I$5:$I$42,$N$5:$N$42)&lt;&gt;0,N45/SUMPRODUCT($I$5:$I$42,$N$5:$N$42),0)</f>
        <v>0</v>
      </c>
      <c r="O48" s="30">
        <f>IF(SUMPRODUCT($I$5:$I$42,$O$5:$O$42)&lt;&gt;0,O45/SUMPRODUCT($I$5:$I$42,$O$5:$O$42),0)</f>
        <v>0</v>
      </c>
      <c r="P48" s="30"/>
      <c r="Q48" s="30">
        <f>IF((CUSTOS!$M$12-CUSTOS!$M$13)&lt;&gt;0,(CUSTOS!$M$12*CUSTOS!$M$14)/(CUSTOS!$M$12-CUSTOS!$M$13),0)</f>
        <v>238.65047909999998</v>
      </c>
      <c r="R48" s="30"/>
      <c r="S48" s="30">
        <f>IF(SUMPRODUCT($I$5:$I$42,$S$5:$S$42)&lt;&gt;0,S45/SUMPRODUCT($I$5:$I$42,$S$5:$S$42),0)</f>
        <v>0</v>
      </c>
      <c r="T48" s="30">
        <f>IF(SUMPRODUCT($I$5:$I$42,$T$5:$T$42)&lt;&gt;0,T45/SUMPRODUCT($I$5:$I$42,$T$5:$T$42),0)</f>
        <v>0</v>
      </c>
      <c r="U48" s="30">
        <f>IF(SUMPRODUCT($I$5:$I$42,$U$5:$U$42)&lt;&gt;0,U45/SUMPRODUCT($I$5:$I$42,$U$5:$U$42),0)</f>
        <v>0</v>
      </c>
      <c r="V48" s="30"/>
      <c r="W48" s="30">
        <f>IF(SUMPRODUCT($I$5:$I$42,$W$5:$W$42)&lt;&gt;0,W45/SUMPRODUCT($I$5:$I$42,$W$5:$W$42),0)</f>
        <v>0</v>
      </c>
      <c r="X48" s="30"/>
      <c r="Y48" s="30">
        <f>IF(SUMPRODUCT($I$5:$I$42,$Y$5:$Y$42)&lt;&gt;0,Y45/SUMPRODUCT($I$5:$I$42,$Y$5:$Y$42),0)</f>
        <v>0</v>
      </c>
      <c r="Z48" s="30"/>
      <c r="AA48" s="30"/>
    </row>
    <row r="49" spans="11:27" ht="11.25" customHeight="1" x14ac:dyDescent="0.3">
      <c r="K49" s="35" t="s">
        <v>594</v>
      </c>
      <c r="L49" s="30">
        <f>IF(L44&lt;&gt;0,(L45-L48*0)/(L44-0),0)</f>
        <v>0</v>
      </c>
      <c r="M49" s="30">
        <f>IF(M44&lt;&gt;0,(M45-M48*0)/(M44-0),0)</f>
        <v>0</v>
      </c>
      <c r="N49" s="30">
        <f>IF(N44&lt;&gt;0,(N45-N48*0)/(N44-0),0)</f>
        <v>0</v>
      </c>
      <c r="O49" s="30">
        <f>IF(O44&lt;&gt;0,(O45-O48*0)/(O44-0),0)</f>
        <v>0</v>
      </c>
      <c r="P49" s="30"/>
      <c r="Q49" s="30">
        <f>IF(Q44&lt;&gt;0,(Q45-Q48*0)/(Q44-0),0)</f>
        <v>253.58284698352881</v>
      </c>
      <c r="R49" s="30"/>
      <c r="S49" s="30">
        <f>IF(S44&lt;&gt;0,(S45-S48*0)/(S44-0),0)</f>
        <v>0</v>
      </c>
      <c r="T49" s="30">
        <f>IF(T44&lt;&gt;0,(T45-T48*0)/(T44-0),0)</f>
        <v>0</v>
      </c>
      <c r="U49" s="30">
        <f>IF(U44&lt;&gt;0,(U45-U48*0)/(U44-0),0)</f>
        <v>0</v>
      </c>
      <c r="V49" s="30"/>
      <c r="W49" s="30">
        <f>IF(W44&lt;&gt;0,(W45-W48*0)/(W44-0),0)</f>
        <v>0</v>
      </c>
      <c r="X49" s="30"/>
      <c r="Y49" s="30">
        <f>IF(Y44&lt;&gt;0,(Y45-Y48*0)/(Y44-0),0)</f>
        <v>0</v>
      </c>
      <c r="Z49" s="30"/>
      <c r="AA49" s="30"/>
    </row>
    <row r="50" spans="11:27" ht="11.25" customHeight="1" x14ac:dyDescent="0.3">
      <c r="K50" s="35" t="s">
        <v>595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</sheetData>
  <mergeCells count="61">
    <mergeCell ref="F5:F6"/>
    <mergeCell ref="A5:A7"/>
    <mergeCell ref="B5:B6"/>
    <mergeCell ref="C5:C6"/>
    <mergeCell ref="D5:D6"/>
    <mergeCell ref="E5:E6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E29:E31"/>
    <mergeCell ref="F29:F31"/>
    <mergeCell ref="A21:A35"/>
    <mergeCell ref="B21:B23"/>
    <mergeCell ref="C21:C23"/>
    <mergeCell ref="D21:D23"/>
    <mergeCell ref="E21:E23"/>
    <mergeCell ref="F21:F23"/>
    <mergeCell ref="B25:B27"/>
    <mergeCell ref="C25:C27"/>
    <mergeCell ref="D25:D27"/>
    <mergeCell ref="E25:E27"/>
    <mergeCell ref="F1:F4"/>
    <mergeCell ref="E36:E38"/>
    <mergeCell ref="F36:F38"/>
    <mergeCell ref="A41:A42"/>
    <mergeCell ref="B41:B42"/>
    <mergeCell ref="C41:C42"/>
    <mergeCell ref="B33:B35"/>
    <mergeCell ref="C33:C35"/>
    <mergeCell ref="A36:A40"/>
    <mergeCell ref="B36:B38"/>
    <mergeCell ref="C36:C38"/>
    <mergeCell ref="D36:D38"/>
    <mergeCell ref="F25:F27"/>
    <mergeCell ref="B29:B31"/>
    <mergeCell ref="C29:C31"/>
    <mergeCell ref="D29:D31"/>
    <mergeCell ref="A1:A4"/>
    <mergeCell ref="B1:B4"/>
    <mergeCell ref="C1:C4"/>
    <mergeCell ref="D1:D4"/>
    <mergeCell ref="E1:E4"/>
    <mergeCell ref="Y3:Z3"/>
    <mergeCell ref="AA3:AA4"/>
    <mergeCell ref="G1:G4"/>
    <mergeCell ref="H1:H4"/>
    <mergeCell ref="I1:I4"/>
    <mergeCell ref="J1:J4"/>
    <mergeCell ref="L1:AA1"/>
    <mergeCell ref="L2:AA2"/>
    <mergeCell ref="L3:P3"/>
    <mergeCell ref="Q3:R3"/>
    <mergeCell ref="S3:V3"/>
    <mergeCell ref="W3:X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18D8-42F8-4216-9EF6-57554D3E85C9}">
  <dimension ref="A1:AA50"/>
  <sheetViews>
    <sheetView showGridLines="0" topLeftCell="Q26" workbookViewId="0">
      <selection activeCell="AA44" sqref="AA44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" style="9" bestFit="1" customWidth="1"/>
    <col min="10" max="10" width="9.109375" style="9"/>
    <col min="11" max="11" width="20" style="9" bestFit="1" customWidth="1"/>
    <col min="12" max="14" width="7.88671875" style="9" bestFit="1" customWidth="1"/>
    <col min="15" max="15" width="11.109375" style="9" bestFit="1" customWidth="1"/>
    <col min="16" max="16" width="9.33203125" style="9" bestFit="1" customWidth="1"/>
    <col min="17" max="17" width="15" style="9" bestFit="1" customWidth="1"/>
    <col min="18" max="18" width="10" style="9" bestFit="1" customWidth="1"/>
    <col min="19" max="19" width="7.88671875" style="9" bestFit="1" customWidth="1"/>
    <col min="20" max="20" width="10.44140625" style="9" bestFit="1" customWidth="1"/>
    <col min="21" max="21" width="7.88671875" style="9" bestFit="1" customWidth="1"/>
    <col min="22" max="22" width="9.33203125" style="9" bestFit="1" customWidth="1"/>
    <col min="23" max="23" width="8" style="9" bestFit="1" customWidth="1"/>
    <col min="24" max="24" width="9.33203125" style="9" bestFit="1" customWidth="1"/>
    <col min="25" max="25" width="11" style="9" bestFit="1" customWidth="1"/>
    <col min="26" max="26" width="9.33203125" style="9" bestFit="1" customWidth="1"/>
    <col min="27" max="27" width="10" style="9" bestFit="1" customWidth="1"/>
    <col min="28" max="16384" width="9.109375" style="9"/>
  </cols>
  <sheetData>
    <row r="1" spans="1:27" ht="11.25" customHeight="1" x14ac:dyDescent="0.3">
      <c r="A1" s="130" t="s">
        <v>62</v>
      </c>
      <c r="B1" s="130" t="s">
        <v>63</v>
      </c>
      <c r="C1" s="130" t="s">
        <v>64</v>
      </c>
      <c r="D1" s="130" t="s">
        <v>65</v>
      </c>
      <c r="E1" s="130" t="s">
        <v>66</v>
      </c>
      <c r="F1" s="130" t="s">
        <v>15</v>
      </c>
      <c r="G1" s="130" t="s">
        <v>68</v>
      </c>
      <c r="H1" s="130" t="s">
        <v>69</v>
      </c>
      <c r="I1" s="130" t="s">
        <v>570</v>
      </c>
      <c r="J1" s="118"/>
      <c r="L1" s="128" t="s">
        <v>596</v>
      </c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</row>
    <row r="2" spans="1:27" ht="11.25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18"/>
      <c r="L2" s="128" t="s">
        <v>498</v>
      </c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ht="11.25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18"/>
      <c r="L3" s="128" t="s">
        <v>471</v>
      </c>
      <c r="M3" s="128"/>
      <c r="N3" s="128"/>
      <c r="O3" s="128"/>
      <c r="P3" s="128"/>
      <c r="Q3" s="128" t="s">
        <v>501</v>
      </c>
      <c r="R3" s="128"/>
      <c r="S3" s="128" t="s">
        <v>480</v>
      </c>
      <c r="T3" s="128"/>
      <c r="U3" s="128"/>
      <c r="V3" s="128"/>
      <c r="W3" s="128" t="s">
        <v>490</v>
      </c>
      <c r="X3" s="128"/>
      <c r="Y3" s="128" t="s">
        <v>493</v>
      </c>
      <c r="Z3" s="128"/>
      <c r="AA3" s="128" t="s">
        <v>479</v>
      </c>
    </row>
    <row r="4" spans="1:27" ht="11.25" customHeight="1" x14ac:dyDescent="0.3">
      <c r="A4" s="130"/>
      <c r="B4" s="130"/>
      <c r="C4" s="130"/>
      <c r="D4" s="130"/>
      <c r="E4" s="130"/>
      <c r="F4" s="130"/>
      <c r="G4" s="130"/>
      <c r="H4" s="130"/>
      <c r="I4" s="130"/>
      <c r="J4" s="118"/>
      <c r="L4" s="34" t="s">
        <v>473</v>
      </c>
      <c r="M4" s="34" t="s">
        <v>499</v>
      </c>
      <c r="N4" s="34" t="s">
        <v>500</v>
      </c>
      <c r="O4" s="34" t="s">
        <v>558</v>
      </c>
      <c r="P4" s="34" t="s">
        <v>479</v>
      </c>
      <c r="Q4" s="34" t="s">
        <v>502</v>
      </c>
      <c r="R4" s="34" t="s">
        <v>479</v>
      </c>
      <c r="S4" s="34" t="s">
        <v>503</v>
      </c>
      <c r="T4" s="34" t="s">
        <v>504</v>
      </c>
      <c r="U4" s="34" t="s">
        <v>505</v>
      </c>
      <c r="V4" s="34" t="s">
        <v>479</v>
      </c>
      <c r="W4" s="34" t="s">
        <v>491</v>
      </c>
      <c r="X4" s="34" t="s">
        <v>479</v>
      </c>
      <c r="Y4" s="34" t="s">
        <v>506</v>
      </c>
      <c r="Z4" s="34" t="s">
        <v>479</v>
      </c>
      <c r="AA4" s="129"/>
    </row>
    <row r="5" spans="1:27" ht="11.25" customHeight="1" x14ac:dyDescent="0.3">
      <c r="A5" s="131" t="s">
        <v>37</v>
      </c>
      <c r="B5" s="131" t="s">
        <v>71</v>
      </c>
      <c r="C5" s="131" t="s">
        <v>25</v>
      </c>
      <c r="D5" s="131" t="s">
        <v>25</v>
      </c>
      <c r="E5" s="131" t="s">
        <v>25</v>
      </c>
      <c r="F5" s="131" t="s">
        <v>25</v>
      </c>
      <c r="G5" s="32" t="s">
        <v>73</v>
      </c>
      <c r="H5" s="32" t="s">
        <v>72</v>
      </c>
      <c r="I5" s="32">
        <f>'MERCADO TE'!$U$2</f>
        <v>89.825000000000003</v>
      </c>
      <c r="J5" s="17"/>
      <c r="L5" s="30">
        <f>'TR TE'!$L$5*'TR TE'!$L$49</f>
        <v>0</v>
      </c>
      <c r="M5" s="30">
        <f>'TR TE'!$M$5*'TR TE'!$M$49</f>
        <v>0</v>
      </c>
      <c r="N5" s="30">
        <f>'TR TE'!$N$5*'TR TE'!$N$49</f>
        <v>0</v>
      </c>
      <c r="O5" s="30">
        <f>'TR TE'!$O$5*'TR TE'!$O$49</f>
        <v>0</v>
      </c>
      <c r="P5" s="30">
        <f>SUM($L$5:$O$5)</f>
        <v>0</v>
      </c>
      <c r="Q5" s="30">
        <f>'TR TE'!$Q$5*'TR TE'!$Q$49</f>
        <v>253.58284698352881</v>
      </c>
      <c r="R5" s="30">
        <f>SUM($Q$5:$Q$5)</f>
        <v>253.58284698352881</v>
      </c>
      <c r="S5" s="30">
        <f>'TR TE'!$S$5*'TR TE'!$S$49</f>
        <v>0</v>
      </c>
      <c r="T5" s="30">
        <f>'TR TE'!$T$5*'TR TE'!$T$49</f>
        <v>0</v>
      </c>
      <c r="U5" s="30">
        <f>'TR TE'!$U$5*'TR TE'!$U$49</f>
        <v>0</v>
      </c>
      <c r="V5" s="30">
        <f>SUM($S$5:$U$5)</f>
        <v>0</v>
      </c>
      <c r="W5" s="30"/>
      <c r="X5" s="30">
        <f>SUM($W$5:$W$5)</f>
        <v>0</v>
      </c>
      <c r="Y5" s="30">
        <f>'TR TE'!$Y$5*'TR TE'!$Y$49</f>
        <v>0</v>
      </c>
      <c r="Z5" s="30">
        <f>SUM($Y$5:$Y$5)</f>
        <v>0</v>
      </c>
      <c r="AA5" s="30">
        <f>SUMIF($L$4:$Z$4,"SUBTOTAL",$L$5:$Z$5)</f>
        <v>253.58284698352881</v>
      </c>
    </row>
    <row r="6" spans="1:27" ht="11.25" customHeight="1" x14ac:dyDescent="0.3">
      <c r="A6" s="131"/>
      <c r="B6" s="131"/>
      <c r="C6" s="131"/>
      <c r="D6" s="131"/>
      <c r="E6" s="131"/>
      <c r="F6" s="131"/>
      <c r="G6" s="32" t="s">
        <v>74</v>
      </c>
      <c r="H6" s="32" t="s">
        <v>72</v>
      </c>
      <c r="I6" s="32">
        <f>'MERCADO TE'!$U$3</f>
        <v>3257.1160000000004</v>
      </c>
      <c r="J6" s="17"/>
      <c r="L6" s="30">
        <f>'TR TE'!$L$6*'TR TE'!$L$49</f>
        <v>0</v>
      </c>
      <c r="M6" s="30">
        <f>'TR TE'!$M$6*'TR TE'!$M$49</f>
        <v>0</v>
      </c>
      <c r="N6" s="30">
        <f>'TR TE'!$N$6*'TR TE'!$N$49</f>
        <v>0</v>
      </c>
      <c r="O6" s="30">
        <f>'TR TE'!$O$6*'TR TE'!$O$49</f>
        <v>0</v>
      </c>
      <c r="P6" s="30">
        <f>SUM($L$6:$O$6)</f>
        <v>0</v>
      </c>
      <c r="Q6" s="30">
        <f>'TR TE'!$Q$6*'TR TE'!$Q$49</f>
        <v>253.58284698352881</v>
      </c>
      <c r="R6" s="30">
        <f>SUM($Q$6:$Q$6)</f>
        <v>253.58284698352881</v>
      </c>
      <c r="S6" s="30">
        <f>'TR TE'!$S$6*'TR TE'!$S$49</f>
        <v>0</v>
      </c>
      <c r="T6" s="30">
        <f>'TR TE'!$T$6*'TR TE'!$T$49</f>
        <v>0</v>
      </c>
      <c r="U6" s="30">
        <f>'TR TE'!$U$6*'TR TE'!$U$49</f>
        <v>0</v>
      </c>
      <c r="V6" s="30">
        <f>SUM($S$6:$U$6)</f>
        <v>0</v>
      </c>
      <c r="W6" s="30"/>
      <c r="X6" s="30">
        <f>SUM($W$6:$W$6)</f>
        <v>0</v>
      </c>
      <c r="Y6" s="30">
        <f>'TR TE'!$Y$6*'TR TE'!$Y$49</f>
        <v>0</v>
      </c>
      <c r="Z6" s="30">
        <f>SUM($Y$6:$Y$6)</f>
        <v>0</v>
      </c>
      <c r="AA6" s="30">
        <f>SUMIF($L$4:$Z$4,"SUBTOTAL",$L$6:$Z$6)</f>
        <v>253.58284698352881</v>
      </c>
    </row>
    <row r="7" spans="1:27" ht="11.25" customHeight="1" x14ac:dyDescent="0.3">
      <c r="A7" s="131"/>
      <c r="B7" s="33" t="s">
        <v>75</v>
      </c>
      <c r="C7" s="33" t="s">
        <v>25</v>
      </c>
      <c r="D7" s="33" t="s">
        <v>25</v>
      </c>
      <c r="E7" s="33" t="s">
        <v>25</v>
      </c>
      <c r="F7" s="33" t="s">
        <v>25</v>
      </c>
      <c r="G7" s="32" t="s">
        <v>76</v>
      </c>
      <c r="H7" s="32" t="s">
        <v>72</v>
      </c>
      <c r="I7" s="32">
        <f>'MERCADO TE'!$U$4</f>
        <v>0</v>
      </c>
      <c r="J7" s="17"/>
      <c r="L7" s="30">
        <f>'TR TE'!$L$7*'TR TE'!$L$49</f>
        <v>0</v>
      </c>
      <c r="M7" s="30">
        <f>'TR TE'!$M$7*'TR TE'!$M$49</f>
        <v>0</v>
      </c>
      <c r="N7" s="30">
        <f>'TR TE'!$N$7*'TR TE'!$N$49</f>
        <v>0</v>
      </c>
      <c r="O7" s="30">
        <f>'TR TE'!$O$7*'TR TE'!$O$49</f>
        <v>0</v>
      </c>
      <c r="P7" s="30">
        <f>SUM($L$7:$O$7)</f>
        <v>0</v>
      </c>
      <c r="Q7" s="30">
        <f>'TR TE'!$Q$7*'TR TE'!$Q$49</f>
        <v>253.58284698352881</v>
      </c>
      <c r="R7" s="30">
        <f>SUM($Q$7:$Q$7)</f>
        <v>253.58284698352881</v>
      </c>
      <c r="S7" s="30">
        <f>'TR TE'!$S$7*'TR TE'!$S$49</f>
        <v>0</v>
      </c>
      <c r="T7" s="30">
        <f>'TR TE'!$T$7*'TR TE'!$T$49</f>
        <v>0</v>
      </c>
      <c r="U7" s="30">
        <f>'TR TE'!$U$7*'TR TE'!$U$49</f>
        <v>0</v>
      </c>
      <c r="V7" s="30">
        <f>SUM($S$7:$U$7)</f>
        <v>0</v>
      </c>
      <c r="W7" s="30"/>
      <c r="X7" s="30">
        <f>SUM($W$7:$W$7)</f>
        <v>0</v>
      </c>
      <c r="Y7" s="30">
        <f>'TR TE'!$Y$7*'TR TE'!$Y$49</f>
        <v>0</v>
      </c>
      <c r="Z7" s="30">
        <f>SUM($Y$7:$Y$7)</f>
        <v>0</v>
      </c>
      <c r="AA7" s="30">
        <f>SUMIF($L$4:$Z$4,"SUBTOTAL",$L$7:$Z$7)</f>
        <v>253.58284698352881</v>
      </c>
    </row>
    <row r="8" spans="1:27" ht="11.25" customHeight="1" x14ac:dyDescent="0.3">
      <c r="A8" s="131" t="s">
        <v>22</v>
      </c>
      <c r="B8" s="131" t="s">
        <v>71</v>
      </c>
      <c r="C8" s="131" t="s">
        <v>24</v>
      </c>
      <c r="D8" s="131" t="s">
        <v>24</v>
      </c>
      <c r="E8" s="131" t="s">
        <v>25</v>
      </c>
      <c r="F8" s="131" t="s">
        <v>25</v>
      </c>
      <c r="G8" s="32" t="s">
        <v>73</v>
      </c>
      <c r="H8" s="32" t="s">
        <v>72</v>
      </c>
      <c r="I8" s="32">
        <f>'MERCADO TE'!$U$5</f>
        <v>3.1E-2</v>
      </c>
      <c r="J8" s="17"/>
      <c r="L8" s="30">
        <f>'TR TE'!$L$8*'TR TE'!$L$49</f>
        <v>0</v>
      </c>
      <c r="M8" s="30">
        <f>'TR TE'!$M$8*'TR TE'!$M$49</f>
        <v>0</v>
      </c>
      <c r="N8" s="30">
        <f>'TR TE'!$N$8*'TR TE'!$N$49</f>
        <v>0</v>
      </c>
      <c r="O8" s="30">
        <f>'TR TE'!$O$8*'TR TE'!$O$49</f>
        <v>0</v>
      </c>
      <c r="P8" s="30">
        <f>SUM($L$8:$O$8)</f>
        <v>0</v>
      </c>
      <c r="Q8" s="30">
        <f>'TR TE'!$Q$8*'TR TE'!$Q$49</f>
        <v>253.58284698352881</v>
      </c>
      <c r="R8" s="30">
        <f>SUM($Q$8:$Q$8)</f>
        <v>253.58284698352881</v>
      </c>
      <c r="S8" s="30">
        <f>'TR TE'!$S$8*'TR TE'!$S$49</f>
        <v>0</v>
      </c>
      <c r="T8" s="30">
        <f>'TR TE'!$T$8*'TR TE'!$T$49</f>
        <v>0</v>
      </c>
      <c r="U8" s="30">
        <f>'TR TE'!$U$8*'TR TE'!$U$49</f>
        <v>0</v>
      </c>
      <c r="V8" s="30">
        <f>SUM($S$8:$U$8)</f>
        <v>0</v>
      </c>
      <c r="W8" s="30"/>
      <c r="X8" s="30">
        <f>SUM($W$8:$W$8)</f>
        <v>0</v>
      </c>
      <c r="Y8" s="30">
        <f>'TR TE'!$Y$8*'TR TE'!$Y$49</f>
        <v>0</v>
      </c>
      <c r="Z8" s="30">
        <f>SUM($Y$8:$Y$8)</f>
        <v>0</v>
      </c>
      <c r="AA8" s="30">
        <f>SUMIF($L$4:$Z$4,"SUBTOTAL",$L$8:$Z$8)</f>
        <v>253.58284698352881</v>
      </c>
    </row>
    <row r="9" spans="1:27" ht="11.25" customHeight="1" x14ac:dyDescent="0.3">
      <c r="A9" s="131"/>
      <c r="B9" s="131"/>
      <c r="C9" s="131"/>
      <c r="D9" s="131"/>
      <c r="E9" s="131"/>
      <c r="F9" s="131"/>
      <c r="G9" s="32" t="s">
        <v>85</v>
      </c>
      <c r="H9" s="32" t="s">
        <v>72</v>
      </c>
      <c r="I9" s="32">
        <f>'MERCADO TE'!$U$6</f>
        <v>0</v>
      </c>
      <c r="J9" s="17"/>
      <c r="L9" s="30">
        <f>'TR TE'!$L$9*'TR TE'!$L$49</f>
        <v>0</v>
      </c>
      <c r="M9" s="30">
        <f>'TR TE'!$M$9*'TR TE'!$M$49</f>
        <v>0</v>
      </c>
      <c r="N9" s="30">
        <f>'TR TE'!$N$9*'TR TE'!$N$49</f>
        <v>0</v>
      </c>
      <c r="O9" s="30">
        <f>'TR TE'!$O$9*'TR TE'!$O$49</f>
        <v>0</v>
      </c>
      <c r="P9" s="30">
        <f>SUM($L$9:$O$9)</f>
        <v>0</v>
      </c>
      <c r="Q9" s="30">
        <f>'TR TE'!$Q$9*'TR TE'!$Q$49</f>
        <v>253.58284698352881</v>
      </c>
      <c r="R9" s="30">
        <f>SUM($Q$9:$Q$9)</f>
        <v>253.58284698352881</v>
      </c>
      <c r="S9" s="30">
        <f>'TR TE'!$S$9*'TR TE'!$S$49</f>
        <v>0</v>
      </c>
      <c r="T9" s="30">
        <f>'TR TE'!$T$9*'TR TE'!$T$49</f>
        <v>0</v>
      </c>
      <c r="U9" s="30">
        <f>'TR TE'!$U$9*'TR TE'!$U$49</f>
        <v>0</v>
      </c>
      <c r="V9" s="30">
        <f>SUM($S$9:$U$9)</f>
        <v>0</v>
      </c>
      <c r="W9" s="30"/>
      <c r="X9" s="30">
        <f>SUM($W$9:$W$9)</f>
        <v>0</v>
      </c>
      <c r="Y9" s="30">
        <f>'TR TE'!$Y$9*'TR TE'!$Y$49</f>
        <v>0</v>
      </c>
      <c r="Z9" s="30">
        <f>SUM($Y$9:$Y$9)</f>
        <v>0</v>
      </c>
      <c r="AA9" s="30">
        <f>SUMIF($L$4:$Z$4,"SUBTOTAL",$L$9:$Z$9)</f>
        <v>253.58284698352881</v>
      </c>
    </row>
    <row r="10" spans="1:27" ht="11.25" customHeight="1" x14ac:dyDescent="0.3">
      <c r="A10" s="131"/>
      <c r="B10" s="131"/>
      <c r="C10" s="131"/>
      <c r="D10" s="131"/>
      <c r="E10" s="131"/>
      <c r="F10" s="131"/>
      <c r="G10" s="32" t="s">
        <v>74</v>
      </c>
      <c r="H10" s="32" t="s">
        <v>72</v>
      </c>
      <c r="I10" s="32">
        <f>'MERCADO TE'!$U$7</f>
        <v>0.71099999999999985</v>
      </c>
      <c r="J10" s="17"/>
      <c r="L10" s="30">
        <f>'TR TE'!$L$10*'TR TE'!$L$49</f>
        <v>0</v>
      </c>
      <c r="M10" s="30">
        <f>'TR TE'!$M$10*'TR TE'!$M$49</f>
        <v>0</v>
      </c>
      <c r="N10" s="30">
        <f>'TR TE'!$N$10*'TR TE'!$N$49</f>
        <v>0</v>
      </c>
      <c r="O10" s="30">
        <f>'TR TE'!$O$10*'TR TE'!$O$49</f>
        <v>0</v>
      </c>
      <c r="P10" s="30">
        <f>SUM($L$10:$O$10)</f>
        <v>0</v>
      </c>
      <c r="Q10" s="30">
        <f>'TR TE'!$Q$10*'TR TE'!$Q$49</f>
        <v>253.58284698352881</v>
      </c>
      <c r="R10" s="30">
        <f>SUM($Q$10:$Q$10)</f>
        <v>253.58284698352881</v>
      </c>
      <c r="S10" s="30">
        <f>'TR TE'!$S$10*'TR TE'!$S$49</f>
        <v>0</v>
      </c>
      <c r="T10" s="30">
        <f>'TR TE'!$T$10*'TR TE'!$T$49</f>
        <v>0</v>
      </c>
      <c r="U10" s="30">
        <f>'TR TE'!$U$10*'TR TE'!$U$49</f>
        <v>0</v>
      </c>
      <c r="V10" s="30">
        <f>SUM($S$10:$U$10)</f>
        <v>0</v>
      </c>
      <c r="W10" s="30"/>
      <c r="X10" s="30">
        <f>SUM($W$10:$W$10)</f>
        <v>0</v>
      </c>
      <c r="Y10" s="30">
        <f>'TR TE'!$Y$10*'TR TE'!$Y$49</f>
        <v>0</v>
      </c>
      <c r="Z10" s="30">
        <f>SUM($Y$10:$Y$10)</f>
        <v>0</v>
      </c>
      <c r="AA10" s="30">
        <f>SUMIF($L$4:$Z$4,"SUBTOTAL",$L$10:$Z$10)</f>
        <v>253.58284698352881</v>
      </c>
    </row>
    <row r="11" spans="1:27" ht="11.25" customHeight="1" x14ac:dyDescent="0.3">
      <c r="A11" s="131"/>
      <c r="B11" s="131" t="s">
        <v>75</v>
      </c>
      <c r="C11" s="131" t="s">
        <v>24</v>
      </c>
      <c r="D11" s="33" t="s">
        <v>24</v>
      </c>
      <c r="E11" s="33" t="s">
        <v>25</v>
      </c>
      <c r="F11" s="33" t="s">
        <v>25</v>
      </c>
      <c r="G11" s="32" t="s">
        <v>76</v>
      </c>
      <c r="H11" s="32" t="s">
        <v>72</v>
      </c>
      <c r="I11" s="32">
        <f>'MERCADO TE'!$U$8</f>
        <v>9876.3909999999996</v>
      </c>
      <c r="J11" s="17"/>
      <c r="L11" s="30">
        <f>'TR TE'!$L$11*'TR TE'!$L$49</f>
        <v>0</v>
      </c>
      <c r="M11" s="30">
        <f>'TR TE'!$M$11*'TR TE'!$M$49</f>
        <v>0</v>
      </c>
      <c r="N11" s="30">
        <f>'TR TE'!$N$11*'TR TE'!$N$49</f>
        <v>0</v>
      </c>
      <c r="O11" s="30">
        <f>'TR TE'!$O$11*'TR TE'!$O$49</f>
        <v>0</v>
      </c>
      <c r="P11" s="30">
        <f>SUM($L$11:$O$11)</f>
        <v>0</v>
      </c>
      <c r="Q11" s="30">
        <f>'TR TE'!$Q$11*'TR TE'!$Q$49</f>
        <v>253.58284698352881</v>
      </c>
      <c r="R11" s="30">
        <f>SUM($Q$11:$Q$11)</f>
        <v>253.58284698352881</v>
      </c>
      <c r="S11" s="30">
        <f>'TR TE'!$S$11*'TR TE'!$S$49</f>
        <v>0</v>
      </c>
      <c r="T11" s="30">
        <f>'TR TE'!$T$11*'TR TE'!$T$49</f>
        <v>0</v>
      </c>
      <c r="U11" s="30">
        <f>'TR TE'!$U$11*'TR TE'!$U$49</f>
        <v>0</v>
      </c>
      <c r="V11" s="30">
        <f>SUM($S$11:$U$11)</f>
        <v>0</v>
      </c>
      <c r="W11" s="30"/>
      <c r="X11" s="30">
        <f>SUM($W$11:$W$11)</f>
        <v>0</v>
      </c>
      <c r="Y11" s="30">
        <f>'TR TE'!$Y$11*'TR TE'!$Y$49</f>
        <v>0</v>
      </c>
      <c r="Z11" s="30">
        <f>SUM($Y$11:$Y$11)</f>
        <v>0</v>
      </c>
      <c r="AA11" s="30">
        <f>SUMIF($L$4:$Z$4,"SUBTOTAL",$L$11:$Z$11)</f>
        <v>253.58284698352881</v>
      </c>
    </row>
    <row r="12" spans="1:27" ht="11.25" customHeight="1" x14ac:dyDescent="0.3">
      <c r="A12" s="131"/>
      <c r="B12" s="131"/>
      <c r="C12" s="131"/>
      <c r="D12" s="33" t="s">
        <v>29</v>
      </c>
      <c r="E12" s="33" t="s">
        <v>25</v>
      </c>
      <c r="F12" s="33" t="s">
        <v>25</v>
      </c>
      <c r="G12" s="32" t="s">
        <v>76</v>
      </c>
      <c r="H12" s="32" t="s">
        <v>72</v>
      </c>
      <c r="I12" s="32">
        <f>'MERCADO TE'!$U$9</f>
        <v>38.58</v>
      </c>
      <c r="J12" s="17"/>
      <c r="L12" s="30">
        <f>'TR TE'!$L$12*'TR TE'!$L$49</f>
        <v>0</v>
      </c>
      <c r="M12" s="30">
        <f>'TR TE'!$M$12*'TR TE'!$M$49</f>
        <v>0</v>
      </c>
      <c r="N12" s="30">
        <f>'TR TE'!$N$12*'TR TE'!$N$49</f>
        <v>0</v>
      </c>
      <c r="O12" s="30">
        <f>'TR TE'!$O$12*'TR TE'!$O$49</f>
        <v>0</v>
      </c>
      <c r="P12" s="30">
        <f>SUM($L$12:$O$12)</f>
        <v>0</v>
      </c>
      <c r="Q12" s="30">
        <f>'TR TE'!$Q$12*'TR TE'!$Q$49</f>
        <v>253.58284698352881</v>
      </c>
      <c r="R12" s="30">
        <f>SUM($Q$12:$Q$12)</f>
        <v>253.58284698352881</v>
      </c>
      <c r="S12" s="30">
        <f>'TR TE'!$S$12*'TR TE'!$S$49</f>
        <v>0</v>
      </c>
      <c r="T12" s="30">
        <f>'TR TE'!$T$12*'TR TE'!$T$49</f>
        <v>0</v>
      </c>
      <c r="U12" s="30">
        <f>'TR TE'!$U$12*'TR TE'!$U$49</f>
        <v>0</v>
      </c>
      <c r="V12" s="30">
        <f>SUM($S$12:$U$12)</f>
        <v>0</v>
      </c>
      <c r="W12" s="30"/>
      <c r="X12" s="30">
        <f>SUM($W$12:$W$12)</f>
        <v>0</v>
      </c>
      <c r="Y12" s="30">
        <f>'TR TE'!$Y$12*'TR TE'!$Y$49</f>
        <v>0</v>
      </c>
      <c r="Z12" s="30">
        <f>SUM($Y$12:$Y$12)</f>
        <v>0</v>
      </c>
      <c r="AA12" s="30">
        <f>SUMIF($L$4:$Z$4,"SUBTOTAL",$L$12:$Z$12)</f>
        <v>253.58284698352881</v>
      </c>
    </row>
    <row r="13" spans="1:27" ht="11.25" customHeight="1" x14ac:dyDescent="0.3">
      <c r="A13" s="131"/>
      <c r="B13" s="131"/>
      <c r="C13" s="131"/>
      <c r="D13" s="33" t="s">
        <v>30</v>
      </c>
      <c r="E13" s="33" t="s">
        <v>25</v>
      </c>
      <c r="F13" s="33" t="s">
        <v>25</v>
      </c>
      <c r="G13" s="32" t="s">
        <v>76</v>
      </c>
      <c r="H13" s="32" t="s">
        <v>72</v>
      </c>
      <c r="I13" s="32">
        <f>'MERCADO TE'!$U$10</f>
        <v>77.120999999999995</v>
      </c>
      <c r="J13" s="17"/>
      <c r="L13" s="30">
        <f>'TR TE'!$L$13*'TR TE'!$L$49</f>
        <v>0</v>
      </c>
      <c r="M13" s="30">
        <f>'TR TE'!$M$13*'TR TE'!$M$49</f>
        <v>0</v>
      </c>
      <c r="N13" s="30">
        <f>'TR TE'!$N$13*'TR TE'!$N$49</f>
        <v>0</v>
      </c>
      <c r="O13" s="30">
        <f>'TR TE'!$O$13*'TR TE'!$O$49</f>
        <v>0</v>
      </c>
      <c r="P13" s="30">
        <f>SUM($L$13:$O$13)</f>
        <v>0</v>
      </c>
      <c r="Q13" s="30">
        <f>'TR TE'!$Q$13*'TR TE'!$Q$49</f>
        <v>253.58284698352881</v>
      </c>
      <c r="R13" s="30">
        <f>SUM($Q$13:$Q$13)</f>
        <v>253.58284698352881</v>
      </c>
      <c r="S13" s="30">
        <f>'TR TE'!$S$13*'TR TE'!$S$49</f>
        <v>0</v>
      </c>
      <c r="T13" s="30">
        <f>'TR TE'!$T$13*'TR TE'!$T$49</f>
        <v>0</v>
      </c>
      <c r="U13" s="30">
        <f>'TR TE'!$U$13*'TR TE'!$U$49</f>
        <v>0</v>
      </c>
      <c r="V13" s="30">
        <f>SUM($S$13:$U$13)</f>
        <v>0</v>
      </c>
      <c r="W13" s="30"/>
      <c r="X13" s="30">
        <f>SUM($W$13:$W$13)</f>
        <v>0</v>
      </c>
      <c r="Y13" s="30">
        <f>'TR TE'!$Y$13*'TR TE'!$Y$49</f>
        <v>0</v>
      </c>
      <c r="Z13" s="30">
        <f>SUM($Y$13:$Y$13)</f>
        <v>0</v>
      </c>
      <c r="AA13" s="30">
        <f>SUMIF($L$4:$Z$4,"SUBTOTAL",$L$13:$Z$13)</f>
        <v>253.58284698352881</v>
      </c>
    </row>
    <row r="14" spans="1:27" ht="11.25" customHeight="1" x14ac:dyDescent="0.3">
      <c r="A14" s="131"/>
      <c r="B14" s="131"/>
      <c r="C14" s="131"/>
      <c r="D14" s="33" t="s">
        <v>31</v>
      </c>
      <c r="E14" s="33" t="s">
        <v>25</v>
      </c>
      <c r="F14" s="33" t="s">
        <v>25</v>
      </c>
      <c r="G14" s="32" t="s">
        <v>76</v>
      </c>
      <c r="H14" s="32" t="s">
        <v>72</v>
      </c>
      <c r="I14" s="32">
        <f>'MERCADO TE'!$U$11</f>
        <v>54.47</v>
      </c>
      <c r="J14" s="17"/>
      <c r="L14" s="30">
        <f>'TR TE'!$L$14*'TR TE'!$L$49</f>
        <v>0</v>
      </c>
      <c r="M14" s="30">
        <f>'TR TE'!$M$14*'TR TE'!$M$49</f>
        <v>0</v>
      </c>
      <c r="N14" s="30">
        <f>'TR TE'!$N$14*'TR TE'!$N$49</f>
        <v>0</v>
      </c>
      <c r="O14" s="30">
        <f>'TR TE'!$O$14*'TR TE'!$O$49</f>
        <v>0</v>
      </c>
      <c r="P14" s="30">
        <f>SUM($L$14:$O$14)</f>
        <v>0</v>
      </c>
      <c r="Q14" s="30">
        <f>'TR TE'!$Q$14*'TR TE'!$Q$49</f>
        <v>253.58284698352881</v>
      </c>
      <c r="R14" s="30">
        <f>SUM($Q$14:$Q$14)</f>
        <v>253.58284698352881</v>
      </c>
      <c r="S14" s="30">
        <f>'TR TE'!$S$14*'TR TE'!$S$49</f>
        <v>0</v>
      </c>
      <c r="T14" s="30">
        <f>'TR TE'!$T$14*'TR TE'!$T$49</f>
        <v>0</v>
      </c>
      <c r="U14" s="30">
        <f>'TR TE'!$U$14*'TR TE'!$U$49</f>
        <v>0</v>
      </c>
      <c r="V14" s="30">
        <f>SUM($S$14:$U$14)</f>
        <v>0</v>
      </c>
      <c r="W14" s="30"/>
      <c r="X14" s="30">
        <f>SUM($W$14:$W$14)</f>
        <v>0</v>
      </c>
      <c r="Y14" s="30">
        <f>'TR TE'!$Y$14*'TR TE'!$Y$49</f>
        <v>0</v>
      </c>
      <c r="Z14" s="30">
        <f>SUM($Y$14:$Y$14)</f>
        <v>0</v>
      </c>
      <c r="AA14" s="30">
        <f>SUMIF($L$4:$Z$4,"SUBTOTAL",$L$14:$Z$14)</f>
        <v>253.58284698352881</v>
      </c>
    </row>
    <row r="15" spans="1:27" ht="11.25" customHeight="1" x14ac:dyDescent="0.3">
      <c r="A15" s="131"/>
      <c r="B15" s="131"/>
      <c r="C15" s="131"/>
      <c r="D15" s="33" t="s">
        <v>32</v>
      </c>
      <c r="E15" s="33" t="s">
        <v>25</v>
      </c>
      <c r="F15" s="33" t="s">
        <v>25</v>
      </c>
      <c r="G15" s="32" t="s">
        <v>76</v>
      </c>
      <c r="H15" s="32" t="s">
        <v>72</v>
      </c>
      <c r="I15" s="32">
        <f>'MERCADO TE'!$U$12</f>
        <v>9.1170000000000009</v>
      </c>
      <c r="J15" s="17"/>
      <c r="L15" s="30">
        <f>'TR TE'!$L$15*'TR TE'!$L$49</f>
        <v>0</v>
      </c>
      <c r="M15" s="30">
        <f>'TR TE'!$M$15*'TR TE'!$M$49</f>
        <v>0</v>
      </c>
      <c r="N15" s="30">
        <f>'TR TE'!$N$15*'TR TE'!$N$49</f>
        <v>0</v>
      </c>
      <c r="O15" s="30">
        <f>'TR TE'!$O$15*'TR TE'!$O$49</f>
        <v>0</v>
      </c>
      <c r="P15" s="30">
        <f>SUM($L$15:$O$15)</f>
        <v>0</v>
      </c>
      <c r="Q15" s="30">
        <f>'TR TE'!$Q$15*'TR TE'!$Q$49</f>
        <v>253.58284698352881</v>
      </c>
      <c r="R15" s="30">
        <f>SUM($Q$15:$Q$15)</f>
        <v>253.58284698352881</v>
      </c>
      <c r="S15" s="30">
        <f>'TR TE'!$S$15*'TR TE'!$S$49</f>
        <v>0</v>
      </c>
      <c r="T15" s="30">
        <f>'TR TE'!$T$15*'TR TE'!$T$49</f>
        <v>0</v>
      </c>
      <c r="U15" s="30">
        <f>'TR TE'!$U$15*'TR TE'!$U$49</f>
        <v>0</v>
      </c>
      <c r="V15" s="30">
        <f>SUM($S$15:$U$15)</f>
        <v>0</v>
      </c>
      <c r="W15" s="30"/>
      <c r="X15" s="30">
        <f>SUM($W$15:$W$15)</f>
        <v>0</v>
      </c>
      <c r="Y15" s="30">
        <f>'TR TE'!$Y$15*'TR TE'!$Y$49</f>
        <v>0</v>
      </c>
      <c r="Z15" s="30">
        <f>SUM($Y$15:$Y$15)</f>
        <v>0</v>
      </c>
      <c r="AA15" s="30">
        <f>SUMIF($L$4:$Z$4,"SUBTOTAL",$L$15:$Z$15)</f>
        <v>253.58284698352881</v>
      </c>
    </row>
    <row r="16" spans="1:27" ht="11.25" customHeight="1" x14ac:dyDescent="0.3">
      <c r="A16" s="131"/>
      <c r="B16" s="131" t="s">
        <v>86</v>
      </c>
      <c r="C16" s="131" t="s">
        <v>24</v>
      </c>
      <c r="D16" s="33" t="s">
        <v>24</v>
      </c>
      <c r="E16" s="33" t="s">
        <v>25</v>
      </c>
      <c r="F16" s="33" t="s">
        <v>25</v>
      </c>
      <c r="G16" s="32" t="s">
        <v>76</v>
      </c>
      <c r="H16" s="32" t="s">
        <v>72</v>
      </c>
      <c r="I16" s="32">
        <f>'MERCADO TE'!$U$13</f>
        <v>0</v>
      </c>
      <c r="J16" s="17"/>
      <c r="L16" s="30">
        <f>'TR TE'!$L$16*'TR TE'!$L$49</f>
        <v>0</v>
      </c>
      <c r="M16" s="30">
        <f>'TR TE'!$M$16*'TR TE'!$M$49</f>
        <v>0</v>
      </c>
      <c r="N16" s="30">
        <f>'TR TE'!$N$16*'TR TE'!$N$49</f>
        <v>0</v>
      </c>
      <c r="O16" s="30">
        <f>'TR TE'!$O$16*'TR TE'!$O$49</f>
        <v>0</v>
      </c>
      <c r="P16" s="30">
        <f>SUM($L$16:$O$16)</f>
        <v>0</v>
      </c>
      <c r="Q16" s="30">
        <f>'TR TE'!$Q$16*'TR TE'!$Q$49</f>
        <v>253.58284698352881</v>
      </c>
      <c r="R16" s="30">
        <f>SUM($Q$16:$Q$16)</f>
        <v>253.58284698352881</v>
      </c>
      <c r="S16" s="30">
        <f>'TR TE'!$S$16*'TR TE'!$S$49</f>
        <v>0</v>
      </c>
      <c r="T16" s="30">
        <f>'TR TE'!$T$16*'TR TE'!$T$49</f>
        <v>0</v>
      </c>
      <c r="U16" s="30">
        <f>'TR TE'!$U$16*'TR TE'!$U$49</f>
        <v>0</v>
      </c>
      <c r="V16" s="30">
        <f>SUM($S$16:$U$16)</f>
        <v>0</v>
      </c>
      <c r="W16" s="30"/>
      <c r="X16" s="30">
        <f>SUM($W$16:$W$16)</f>
        <v>0</v>
      </c>
      <c r="Y16" s="30">
        <f>'TR TE'!$Y$16*'TR TE'!$Y$49</f>
        <v>0</v>
      </c>
      <c r="Z16" s="30">
        <f>SUM($Y$16:$Y$16)</f>
        <v>0</v>
      </c>
      <c r="AA16" s="30">
        <f>SUMIF($L$4:$Z$4,"SUBTOTAL",$L$16:$Z$16)</f>
        <v>253.58284698352881</v>
      </c>
    </row>
    <row r="17" spans="1:27" ht="11.25" customHeight="1" x14ac:dyDescent="0.3">
      <c r="A17" s="131"/>
      <c r="B17" s="131"/>
      <c r="C17" s="131"/>
      <c r="D17" s="33" t="s">
        <v>29</v>
      </c>
      <c r="E17" s="33" t="s">
        <v>25</v>
      </c>
      <c r="F17" s="33" t="s">
        <v>25</v>
      </c>
      <c r="G17" s="32" t="s">
        <v>76</v>
      </c>
      <c r="H17" s="32" t="s">
        <v>72</v>
      </c>
      <c r="I17" s="32">
        <f>'MERCADO TE'!$U$14</f>
        <v>0</v>
      </c>
      <c r="J17" s="17"/>
      <c r="L17" s="30">
        <f>'TR TE'!$L$17*'TR TE'!$L$49</f>
        <v>0</v>
      </c>
      <c r="M17" s="30">
        <f>'TR TE'!$M$17*'TR TE'!$M$49</f>
        <v>0</v>
      </c>
      <c r="N17" s="30">
        <f>'TR TE'!$N$17*'TR TE'!$N$49</f>
        <v>0</v>
      </c>
      <c r="O17" s="30">
        <f>'TR TE'!$O$17*'TR TE'!$O$49</f>
        <v>0</v>
      </c>
      <c r="P17" s="30">
        <f>SUM($L$17:$O$17)</f>
        <v>0</v>
      </c>
      <c r="Q17" s="30">
        <f>'TR TE'!$Q$17*'TR TE'!$Q$49</f>
        <v>253.58284698352881</v>
      </c>
      <c r="R17" s="30">
        <f>SUM($Q$17:$Q$17)</f>
        <v>253.58284698352881</v>
      </c>
      <c r="S17" s="30">
        <f>'TR TE'!$S$17*'TR TE'!$S$49</f>
        <v>0</v>
      </c>
      <c r="T17" s="30">
        <f>'TR TE'!$T$17*'TR TE'!$T$49</f>
        <v>0</v>
      </c>
      <c r="U17" s="30">
        <f>'TR TE'!$U$17*'TR TE'!$U$49</f>
        <v>0</v>
      </c>
      <c r="V17" s="30">
        <f>SUM($S$17:$U$17)</f>
        <v>0</v>
      </c>
      <c r="W17" s="30"/>
      <c r="X17" s="30">
        <f>SUM($W$17:$W$17)</f>
        <v>0</v>
      </c>
      <c r="Y17" s="30">
        <f>'TR TE'!$Y$17*'TR TE'!$Y$49</f>
        <v>0</v>
      </c>
      <c r="Z17" s="30">
        <f>SUM($Y$17:$Y$17)</f>
        <v>0</v>
      </c>
      <c r="AA17" s="30">
        <f>SUMIF($L$4:$Z$4,"SUBTOTAL",$L$17:$Z$17)</f>
        <v>253.58284698352881</v>
      </c>
    </row>
    <row r="18" spans="1:27" ht="11.25" customHeight="1" x14ac:dyDescent="0.3">
      <c r="A18" s="131"/>
      <c r="B18" s="131"/>
      <c r="C18" s="131"/>
      <c r="D18" s="33" t="s">
        <v>30</v>
      </c>
      <c r="E18" s="33" t="s">
        <v>25</v>
      </c>
      <c r="F18" s="33" t="s">
        <v>25</v>
      </c>
      <c r="G18" s="32" t="s">
        <v>76</v>
      </c>
      <c r="H18" s="32" t="s">
        <v>72</v>
      </c>
      <c r="I18" s="32">
        <f>'MERCADO TE'!$U$15</f>
        <v>0</v>
      </c>
      <c r="J18" s="17"/>
      <c r="L18" s="30">
        <f>'TR TE'!$L$18*'TR TE'!$L$49</f>
        <v>0</v>
      </c>
      <c r="M18" s="30">
        <f>'TR TE'!$M$18*'TR TE'!$M$49</f>
        <v>0</v>
      </c>
      <c r="N18" s="30">
        <f>'TR TE'!$N$18*'TR TE'!$N$49</f>
        <v>0</v>
      </c>
      <c r="O18" s="30">
        <f>'TR TE'!$O$18*'TR TE'!$O$49</f>
        <v>0</v>
      </c>
      <c r="P18" s="30">
        <f>SUM($L$18:$O$18)</f>
        <v>0</v>
      </c>
      <c r="Q18" s="30">
        <f>'TR TE'!$Q$18*'TR TE'!$Q$49</f>
        <v>253.58284698352881</v>
      </c>
      <c r="R18" s="30">
        <f>SUM($Q$18:$Q$18)</f>
        <v>253.58284698352881</v>
      </c>
      <c r="S18" s="30">
        <f>'TR TE'!$S$18*'TR TE'!$S$49</f>
        <v>0</v>
      </c>
      <c r="T18" s="30">
        <f>'TR TE'!$T$18*'TR TE'!$T$49</f>
        <v>0</v>
      </c>
      <c r="U18" s="30">
        <f>'TR TE'!$U$18*'TR TE'!$U$49</f>
        <v>0</v>
      </c>
      <c r="V18" s="30">
        <f>SUM($S$18:$U$18)</f>
        <v>0</v>
      </c>
      <c r="W18" s="30"/>
      <c r="X18" s="30">
        <f>SUM($W$18:$W$18)</f>
        <v>0</v>
      </c>
      <c r="Y18" s="30">
        <f>'TR TE'!$Y$18*'TR TE'!$Y$49</f>
        <v>0</v>
      </c>
      <c r="Z18" s="30">
        <f>SUM($Y$18:$Y$18)</f>
        <v>0</v>
      </c>
      <c r="AA18" s="30">
        <f>SUMIF($L$4:$Z$4,"SUBTOTAL",$L$18:$Z$18)</f>
        <v>253.58284698352881</v>
      </c>
    </row>
    <row r="19" spans="1:27" ht="11.25" customHeight="1" x14ac:dyDescent="0.3">
      <c r="A19" s="131"/>
      <c r="B19" s="131"/>
      <c r="C19" s="131"/>
      <c r="D19" s="33" t="s">
        <v>31</v>
      </c>
      <c r="E19" s="33" t="s">
        <v>25</v>
      </c>
      <c r="F19" s="33" t="s">
        <v>25</v>
      </c>
      <c r="G19" s="32" t="s">
        <v>76</v>
      </c>
      <c r="H19" s="32" t="s">
        <v>72</v>
      </c>
      <c r="I19" s="32">
        <f>'MERCADO TE'!$U$16</f>
        <v>0</v>
      </c>
      <c r="J19" s="17"/>
      <c r="L19" s="30">
        <f>'TR TE'!$L$19*'TR TE'!$L$49</f>
        <v>0</v>
      </c>
      <c r="M19" s="30">
        <f>'TR TE'!$M$19*'TR TE'!$M$49</f>
        <v>0</v>
      </c>
      <c r="N19" s="30">
        <f>'TR TE'!$N$19*'TR TE'!$N$49</f>
        <v>0</v>
      </c>
      <c r="O19" s="30">
        <f>'TR TE'!$O$19*'TR TE'!$O$49</f>
        <v>0</v>
      </c>
      <c r="P19" s="30">
        <f>SUM($L$19:$O$19)</f>
        <v>0</v>
      </c>
      <c r="Q19" s="30">
        <f>'TR TE'!$Q$19*'TR TE'!$Q$49</f>
        <v>253.58284698352881</v>
      </c>
      <c r="R19" s="30">
        <f>SUM($Q$19:$Q$19)</f>
        <v>253.58284698352881</v>
      </c>
      <c r="S19" s="30">
        <f>'TR TE'!$S$19*'TR TE'!$S$49</f>
        <v>0</v>
      </c>
      <c r="T19" s="30">
        <f>'TR TE'!$T$19*'TR TE'!$T$49</f>
        <v>0</v>
      </c>
      <c r="U19" s="30">
        <f>'TR TE'!$U$19*'TR TE'!$U$49</f>
        <v>0</v>
      </c>
      <c r="V19" s="30">
        <f>SUM($S$19:$U$19)</f>
        <v>0</v>
      </c>
      <c r="W19" s="30"/>
      <c r="X19" s="30">
        <f>SUM($W$19:$W$19)</f>
        <v>0</v>
      </c>
      <c r="Y19" s="30">
        <f>'TR TE'!$Y$19*'TR TE'!$Y$49</f>
        <v>0</v>
      </c>
      <c r="Z19" s="30">
        <f>SUM($Y$19:$Y$19)</f>
        <v>0</v>
      </c>
      <c r="AA19" s="30">
        <f>SUMIF($L$4:$Z$4,"SUBTOTAL",$L$19:$Z$19)</f>
        <v>253.58284698352881</v>
      </c>
    </row>
    <row r="20" spans="1:27" ht="11.25" customHeight="1" x14ac:dyDescent="0.3">
      <c r="A20" s="131"/>
      <c r="B20" s="131"/>
      <c r="C20" s="131"/>
      <c r="D20" s="33" t="s">
        <v>32</v>
      </c>
      <c r="E20" s="33" t="s">
        <v>25</v>
      </c>
      <c r="F20" s="33" t="s">
        <v>25</v>
      </c>
      <c r="G20" s="32" t="s">
        <v>76</v>
      </c>
      <c r="H20" s="32" t="s">
        <v>72</v>
      </c>
      <c r="I20" s="32">
        <f>'MERCADO TE'!$U$17</f>
        <v>0</v>
      </c>
      <c r="J20" s="17"/>
      <c r="L20" s="30">
        <f>'TR TE'!$L$20*'TR TE'!$L$49</f>
        <v>0</v>
      </c>
      <c r="M20" s="30">
        <f>'TR TE'!$M$20*'TR TE'!$M$49</f>
        <v>0</v>
      </c>
      <c r="N20" s="30">
        <f>'TR TE'!$N$20*'TR TE'!$N$49</f>
        <v>0</v>
      </c>
      <c r="O20" s="30">
        <f>'TR TE'!$O$20*'TR TE'!$O$49</f>
        <v>0</v>
      </c>
      <c r="P20" s="30">
        <f>SUM($L$20:$O$20)</f>
        <v>0</v>
      </c>
      <c r="Q20" s="30">
        <f>'TR TE'!$Q$20*'TR TE'!$Q$49</f>
        <v>253.58284698352881</v>
      </c>
      <c r="R20" s="30">
        <f>SUM($Q$20:$Q$20)</f>
        <v>253.58284698352881</v>
      </c>
      <c r="S20" s="30">
        <f>'TR TE'!$S$20*'TR TE'!$S$49</f>
        <v>0</v>
      </c>
      <c r="T20" s="30">
        <f>'TR TE'!$T$20*'TR TE'!$T$49</f>
        <v>0</v>
      </c>
      <c r="U20" s="30">
        <f>'TR TE'!$U$20*'TR TE'!$U$49</f>
        <v>0</v>
      </c>
      <c r="V20" s="30">
        <f>SUM($S$20:$U$20)</f>
        <v>0</v>
      </c>
      <c r="W20" s="30"/>
      <c r="X20" s="30">
        <f>SUM($W$20:$W$20)</f>
        <v>0</v>
      </c>
      <c r="Y20" s="30">
        <f>'TR TE'!$Y$20*'TR TE'!$Y$49</f>
        <v>0</v>
      </c>
      <c r="Z20" s="30">
        <f>SUM($Y$20:$Y$20)</f>
        <v>0</v>
      </c>
      <c r="AA20" s="30">
        <f>SUMIF($L$4:$Z$4,"SUBTOTAL",$L$20:$Z$20)</f>
        <v>253.58284698352881</v>
      </c>
    </row>
    <row r="21" spans="1:27" ht="11.25" customHeight="1" x14ac:dyDescent="0.3">
      <c r="A21" s="131" t="s">
        <v>43</v>
      </c>
      <c r="B21" s="131" t="s">
        <v>71</v>
      </c>
      <c r="C21" s="131" t="s">
        <v>44</v>
      </c>
      <c r="D21" s="131" t="s">
        <v>25</v>
      </c>
      <c r="E21" s="131" t="s">
        <v>25</v>
      </c>
      <c r="F21" s="131" t="s">
        <v>25</v>
      </c>
      <c r="G21" s="32" t="s">
        <v>73</v>
      </c>
      <c r="H21" s="32" t="s">
        <v>72</v>
      </c>
      <c r="I21" s="32">
        <f>'MERCADO TE'!$U$18</f>
        <v>0</v>
      </c>
      <c r="J21" s="17"/>
      <c r="L21" s="30">
        <f>'TR TE'!$L$21*'TR TE'!$L$49</f>
        <v>0</v>
      </c>
      <c r="M21" s="30">
        <f>'TR TE'!$M$21*'TR TE'!$M$49</f>
        <v>0</v>
      </c>
      <c r="N21" s="30">
        <f>'TR TE'!$N$21*'TR TE'!$N$49</f>
        <v>0</v>
      </c>
      <c r="O21" s="30">
        <f>'TR TE'!$O$21*'TR TE'!$O$49</f>
        <v>0</v>
      </c>
      <c r="P21" s="30">
        <f>SUM($L$21:$O$21)</f>
        <v>0</v>
      </c>
      <c r="Q21" s="30">
        <f>'TR TE'!$Q$21*'TR TE'!$Q$49</f>
        <v>253.58284698352881</v>
      </c>
      <c r="R21" s="30">
        <f>SUM($Q$21:$Q$21)</f>
        <v>253.58284698352881</v>
      </c>
      <c r="S21" s="30">
        <f>'TR TE'!$S$21*'TR TE'!$S$49</f>
        <v>0</v>
      </c>
      <c r="T21" s="30">
        <f>'TR TE'!$T$21*'TR TE'!$T$49</f>
        <v>0</v>
      </c>
      <c r="U21" s="30">
        <f>'TR TE'!$U$21*'TR TE'!$U$49</f>
        <v>0</v>
      </c>
      <c r="V21" s="30">
        <f>SUM($S$21:$U$21)</f>
        <v>0</v>
      </c>
      <c r="W21" s="30"/>
      <c r="X21" s="30">
        <f>SUM($W$21:$W$21)</f>
        <v>0</v>
      </c>
      <c r="Y21" s="30">
        <f>'TR TE'!$Y$21*'TR TE'!$Y$49</f>
        <v>0</v>
      </c>
      <c r="Z21" s="30">
        <f>SUM($Y$21:$Y$21)</f>
        <v>0</v>
      </c>
      <c r="AA21" s="30">
        <f>SUMIF($L$4:$Z$4,"SUBTOTAL",$L$21:$Z$21)</f>
        <v>253.58284698352881</v>
      </c>
    </row>
    <row r="22" spans="1:27" ht="11.25" customHeight="1" x14ac:dyDescent="0.3">
      <c r="A22" s="131"/>
      <c r="B22" s="131"/>
      <c r="C22" s="131"/>
      <c r="D22" s="131"/>
      <c r="E22" s="131"/>
      <c r="F22" s="131"/>
      <c r="G22" s="32" t="s">
        <v>85</v>
      </c>
      <c r="H22" s="32" t="s">
        <v>72</v>
      </c>
      <c r="I22" s="32">
        <f>'MERCADO TE'!$U$19</f>
        <v>0</v>
      </c>
      <c r="J22" s="17"/>
      <c r="L22" s="30">
        <f>'TR TE'!$L$22*'TR TE'!$L$49</f>
        <v>0</v>
      </c>
      <c r="M22" s="30">
        <f>'TR TE'!$M$22*'TR TE'!$M$49</f>
        <v>0</v>
      </c>
      <c r="N22" s="30">
        <f>'TR TE'!$N$22*'TR TE'!$N$49</f>
        <v>0</v>
      </c>
      <c r="O22" s="30">
        <f>'TR TE'!$O$22*'TR TE'!$O$49</f>
        <v>0</v>
      </c>
      <c r="P22" s="30">
        <f>SUM($L$22:$O$22)</f>
        <v>0</v>
      </c>
      <c r="Q22" s="30">
        <f>'TR TE'!$Q$22*'TR TE'!$Q$49</f>
        <v>253.58284698352881</v>
      </c>
      <c r="R22" s="30">
        <f>SUM($Q$22:$Q$22)</f>
        <v>253.58284698352881</v>
      </c>
      <c r="S22" s="30">
        <f>'TR TE'!$S$22*'TR TE'!$S$49</f>
        <v>0</v>
      </c>
      <c r="T22" s="30">
        <f>'TR TE'!$T$22*'TR TE'!$T$49</f>
        <v>0</v>
      </c>
      <c r="U22" s="30">
        <f>'TR TE'!$U$22*'TR TE'!$U$49</f>
        <v>0</v>
      </c>
      <c r="V22" s="30">
        <f>SUM($S$22:$U$22)</f>
        <v>0</v>
      </c>
      <c r="W22" s="30"/>
      <c r="X22" s="30">
        <f>SUM($W$22:$W$22)</f>
        <v>0</v>
      </c>
      <c r="Y22" s="30">
        <f>'TR TE'!$Y$22*'TR TE'!$Y$49</f>
        <v>0</v>
      </c>
      <c r="Z22" s="30">
        <f>SUM($Y$22:$Y$22)</f>
        <v>0</v>
      </c>
      <c r="AA22" s="30">
        <f>SUMIF($L$4:$Z$4,"SUBTOTAL",$L$22:$Z$22)</f>
        <v>253.58284698352881</v>
      </c>
    </row>
    <row r="23" spans="1:27" ht="11.25" customHeight="1" x14ac:dyDescent="0.3">
      <c r="A23" s="131"/>
      <c r="B23" s="131"/>
      <c r="C23" s="131"/>
      <c r="D23" s="131"/>
      <c r="E23" s="131"/>
      <c r="F23" s="131"/>
      <c r="G23" s="32" t="s">
        <v>74</v>
      </c>
      <c r="H23" s="32" t="s">
        <v>72</v>
      </c>
      <c r="I23" s="32">
        <f>'MERCADO TE'!$U$20</f>
        <v>0</v>
      </c>
      <c r="J23" s="17"/>
      <c r="L23" s="30">
        <f>'TR TE'!$L$23*'TR TE'!$L$49</f>
        <v>0</v>
      </c>
      <c r="M23" s="30">
        <f>'TR TE'!$M$23*'TR TE'!$M$49</f>
        <v>0</v>
      </c>
      <c r="N23" s="30">
        <f>'TR TE'!$N$23*'TR TE'!$N$49</f>
        <v>0</v>
      </c>
      <c r="O23" s="30">
        <f>'TR TE'!$O$23*'TR TE'!$O$49</f>
        <v>0</v>
      </c>
      <c r="P23" s="30">
        <f>SUM($L$23:$O$23)</f>
        <v>0</v>
      </c>
      <c r="Q23" s="30">
        <f>'TR TE'!$Q$23*'TR TE'!$Q$49</f>
        <v>253.58284698352881</v>
      </c>
      <c r="R23" s="30">
        <f>SUM($Q$23:$Q$23)</f>
        <v>253.58284698352881</v>
      </c>
      <c r="S23" s="30">
        <f>'TR TE'!$S$23*'TR TE'!$S$49</f>
        <v>0</v>
      </c>
      <c r="T23" s="30">
        <f>'TR TE'!$T$23*'TR TE'!$T$49</f>
        <v>0</v>
      </c>
      <c r="U23" s="30">
        <f>'TR TE'!$U$23*'TR TE'!$U$49</f>
        <v>0</v>
      </c>
      <c r="V23" s="30">
        <f>SUM($S$23:$U$23)</f>
        <v>0</v>
      </c>
      <c r="W23" s="30"/>
      <c r="X23" s="30">
        <f>SUM($W$23:$W$23)</f>
        <v>0</v>
      </c>
      <c r="Y23" s="30">
        <f>'TR TE'!$Y$23*'TR TE'!$Y$49</f>
        <v>0</v>
      </c>
      <c r="Z23" s="30">
        <f>SUM($Y$23:$Y$23)</f>
        <v>0</v>
      </c>
      <c r="AA23" s="30">
        <f>SUMIF($L$4:$Z$4,"SUBTOTAL",$L$23:$Z$23)</f>
        <v>253.58284698352881</v>
      </c>
    </row>
    <row r="24" spans="1:27" ht="11.25" customHeight="1" x14ac:dyDescent="0.3">
      <c r="A24" s="131"/>
      <c r="B24" s="33" t="s">
        <v>75</v>
      </c>
      <c r="C24" s="33" t="s">
        <v>44</v>
      </c>
      <c r="D24" s="33" t="s">
        <v>25</v>
      </c>
      <c r="E24" s="33" t="s">
        <v>25</v>
      </c>
      <c r="F24" s="33" t="s">
        <v>25</v>
      </c>
      <c r="G24" s="32" t="s">
        <v>76</v>
      </c>
      <c r="H24" s="32" t="s">
        <v>72</v>
      </c>
      <c r="I24" s="32">
        <f>'MERCADO TE'!$U$21</f>
        <v>600.24900000000002</v>
      </c>
      <c r="J24" s="17"/>
      <c r="L24" s="30">
        <f>'TR TE'!$L$24*'TR TE'!$L$49</f>
        <v>0</v>
      </c>
      <c r="M24" s="30">
        <f>'TR TE'!$M$24*'TR TE'!$M$49</f>
        <v>0</v>
      </c>
      <c r="N24" s="30">
        <f>'TR TE'!$N$24*'TR TE'!$N$49</f>
        <v>0</v>
      </c>
      <c r="O24" s="30">
        <f>'TR TE'!$O$24*'TR TE'!$O$49</f>
        <v>0</v>
      </c>
      <c r="P24" s="30">
        <f>SUM($L$24:$O$24)</f>
        <v>0</v>
      </c>
      <c r="Q24" s="30">
        <f>'TR TE'!$Q$24*'TR TE'!$Q$49</f>
        <v>253.58284698352881</v>
      </c>
      <c r="R24" s="30">
        <f>SUM($Q$24:$Q$24)</f>
        <v>253.58284698352881</v>
      </c>
      <c r="S24" s="30">
        <f>'TR TE'!$S$24*'TR TE'!$S$49</f>
        <v>0</v>
      </c>
      <c r="T24" s="30">
        <f>'TR TE'!$T$24*'TR TE'!$T$49</f>
        <v>0</v>
      </c>
      <c r="U24" s="30">
        <f>'TR TE'!$U$24*'TR TE'!$U$49</f>
        <v>0</v>
      </c>
      <c r="V24" s="30">
        <f>SUM($S$24:$U$24)</f>
        <v>0</v>
      </c>
      <c r="W24" s="30"/>
      <c r="X24" s="30">
        <f>SUM($W$24:$W$24)</f>
        <v>0</v>
      </c>
      <c r="Y24" s="30">
        <f>'TR TE'!$Y$24*'TR TE'!$Y$49</f>
        <v>0</v>
      </c>
      <c r="Z24" s="30">
        <f>SUM($Y$24:$Y$24)</f>
        <v>0</v>
      </c>
      <c r="AA24" s="30">
        <f>SUMIF($L$4:$Z$4,"SUBTOTAL",$L$24:$Z$24)</f>
        <v>253.58284698352881</v>
      </c>
    </row>
    <row r="25" spans="1:27" ht="11.25" customHeight="1" x14ac:dyDescent="0.3">
      <c r="A25" s="131"/>
      <c r="B25" s="131" t="s">
        <v>71</v>
      </c>
      <c r="C25" s="131" t="s">
        <v>44</v>
      </c>
      <c r="D25" s="131" t="s">
        <v>88</v>
      </c>
      <c r="E25" s="131" t="s">
        <v>25</v>
      </c>
      <c r="F25" s="131" t="s">
        <v>25</v>
      </c>
      <c r="G25" s="32" t="s">
        <v>73</v>
      </c>
      <c r="H25" s="32" t="s">
        <v>72</v>
      </c>
      <c r="I25" s="32">
        <f>'MERCADO TE'!$U$22</f>
        <v>0</v>
      </c>
      <c r="J25" s="17"/>
      <c r="L25" s="30">
        <f>'TR TE'!$L$25*'TR TE'!$L$49</f>
        <v>0</v>
      </c>
      <c r="M25" s="30">
        <f>'TR TE'!$M$25*'TR TE'!$M$49</f>
        <v>0</v>
      </c>
      <c r="N25" s="30">
        <f>'TR TE'!$N$25*'TR TE'!$N$49</f>
        <v>0</v>
      </c>
      <c r="O25" s="30">
        <f>'TR TE'!$O$25*'TR TE'!$O$49</f>
        <v>0</v>
      </c>
      <c r="P25" s="30">
        <f>SUM($L$25:$O$25)</f>
        <v>0</v>
      </c>
      <c r="Q25" s="30">
        <f>'TR TE'!$Q$25*'TR TE'!$Q$49</f>
        <v>253.58284698352881</v>
      </c>
      <c r="R25" s="30">
        <f>SUM($Q$25:$Q$25)</f>
        <v>253.58284698352881</v>
      </c>
      <c r="S25" s="30">
        <f>'TR TE'!$S$25*'TR TE'!$S$49</f>
        <v>0</v>
      </c>
      <c r="T25" s="30">
        <f>'TR TE'!$T$25*'TR TE'!$T$49</f>
        <v>0</v>
      </c>
      <c r="U25" s="30">
        <f>'TR TE'!$U$25*'TR TE'!$U$49</f>
        <v>0</v>
      </c>
      <c r="V25" s="30">
        <f>SUM($S$25:$U$25)</f>
        <v>0</v>
      </c>
      <c r="W25" s="30"/>
      <c r="X25" s="30">
        <f>SUM($W$25:$W$25)</f>
        <v>0</v>
      </c>
      <c r="Y25" s="30">
        <f>'TR TE'!$Y$25*'TR TE'!$Y$49</f>
        <v>0</v>
      </c>
      <c r="Z25" s="30">
        <f>SUM($Y$25:$Y$25)</f>
        <v>0</v>
      </c>
      <c r="AA25" s="30">
        <f>SUMIF($L$4:$Z$4,"SUBTOTAL",$L$25:$Z$25)</f>
        <v>253.58284698352881</v>
      </c>
    </row>
    <row r="26" spans="1:27" ht="11.25" customHeight="1" x14ac:dyDescent="0.3">
      <c r="A26" s="131"/>
      <c r="B26" s="131"/>
      <c r="C26" s="131"/>
      <c r="D26" s="131"/>
      <c r="E26" s="131"/>
      <c r="F26" s="131"/>
      <c r="G26" s="32" t="s">
        <v>85</v>
      </c>
      <c r="H26" s="32" t="s">
        <v>72</v>
      </c>
      <c r="I26" s="32">
        <f>'MERCADO TE'!$U$23</f>
        <v>0</v>
      </c>
      <c r="J26" s="17"/>
      <c r="L26" s="30">
        <f>'TR TE'!$L$26*'TR TE'!$L$49</f>
        <v>0</v>
      </c>
      <c r="M26" s="30">
        <f>'TR TE'!$M$26*'TR TE'!$M$49</f>
        <v>0</v>
      </c>
      <c r="N26" s="30">
        <f>'TR TE'!$N$26*'TR TE'!$N$49</f>
        <v>0</v>
      </c>
      <c r="O26" s="30">
        <f>'TR TE'!$O$26*'TR TE'!$O$49</f>
        <v>0</v>
      </c>
      <c r="P26" s="30">
        <f>SUM($L$26:$O$26)</f>
        <v>0</v>
      </c>
      <c r="Q26" s="30">
        <f>'TR TE'!$Q$26*'TR TE'!$Q$49</f>
        <v>253.58284698352881</v>
      </c>
      <c r="R26" s="30">
        <f>SUM($Q$26:$Q$26)</f>
        <v>253.58284698352881</v>
      </c>
      <c r="S26" s="30">
        <f>'TR TE'!$S$26*'TR TE'!$S$49</f>
        <v>0</v>
      </c>
      <c r="T26" s="30">
        <f>'TR TE'!$T$26*'TR TE'!$T$49</f>
        <v>0</v>
      </c>
      <c r="U26" s="30">
        <f>'TR TE'!$U$26*'TR TE'!$U$49</f>
        <v>0</v>
      </c>
      <c r="V26" s="30">
        <f>SUM($S$26:$U$26)</f>
        <v>0</v>
      </c>
      <c r="W26" s="30"/>
      <c r="X26" s="30">
        <f>SUM($W$26:$W$26)</f>
        <v>0</v>
      </c>
      <c r="Y26" s="30">
        <f>'TR TE'!$Y$26*'TR TE'!$Y$49</f>
        <v>0</v>
      </c>
      <c r="Z26" s="30">
        <f>SUM($Y$26:$Y$26)</f>
        <v>0</v>
      </c>
      <c r="AA26" s="30">
        <f>SUMIF($L$4:$Z$4,"SUBTOTAL",$L$26:$Z$26)</f>
        <v>253.58284698352881</v>
      </c>
    </row>
    <row r="27" spans="1:27" ht="11.25" customHeight="1" x14ac:dyDescent="0.3">
      <c r="A27" s="131"/>
      <c r="B27" s="131"/>
      <c r="C27" s="131"/>
      <c r="D27" s="131"/>
      <c r="E27" s="131"/>
      <c r="F27" s="131"/>
      <c r="G27" s="32" t="s">
        <v>74</v>
      </c>
      <c r="H27" s="32" t="s">
        <v>72</v>
      </c>
      <c r="I27" s="32">
        <f>'MERCADO TE'!$U$24</f>
        <v>0</v>
      </c>
      <c r="J27" s="17"/>
      <c r="L27" s="30">
        <f>'TR TE'!$L$27*'TR TE'!$L$49</f>
        <v>0</v>
      </c>
      <c r="M27" s="30">
        <f>'TR TE'!$M$27*'TR TE'!$M$49</f>
        <v>0</v>
      </c>
      <c r="N27" s="30">
        <f>'TR TE'!$N$27*'TR TE'!$N$49</f>
        <v>0</v>
      </c>
      <c r="O27" s="30">
        <f>'TR TE'!$O$27*'TR TE'!$O$49</f>
        <v>0</v>
      </c>
      <c r="P27" s="30">
        <f>SUM($L$27:$O$27)</f>
        <v>0</v>
      </c>
      <c r="Q27" s="30">
        <f>'TR TE'!$Q$27*'TR TE'!$Q$49</f>
        <v>253.58284698352881</v>
      </c>
      <c r="R27" s="30">
        <f>SUM($Q$27:$Q$27)</f>
        <v>253.58284698352881</v>
      </c>
      <c r="S27" s="30">
        <f>'TR TE'!$S$27*'TR TE'!$S$49</f>
        <v>0</v>
      </c>
      <c r="T27" s="30">
        <f>'TR TE'!$T$27*'TR TE'!$T$49</f>
        <v>0</v>
      </c>
      <c r="U27" s="30">
        <f>'TR TE'!$U$27*'TR TE'!$U$49</f>
        <v>0</v>
      </c>
      <c r="V27" s="30">
        <f>SUM($S$27:$U$27)</f>
        <v>0</v>
      </c>
      <c r="W27" s="30"/>
      <c r="X27" s="30">
        <f>SUM($W$27:$W$27)</f>
        <v>0</v>
      </c>
      <c r="Y27" s="30">
        <f>'TR TE'!$Y$27*'TR TE'!$Y$49</f>
        <v>0</v>
      </c>
      <c r="Z27" s="30">
        <f>SUM($Y$27:$Y$27)</f>
        <v>0</v>
      </c>
      <c r="AA27" s="30">
        <f>SUMIF($L$4:$Z$4,"SUBTOTAL",$L$27:$Z$27)</f>
        <v>253.58284698352881</v>
      </c>
    </row>
    <row r="28" spans="1:27" ht="11.25" customHeight="1" x14ac:dyDescent="0.3">
      <c r="A28" s="131"/>
      <c r="B28" s="33" t="s">
        <v>75</v>
      </c>
      <c r="C28" s="33" t="s">
        <v>44</v>
      </c>
      <c r="D28" s="33" t="s">
        <v>88</v>
      </c>
      <c r="E28" s="33" t="s">
        <v>25</v>
      </c>
      <c r="F28" s="33" t="s">
        <v>25</v>
      </c>
      <c r="G28" s="32" t="s">
        <v>76</v>
      </c>
      <c r="H28" s="32" t="s">
        <v>72</v>
      </c>
      <c r="I28" s="32">
        <f>'MERCADO TE'!$U$25</f>
        <v>0</v>
      </c>
      <c r="J28" s="17"/>
      <c r="L28" s="30">
        <f>'TR TE'!$L$28*'TR TE'!$L$49</f>
        <v>0</v>
      </c>
      <c r="M28" s="30">
        <f>'TR TE'!$M$28*'TR TE'!$M$49</f>
        <v>0</v>
      </c>
      <c r="N28" s="30">
        <f>'TR TE'!$N$28*'TR TE'!$N$49</f>
        <v>0</v>
      </c>
      <c r="O28" s="30">
        <f>'TR TE'!$O$28*'TR TE'!$O$49</f>
        <v>0</v>
      </c>
      <c r="P28" s="30">
        <f>SUM($L$28:$O$28)</f>
        <v>0</v>
      </c>
      <c r="Q28" s="30">
        <f>'TR TE'!$Q$28*'TR TE'!$Q$49</f>
        <v>253.58284698352881</v>
      </c>
      <c r="R28" s="30">
        <f>SUM($Q$28:$Q$28)</f>
        <v>253.58284698352881</v>
      </c>
      <c r="S28" s="30">
        <f>'TR TE'!$S$28*'TR TE'!$S$49</f>
        <v>0</v>
      </c>
      <c r="T28" s="30">
        <f>'TR TE'!$T$28*'TR TE'!$T$49</f>
        <v>0</v>
      </c>
      <c r="U28" s="30">
        <f>'TR TE'!$U$28*'TR TE'!$U$49</f>
        <v>0</v>
      </c>
      <c r="V28" s="30">
        <f>SUM($S$28:$U$28)</f>
        <v>0</v>
      </c>
      <c r="W28" s="30"/>
      <c r="X28" s="30">
        <f>SUM($W$28:$W$28)</f>
        <v>0</v>
      </c>
      <c r="Y28" s="30">
        <f>'TR TE'!$Y$28*'TR TE'!$Y$49</f>
        <v>0</v>
      </c>
      <c r="Z28" s="30">
        <f>SUM($Y$28:$Y$28)</f>
        <v>0</v>
      </c>
      <c r="AA28" s="30">
        <f>SUMIF($L$4:$Z$4,"SUBTOTAL",$L$28:$Z$28)</f>
        <v>253.58284698352881</v>
      </c>
    </row>
    <row r="29" spans="1:27" ht="11.25" customHeight="1" x14ac:dyDescent="0.3">
      <c r="A29" s="131"/>
      <c r="B29" s="131" t="s">
        <v>71</v>
      </c>
      <c r="C29" s="131" t="s">
        <v>44</v>
      </c>
      <c r="D29" s="131" t="s">
        <v>89</v>
      </c>
      <c r="E29" s="131" t="s">
        <v>25</v>
      </c>
      <c r="F29" s="131" t="s">
        <v>25</v>
      </c>
      <c r="G29" s="32" t="s">
        <v>73</v>
      </c>
      <c r="H29" s="32" t="s">
        <v>72</v>
      </c>
      <c r="I29" s="32">
        <f>'MERCADO TE'!$U$26</f>
        <v>0</v>
      </c>
      <c r="J29" s="17"/>
      <c r="L29" s="30">
        <f>'TR TE'!$L$29*'TR TE'!$L$49</f>
        <v>0</v>
      </c>
      <c r="M29" s="30">
        <f>'TR TE'!$M$29*'TR TE'!$M$49</f>
        <v>0</v>
      </c>
      <c r="N29" s="30">
        <f>'TR TE'!$N$29*'TR TE'!$N$49</f>
        <v>0</v>
      </c>
      <c r="O29" s="30">
        <f>'TR TE'!$O$29*'TR TE'!$O$49</f>
        <v>0</v>
      </c>
      <c r="P29" s="30">
        <f>SUM($L$29:$O$29)</f>
        <v>0</v>
      </c>
      <c r="Q29" s="30">
        <f>'TR TE'!$Q$29*'TR TE'!$Q$49</f>
        <v>253.58284698352881</v>
      </c>
      <c r="R29" s="30">
        <f>SUM($Q$29:$Q$29)</f>
        <v>253.58284698352881</v>
      </c>
      <c r="S29" s="30">
        <f>'TR TE'!$S$29*'TR TE'!$S$49</f>
        <v>0</v>
      </c>
      <c r="T29" s="30">
        <f>'TR TE'!$T$29*'TR TE'!$T$49</f>
        <v>0</v>
      </c>
      <c r="U29" s="30">
        <f>'TR TE'!$U$29*'TR TE'!$U$49</f>
        <v>0</v>
      </c>
      <c r="V29" s="30">
        <f>SUM($S$29:$U$29)</f>
        <v>0</v>
      </c>
      <c r="W29" s="30"/>
      <c r="X29" s="30">
        <f>SUM($W$29:$W$29)</f>
        <v>0</v>
      </c>
      <c r="Y29" s="30">
        <f>'TR TE'!$Y$29*'TR TE'!$Y$49</f>
        <v>0</v>
      </c>
      <c r="Z29" s="30">
        <f>SUM($Y$29:$Y$29)</f>
        <v>0</v>
      </c>
      <c r="AA29" s="30">
        <f>SUMIF($L$4:$Z$4,"SUBTOTAL",$L$29:$Z$29)</f>
        <v>253.58284698352881</v>
      </c>
    </row>
    <row r="30" spans="1:27" ht="11.25" customHeight="1" x14ac:dyDescent="0.3">
      <c r="A30" s="131"/>
      <c r="B30" s="131"/>
      <c r="C30" s="131"/>
      <c r="D30" s="131"/>
      <c r="E30" s="131"/>
      <c r="F30" s="131"/>
      <c r="G30" s="32" t="s">
        <v>85</v>
      </c>
      <c r="H30" s="32" t="s">
        <v>72</v>
      </c>
      <c r="I30" s="32">
        <f>'MERCADO TE'!$U$27</f>
        <v>0</v>
      </c>
      <c r="J30" s="17"/>
      <c r="L30" s="30">
        <f>'TR TE'!$L$30*'TR TE'!$L$49</f>
        <v>0</v>
      </c>
      <c r="M30" s="30">
        <f>'TR TE'!$M$30*'TR TE'!$M$49</f>
        <v>0</v>
      </c>
      <c r="N30" s="30">
        <f>'TR TE'!$N$30*'TR TE'!$N$49</f>
        <v>0</v>
      </c>
      <c r="O30" s="30">
        <f>'TR TE'!$O$30*'TR TE'!$O$49</f>
        <v>0</v>
      </c>
      <c r="P30" s="30">
        <f>SUM($L$30:$O$30)</f>
        <v>0</v>
      </c>
      <c r="Q30" s="30">
        <f>'TR TE'!$Q$30*'TR TE'!$Q$49</f>
        <v>253.58284698352881</v>
      </c>
      <c r="R30" s="30">
        <f>SUM($Q$30:$Q$30)</f>
        <v>253.58284698352881</v>
      </c>
      <c r="S30" s="30">
        <f>'TR TE'!$S$30*'TR TE'!$S$49</f>
        <v>0</v>
      </c>
      <c r="T30" s="30">
        <f>'TR TE'!$T$30*'TR TE'!$T$49</f>
        <v>0</v>
      </c>
      <c r="U30" s="30">
        <f>'TR TE'!$U$30*'TR TE'!$U$49</f>
        <v>0</v>
      </c>
      <c r="V30" s="30">
        <f>SUM($S$30:$U$30)</f>
        <v>0</v>
      </c>
      <c r="W30" s="30"/>
      <c r="X30" s="30">
        <f>SUM($W$30:$W$30)</f>
        <v>0</v>
      </c>
      <c r="Y30" s="30">
        <f>'TR TE'!$Y$30*'TR TE'!$Y$49</f>
        <v>0</v>
      </c>
      <c r="Z30" s="30">
        <f>SUM($Y$30:$Y$30)</f>
        <v>0</v>
      </c>
      <c r="AA30" s="30">
        <f>SUMIF($L$4:$Z$4,"SUBTOTAL",$L$30:$Z$30)</f>
        <v>253.58284698352881</v>
      </c>
    </row>
    <row r="31" spans="1:27" ht="11.25" customHeight="1" x14ac:dyDescent="0.3">
      <c r="A31" s="131"/>
      <c r="B31" s="131"/>
      <c r="C31" s="131"/>
      <c r="D31" s="131"/>
      <c r="E31" s="131"/>
      <c r="F31" s="131"/>
      <c r="G31" s="32" t="s">
        <v>74</v>
      </c>
      <c r="H31" s="32" t="s">
        <v>72</v>
      </c>
      <c r="I31" s="32">
        <f>'MERCADO TE'!$U$28</f>
        <v>0</v>
      </c>
      <c r="J31" s="17"/>
      <c r="L31" s="30">
        <f>'TR TE'!$L$31*'TR TE'!$L$49</f>
        <v>0</v>
      </c>
      <c r="M31" s="30">
        <f>'TR TE'!$M$31*'TR TE'!$M$49</f>
        <v>0</v>
      </c>
      <c r="N31" s="30">
        <f>'TR TE'!$N$31*'TR TE'!$N$49</f>
        <v>0</v>
      </c>
      <c r="O31" s="30">
        <f>'TR TE'!$O$31*'TR TE'!$O$49</f>
        <v>0</v>
      </c>
      <c r="P31" s="30">
        <f>SUM($L$31:$O$31)</f>
        <v>0</v>
      </c>
      <c r="Q31" s="30">
        <f>'TR TE'!$Q$31*'TR TE'!$Q$49</f>
        <v>253.58284698352881</v>
      </c>
      <c r="R31" s="30">
        <f>SUM($Q$31:$Q$31)</f>
        <v>253.58284698352881</v>
      </c>
      <c r="S31" s="30">
        <f>'TR TE'!$S$31*'TR TE'!$S$49</f>
        <v>0</v>
      </c>
      <c r="T31" s="30">
        <f>'TR TE'!$T$31*'TR TE'!$T$49</f>
        <v>0</v>
      </c>
      <c r="U31" s="30">
        <f>'TR TE'!$U$31*'TR TE'!$U$49</f>
        <v>0</v>
      </c>
      <c r="V31" s="30">
        <f>SUM($S$31:$U$31)</f>
        <v>0</v>
      </c>
      <c r="W31" s="30"/>
      <c r="X31" s="30">
        <f>SUM($W$31:$W$31)</f>
        <v>0</v>
      </c>
      <c r="Y31" s="30">
        <f>'TR TE'!$Y$31*'TR TE'!$Y$49</f>
        <v>0</v>
      </c>
      <c r="Z31" s="30">
        <f>SUM($Y$31:$Y$31)</f>
        <v>0</v>
      </c>
      <c r="AA31" s="30">
        <f>SUMIF($L$4:$Z$4,"SUBTOTAL",$L$31:$Z$31)</f>
        <v>253.58284698352881</v>
      </c>
    </row>
    <row r="32" spans="1:27" ht="11.25" customHeight="1" x14ac:dyDescent="0.3">
      <c r="A32" s="131"/>
      <c r="B32" s="33" t="s">
        <v>75</v>
      </c>
      <c r="C32" s="33" t="s">
        <v>44</v>
      </c>
      <c r="D32" s="33" t="s">
        <v>89</v>
      </c>
      <c r="E32" s="33" t="s">
        <v>25</v>
      </c>
      <c r="F32" s="33" t="s">
        <v>25</v>
      </c>
      <c r="G32" s="32" t="s">
        <v>76</v>
      </c>
      <c r="H32" s="32" t="s">
        <v>72</v>
      </c>
      <c r="I32" s="32">
        <f>'MERCADO TE'!$U$29</f>
        <v>0</v>
      </c>
      <c r="J32" s="17"/>
      <c r="L32" s="30">
        <f>'TR TE'!$L$32*'TR TE'!$L$49</f>
        <v>0</v>
      </c>
      <c r="M32" s="30">
        <f>'TR TE'!$M$32*'TR TE'!$M$49</f>
        <v>0</v>
      </c>
      <c r="N32" s="30">
        <f>'TR TE'!$N$32*'TR TE'!$N$49</f>
        <v>0</v>
      </c>
      <c r="O32" s="30">
        <f>'TR TE'!$O$32*'TR TE'!$O$49</f>
        <v>0</v>
      </c>
      <c r="P32" s="30">
        <f>SUM($L$32:$O$32)</f>
        <v>0</v>
      </c>
      <c r="Q32" s="30">
        <f>'TR TE'!$Q$32*'TR TE'!$Q$49</f>
        <v>253.58284698352881</v>
      </c>
      <c r="R32" s="30">
        <f>SUM($Q$32:$Q$32)</f>
        <v>253.58284698352881</v>
      </c>
      <c r="S32" s="30">
        <f>'TR TE'!$S$32*'TR TE'!$S$49</f>
        <v>0</v>
      </c>
      <c r="T32" s="30">
        <f>'TR TE'!$T$32*'TR TE'!$T$49</f>
        <v>0</v>
      </c>
      <c r="U32" s="30">
        <f>'TR TE'!$U$32*'TR TE'!$U$49</f>
        <v>0</v>
      </c>
      <c r="V32" s="30">
        <f>SUM($S$32:$U$32)</f>
        <v>0</v>
      </c>
      <c r="W32" s="30"/>
      <c r="X32" s="30">
        <f>SUM($W$32:$W$32)</f>
        <v>0</v>
      </c>
      <c r="Y32" s="30">
        <f>'TR TE'!$Y$32*'TR TE'!$Y$49</f>
        <v>0</v>
      </c>
      <c r="Z32" s="30">
        <f>SUM($Y$32:$Y$32)</f>
        <v>0</v>
      </c>
      <c r="AA32" s="30">
        <f>SUMIF($L$4:$Z$4,"SUBTOTAL",$L$32:$Z$32)</f>
        <v>253.58284698352881</v>
      </c>
    </row>
    <row r="33" spans="1:27" ht="11.25" customHeight="1" x14ac:dyDescent="0.3">
      <c r="A33" s="131"/>
      <c r="B33" s="131" t="s">
        <v>86</v>
      </c>
      <c r="C33" s="131" t="s">
        <v>44</v>
      </c>
      <c r="D33" s="33" t="s">
        <v>25</v>
      </c>
      <c r="E33" s="33" t="s">
        <v>25</v>
      </c>
      <c r="F33" s="33" t="s">
        <v>25</v>
      </c>
      <c r="G33" s="32" t="s">
        <v>76</v>
      </c>
      <c r="H33" s="32" t="s">
        <v>72</v>
      </c>
      <c r="I33" s="32">
        <f>'MERCADO TE'!$U$30</f>
        <v>0</v>
      </c>
      <c r="J33" s="17"/>
      <c r="L33" s="30">
        <f>'TR TE'!$L$33*'TR TE'!$L$49</f>
        <v>0</v>
      </c>
      <c r="M33" s="30">
        <f>'TR TE'!$M$33*'TR TE'!$M$49</f>
        <v>0</v>
      </c>
      <c r="N33" s="30">
        <f>'TR TE'!$N$33*'TR TE'!$N$49</f>
        <v>0</v>
      </c>
      <c r="O33" s="30">
        <f>'TR TE'!$O$33*'TR TE'!$O$49</f>
        <v>0</v>
      </c>
      <c r="P33" s="30">
        <f>SUM($L$33:$O$33)</f>
        <v>0</v>
      </c>
      <c r="Q33" s="30">
        <f>'TR TE'!$Q$33*'TR TE'!$Q$49</f>
        <v>253.58284698352881</v>
      </c>
      <c r="R33" s="30">
        <f>SUM($Q$33:$Q$33)</f>
        <v>253.58284698352881</v>
      </c>
      <c r="S33" s="30">
        <f>'TR TE'!$S$33*'TR TE'!$S$49</f>
        <v>0</v>
      </c>
      <c r="T33" s="30">
        <f>'TR TE'!$T$33*'TR TE'!$T$49</f>
        <v>0</v>
      </c>
      <c r="U33" s="30">
        <f>'TR TE'!$U$33*'TR TE'!$U$49</f>
        <v>0</v>
      </c>
      <c r="V33" s="30">
        <f>SUM($S$33:$U$33)</f>
        <v>0</v>
      </c>
      <c r="W33" s="30"/>
      <c r="X33" s="30">
        <f>SUM($W$33:$W$33)</f>
        <v>0</v>
      </c>
      <c r="Y33" s="30">
        <f>'TR TE'!$Y$33*'TR TE'!$Y$49</f>
        <v>0</v>
      </c>
      <c r="Z33" s="30">
        <f>SUM($Y$33:$Y$33)</f>
        <v>0</v>
      </c>
      <c r="AA33" s="30">
        <f>SUMIF($L$4:$Z$4,"SUBTOTAL",$L$33:$Z$33)</f>
        <v>253.58284698352881</v>
      </c>
    </row>
    <row r="34" spans="1:27" ht="11.25" customHeight="1" x14ac:dyDescent="0.3">
      <c r="A34" s="131"/>
      <c r="B34" s="131"/>
      <c r="C34" s="131"/>
      <c r="D34" s="33" t="s">
        <v>88</v>
      </c>
      <c r="E34" s="33" t="s">
        <v>25</v>
      </c>
      <c r="F34" s="33" t="s">
        <v>25</v>
      </c>
      <c r="G34" s="32" t="s">
        <v>76</v>
      </c>
      <c r="H34" s="32" t="s">
        <v>72</v>
      </c>
      <c r="I34" s="32">
        <f>'MERCADO TE'!$U$31</f>
        <v>0</v>
      </c>
      <c r="J34" s="17"/>
      <c r="L34" s="30">
        <f>'TR TE'!$L$34*'TR TE'!$L$49</f>
        <v>0</v>
      </c>
      <c r="M34" s="30">
        <f>'TR TE'!$M$34*'TR TE'!$M$49</f>
        <v>0</v>
      </c>
      <c r="N34" s="30">
        <f>'TR TE'!$N$34*'TR TE'!$N$49</f>
        <v>0</v>
      </c>
      <c r="O34" s="30">
        <f>'TR TE'!$O$34*'TR TE'!$O$49</f>
        <v>0</v>
      </c>
      <c r="P34" s="30">
        <f>SUM($L$34:$O$34)</f>
        <v>0</v>
      </c>
      <c r="Q34" s="30">
        <f>'TR TE'!$Q$34*'TR TE'!$Q$49</f>
        <v>253.58284698352881</v>
      </c>
      <c r="R34" s="30">
        <f>SUM($Q$34:$Q$34)</f>
        <v>253.58284698352881</v>
      </c>
      <c r="S34" s="30">
        <f>'TR TE'!$S$34*'TR TE'!$S$49</f>
        <v>0</v>
      </c>
      <c r="T34" s="30">
        <f>'TR TE'!$T$34*'TR TE'!$T$49</f>
        <v>0</v>
      </c>
      <c r="U34" s="30">
        <f>'TR TE'!$U$34*'TR TE'!$U$49</f>
        <v>0</v>
      </c>
      <c r="V34" s="30">
        <f>SUM($S$34:$U$34)</f>
        <v>0</v>
      </c>
      <c r="W34" s="30"/>
      <c r="X34" s="30">
        <f>SUM($W$34:$W$34)</f>
        <v>0</v>
      </c>
      <c r="Y34" s="30">
        <f>'TR TE'!$Y$34*'TR TE'!$Y$49</f>
        <v>0</v>
      </c>
      <c r="Z34" s="30">
        <f>SUM($Y$34:$Y$34)</f>
        <v>0</v>
      </c>
      <c r="AA34" s="30">
        <f>SUMIF($L$4:$Z$4,"SUBTOTAL",$L$34:$Z$34)</f>
        <v>253.58284698352881</v>
      </c>
    </row>
    <row r="35" spans="1:27" ht="11.25" customHeight="1" x14ac:dyDescent="0.3">
      <c r="A35" s="131"/>
      <c r="B35" s="131"/>
      <c r="C35" s="131"/>
      <c r="D35" s="33" t="s">
        <v>89</v>
      </c>
      <c r="E35" s="33" t="s">
        <v>25</v>
      </c>
      <c r="F35" s="33" t="s">
        <v>25</v>
      </c>
      <c r="G35" s="32" t="s">
        <v>76</v>
      </c>
      <c r="H35" s="32" t="s">
        <v>72</v>
      </c>
      <c r="I35" s="32">
        <f>'MERCADO TE'!$U$32</f>
        <v>0</v>
      </c>
      <c r="J35" s="17"/>
      <c r="L35" s="30">
        <f>'TR TE'!$L$35*'TR TE'!$L$49</f>
        <v>0</v>
      </c>
      <c r="M35" s="30">
        <f>'TR TE'!$M$35*'TR TE'!$M$49</f>
        <v>0</v>
      </c>
      <c r="N35" s="30">
        <f>'TR TE'!$N$35*'TR TE'!$N$49</f>
        <v>0</v>
      </c>
      <c r="O35" s="30">
        <f>'TR TE'!$O$35*'TR TE'!$O$49</f>
        <v>0</v>
      </c>
      <c r="P35" s="30">
        <f>SUM($L$35:$O$35)</f>
        <v>0</v>
      </c>
      <c r="Q35" s="30">
        <f>'TR TE'!$Q$35*'TR TE'!$Q$49</f>
        <v>253.58284698352881</v>
      </c>
      <c r="R35" s="30">
        <f>SUM($Q$35:$Q$35)</f>
        <v>253.58284698352881</v>
      </c>
      <c r="S35" s="30">
        <f>'TR TE'!$S$35*'TR TE'!$S$49</f>
        <v>0</v>
      </c>
      <c r="T35" s="30">
        <f>'TR TE'!$T$35*'TR TE'!$T$49</f>
        <v>0</v>
      </c>
      <c r="U35" s="30">
        <f>'TR TE'!$U$35*'TR TE'!$U$49</f>
        <v>0</v>
      </c>
      <c r="V35" s="30">
        <f>SUM($S$35:$U$35)</f>
        <v>0</v>
      </c>
      <c r="W35" s="30"/>
      <c r="X35" s="30">
        <f>SUM($W$35:$W$35)</f>
        <v>0</v>
      </c>
      <c r="Y35" s="30">
        <f>'TR TE'!$Y$35*'TR TE'!$Y$49</f>
        <v>0</v>
      </c>
      <c r="Z35" s="30">
        <f>SUM($Y$35:$Y$35)</f>
        <v>0</v>
      </c>
      <c r="AA35" s="30">
        <f>SUMIF($L$4:$Z$4,"SUBTOTAL",$L$35:$Z$35)</f>
        <v>253.58284698352881</v>
      </c>
    </row>
    <row r="36" spans="1:27" ht="11.25" customHeight="1" x14ac:dyDescent="0.3">
      <c r="A36" s="131" t="s">
        <v>35</v>
      </c>
      <c r="B36" s="131" t="s">
        <v>71</v>
      </c>
      <c r="C36" s="131" t="s">
        <v>25</v>
      </c>
      <c r="D36" s="131" t="s">
        <v>25</v>
      </c>
      <c r="E36" s="131" t="s">
        <v>25</v>
      </c>
      <c r="F36" s="131" t="s">
        <v>25</v>
      </c>
      <c r="G36" s="32" t="s">
        <v>73</v>
      </c>
      <c r="H36" s="32" t="s">
        <v>72</v>
      </c>
      <c r="I36" s="32">
        <f>'MERCADO TE'!$U$33</f>
        <v>0.38900000000000001</v>
      </c>
      <c r="J36" s="17"/>
      <c r="L36" s="30">
        <f>'TR TE'!$L$36*'TR TE'!$L$49</f>
        <v>0</v>
      </c>
      <c r="M36" s="30">
        <f>'TR TE'!$M$36*'TR TE'!$M$49</f>
        <v>0</v>
      </c>
      <c r="N36" s="30">
        <f>'TR TE'!$N$36*'TR TE'!$N$49</f>
        <v>0</v>
      </c>
      <c r="O36" s="30">
        <f>'TR TE'!$O$36*'TR TE'!$O$49</f>
        <v>0</v>
      </c>
      <c r="P36" s="30">
        <f>SUM($L$36:$O$36)</f>
        <v>0</v>
      </c>
      <c r="Q36" s="30">
        <f>'TR TE'!$Q$36*'TR TE'!$Q$49</f>
        <v>253.58284698352881</v>
      </c>
      <c r="R36" s="30">
        <f>SUM($Q$36:$Q$36)</f>
        <v>253.58284698352881</v>
      </c>
      <c r="S36" s="30">
        <f>'TR TE'!$S$36*'TR TE'!$S$49</f>
        <v>0</v>
      </c>
      <c r="T36" s="30">
        <f>'TR TE'!$T$36*'TR TE'!$T$49</f>
        <v>0</v>
      </c>
      <c r="U36" s="30">
        <f>'TR TE'!$U$36*'TR TE'!$U$49</f>
        <v>0</v>
      </c>
      <c r="V36" s="30">
        <f>SUM($S$36:$U$36)</f>
        <v>0</v>
      </c>
      <c r="W36" s="30"/>
      <c r="X36" s="30">
        <f>SUM($W$36:$W$36)</f>
        <v>0</v>
      </c>
      <c r="Y36" s="30">
        <f>'TR TE'!$Y$36*'TR TE'!$Y$49</f>
        <v>0</v>
      </c>
      <c r="Z36" s="30">
        <f>SUM($Y$36:$Y$36)</f>
        <v>0</v>
      </c>
      <c r="AA36" s="30">
        <f>SUMIF($L$4:$Z$4,"SUBTOTAL",$L$36:$Z$36)</f>
        <v>253.58284698352881</v>
      </c>
    </row>
    <row r="37" spans="1:27" ht="11.25" customHeight="1" x14ac:dyDescent="0.3">
      <c r="A37" s="131"/>
      <c r="B37" s="131"/>
      <c r="C37" s="131"/>
      <c r="D37" s="131"/>
      <c r="E37" s="131"/>
      <c r="F37" s="131"/>
      <c r="G37" s="32" t="s">
        <v>85</v>
      </c>
      <c r="H37" s="32" t="s">
        <v>72</v>
      </c>
      <c r="I37" s="32">
        <f>'MERCADO TE'!$U$34</f>
        <v>0.23799999999999999</v>
      </c>
      <c r="J37" s="17"/>
      <c r="L37" s="30">
        <f>'TR TE'!$L$37*'TR TE'!$L$49</f>
        <v>0</v>
      </c>
      <c r="M37" s="30">
        <f>'TR TE'!$M$37*'TR TE'!$M$49</f>
        <v>0</v>
      </c>
      <c r="N37" s="30">
        <f>'TR TE'!$N$37*'TR TE'!$N$49</f>
        <v>0</v>
      </c>
      <c r="O37" s="30">
        <f>'TR TE'!$O$37*'TR TE'!$O$49</f>
        <v>0</v>
      </c>
      <c r="P37" s="30">
        <f>SUM($L$37:$O$37)</f>
        <v>0</v>
      </c>
      <c r="Q37" s="30">
        <f>'TR TE'!$Q$37*'TR TE'!$Q$49</f>
        <v>253.58284698352881</v>
      </c>
      <c r="R37" s="30">
        <f>SUM($Q$37:$Q$37)</f>
        <v>253.58284698352881</v>
      </c>
      <c r="S37" s="30">
        <f>'TR TE'!$S$37*'TR TE'!$S$49</f>
        <v>0</v>
      </c>
      <c r="T37" s="30">
        <f>'TR TE'!$T$37*'TR TE'!$T$49</f>
        <v>0</v>
      </c>
      <c r="U37" s="30">
        <f>'TR TE'!$U$37*'TR TE'!$U$49</f>
        <v>0</v>
      </c>
      <c r="V37" s="30">
        <f>SUM($S$37:$U$37)</f>
        <v>0</v>
      </c>
      <c r="W37" s="30"/>
      <c r="X37" s="30">
        <f>SUM($W$37:$W$37)</f>
        <v>0</v>
      </c>
      <c r="Y37" s="30">
        <f>'TR TE'!$Y$37*'TR TE'!$Y$49</f>
        <v>0</v>
      </c>
      <c r="Z37" s="30">
        <f>SUM($Y$37:$Y$37)</f>
        <v>0</v>
      </c>
      <c r="AA37" s="30">
        <f>SUMIF($L$4:$Z$4,"SUBTOTAL",$L$37:$Z$37)</f>
        <v>253.58284698352881</v>
      </c>
    </row>
    <row r="38" spans="1:27" ht="11.25" customHeight="1" x14ac:dyDescent="0.3">
      <c r="A38" s="131"/>
      <c r="B38" s="131"/>
      <c r="C38" s="131"/>
      <c r="D38" s="131"/>
      <c r="E38" s="131"/>
      <c r="F38" s="131"/>
      <c r="G38" s="32" t="s">
        <v>74</v>
      </c>
      <c r="H38" s="32" t="s">
        <v>72</v>
      </c>
      <c r="I38" s="32">
        <f>'MERCADO TE'!$U$35</f>
        <v>2.8279999999999998</v>
      </c>
      <c r="J38" s="17"/>
      <c r="L38" s="30">
        <f>'TR TE'!$L$38*'TR TE'!$L$49</f>
        <v>0</v>
      </c>
      <c r="M38" s="30">
        <f>'TR TE'!$M$38*'TR TE'!$M$49</f>
        <v>0</v>
      </c>
      <c r="N38" s="30">
        <f>'TR TE'!$N$38*'TR TE'!$N$49</f>
        <v>0</v>
      </c>
      <c r="O38" s="30">
        <f>'TR TE'!$O$38*'TR TE'!$O$49</f>
        <v>0</v>
      </c>
      <c r="P38" s="30">
        <f>SUM($L$38:$O$38)</f>
        <v>0</v>
      </c>
      <c r="Q38" s="30">
        <f>'TR TE'!$Q$38*'TR TE'!$Q$49</f>
        <v>253.58284698352881</v>
      </c>
      <c r="R38" s="30">
        <f>SUM($Q$38:$Q$38)</f>
        <v>253.58284698352881</v>
      </c>
      <c r="S38" s="30">
        <f>'TR TE'!$S$38*'TR TE'!$S$49</f>
        <v>0</v>
      </c>
      <c r="T38" s="30">
        <f>'TR TE'!$T$38*'TR TE'!$T$49</f>
        <v>0</v>
      </c>
      <c r="U38" s="30">
        <f>'TR TE'!$U$38*'TR TE'!$U$49</f>
        <v>0</v>
      </c>
      <c r="V38" s="30">
        <f>SUM($S$38:$U$38)</f>
        <v>0</v>
      </c>
      <c r="W38" s="30"/>
      <c r="X38" s="30">
        <f>SUM($W$38:$W$38)</f>
        <v>0</v>
      </c>
      <c r="Y38" s="30">
        <f>'TR TE'!$Y$38*'TR TE'!$Y$49</f>
        <v>0</v>
      </c>
      <c r="Z38" s="30">
        <f>SUM($Y$38:$Y$38)</f>
        <v>0</v>
      </c>
      <c r="AA38" s="30">
        <f>SUMIF($L$4:$Z$4,"SUBTOTAL",$L$38:$Z$38)</f>
        <v>253.58284698352881</v>
      </c>
    </row>
    <row r="39" spans="1:27" ht="11.25" customHeight="1" x14ac:dyDescent="0.3">
      <c r="A39" s="131"/>
      <c r="B39" s="33" t="s">
        <v>75</v>
      </c>
      <c r="C39" s="33" t="s">
        <v>25</v>
      </c>
      <c r="D39" s="33" t="s">
        <v>25</v>
      </c>
      <c r="E39" s="33" t="s">
        <v>25</v>
      </c>
      <c r="F39" s="33" t="s">
        <v>25</v>
      </c>
      <c r="G39" s="32" t="s">
        <v>76</v>
      </c>
      <c r="H39" s="32" t="s">
        <v>72</v>
      </c>
      <c r="I39" s="32">
        <f>'MERCADO TE'!$U$36</f>
        <v>1798.9960000000001</v>
      </c>
      <c r="J39" s="17"/>
      <c r="L39" s="30">
        <f>'TR TE'!$L$39*'TR TE'!$L$49</f>
        <v>0</v>
      </c>
      <c r="M39" s="30">
        <f>'TR TE'!$M$39*'TR TE'!$M$49</f>
        <v>0</v>
      </c>
      <c r="N39" s="30">
        <f>'TR TE'!$N$39*'TR TE'!$N$49</f>
        <v>0</v>
      </c>
      <c r="O39" s="30">
        <f>'TR TE'!$O$39*'TR TE'!$O$49</f>
        <v>0</v>
      </c>
      <c r="P39" s="30">
        <f>SUM($L$39:$O$39)</f>
        <v>0</v>
      </c>
      <c r="Q39" s="30">
        <f>'TR TE'!$Q$39*'TR TE'!$Q$49</f>
        <v>253.58284698352881</v>
      </c>
      <c r="R39" s="30">
        <f>SUM($Q$39:$Q$39)</f>
        <v>253.58284698352881</v>
      </c>
      <c r="S39" s="30">
        <f>'TR TE'!$S$39*'TR TE'!$S$49</f>
        <v>0</v>
      </c>
      <c r="T39" s="30">
        <f>'TR TE'!$T$39*'TR TE'!$T$49</f>
        <v>0</v>
      </c>
      <c r="U39" s="30">
        <f>'TR TE'!$U$39*'TR TE'!$U$49</f>
        <v>0</v>
      </c>
      <c r="V39" s="30">
        <f>SUM($S$39:$U$39)</f>
        <v>0</v>
      </c>
      <c r="W39" s="30"/>
      <c r="X39" s="30">
        <f>SUM($W$39:$W$39)</f>
        <v>0</v>
      </c>
      <c r="Y39" s="30">
        <f>'TR TE'!$Y$39*'TR TE'!$Y$49</f>
        <v>0</v>
      </c>
      <c r="Z39" s="30">
        <f>SUM($Y$39:$Y$39)</f>
        <v>0</v>
      </c>
      <c r="AA39" s="30">
        <f>SUMIF($L$4:$Z$4,"SUBTOTAL",$L$39:$Z$39)</f>
        <v>253.58284698352881</v>
      </c>
    </row>
    <row r="40" spans="1:27" ht="11.25" customHeight="1" x14ac:dyDescent="0.3">
      <c r="A40" s="131"/>
      <c r="B40" s="33" t="s">
        <v>86</v>
      </c>
      <c r="C40" s="33" t="s">
        <v>25</v>
      </c>
      <c r="D40" s="33" t="s">
        <v>25</v>
      </c>
      <c r="E40" s="33" t="s">
        <v>25</v>
      </c>
      <c r="F40" s="33" t="s">
        <v>25</v>
      </c>
      <c r="G40" s="32" t="s">
        <v>76</v>
      </c>
      <c r="H40" s="32" t="s">
        <v>72</v>
      </c>
      <c r="I40" s="32">
        <f>'MERCADO TE'!$U$37</f>
        <v>0</v>
      </c>
      <c r="J40" s="17"/>
      <c r="L40" s="30">
        <f>'TR TE'!$L$40*'TR TE'!$L$49</f>
        <v>0</v>
      </c>
      <c r="M40" s="30">
        <f>'TR TE'!$M$40*'TR TE'!$M$49</f>
        <v>0</v>
      </c>
      <c r="N40" s="30">
        <f>'TR TE'!$N$40*'TR TE'!$N$49</f>
        <v>0</v>
      </c>
      <c r="O40" s="30">
        <f>'TR TE'!$O$40*'TR TE'!$O$49</f>
        <v>0</v>
      </c>
      <c r="P40" s="30">
        <f>SUM($L$40:$O$40)</f>
        <v>0</v>
      </c>
      <c r="Q40" s="30">
        <f>'TR TE'!$Q$40*'TR TE'!$Q$49</f>
        <v>253.58284698352881</v>
      </c>
      <c r="R40" s="30">
        <f>SUM($Q$40:$Q$40)</f>
        <v>253.58284698352881</v>
      </c>
      <c r="S40" s="30">
        <f>'TR TE'!$S$40*'TR TE'!$S$49</f>
        <v>0</v>
      </c>
      <c r="T40" s="30">
        <f>'TR TE'!$T$40*'TR TE'!$T$49</f>
        <v>0</v>
      </c>
      <c r="U40" s="30">
        <f>'TR TE'!$U$40*'TR TE'!$U$49</f>
        <v>0</v>
      </c>
      <c r="V40" s="30">
        <f>SUM($S$40:$U$40)</f>
        <v>0</v>
      </c>
      <c r="W40" s="30"/>
      <c r="X40" s="30">
        <f>SUM($W$40:$W$40)</f>
        <v>0</v>
      </c>
      <c r="Y40" s="30">
        <f>'TR TE'!$Y$40*'TR TE'!$Y$49</f>
        <v>0</v>
      </c>
      <c r="Z40" s="30">
        <f>SUM($Y$40:$Y$40)</f>
        <v>0</v>
      </c>
      <c r="AA40" s="30">
        <f>SUMIF($L$4:$Z$4,"SUBTOTAL",$L$40:$Z$40)</f>
        <v>253.58284698352881</v>
      </c>
    </row>
    <row r="41" spans="1:27" ht="11.25" customHeight="1" x14ac:dyDescent="0.3">
      <c r="A41" s="131" t="s">
        <v>46</v>
      </c>
      <c r="B41" s="131" t="s">
        <v>75</v>
      </c>
      <c r="C41" s="131" t="s">
        <v>47</v>
      </c>
      <c r="D41" s="33" t="s">
        <v>48</v>
      </c>
      <c r="E41" s="33" t="s">
        <v>25</v>
      </c>
      <c r="F41" s="33" t="s">
        <v>25</v>
      </c>
      <c r="G41" s="32" t="s">
        <v>76</v>
      </c>
      <c r="H41" s="32" t="s">
        <v>72</v>
      </c>
      <c r="I41" s="32">
        <f>'MERCADO TE'!$U$38</f>
        <v>3164.4159999999997</v>
      </c>
      <c r="J41" s="17"/>
      <c r="L41" s="30">
        <f>'TR TE'!$L$41*'TR TE'!$L$49</f>
        <v>0</v>
      </c>
      <c r="M41" s="30">
        <f>'TR TE'!$M$41*'TR TE'!$M$49</f>
        <v>0</v>
      </c>
      <c r="N41" s="30">
        <f>'TR TE'!$N$41*'TR TE'!$N$49</f>
        <v>0</v>
      </c>
      <c r="O41" s="30">
        <f>'TR TE'!$O$41*'TR TE'!$O$49</f>
        <v>0</v>
      </c>
      <c r="P41" s="30">
        <f>SUM($L$41:$O$41)</f>
        <v>0</v>
      </c>
      <c r="Q41" s="30">
        <f>'TR TE'!$Q$41*'TR TE'!$Q$49</f>
        <v>139.47056584094085</v>
      </c>
      <c r="R41" s="30">
        <f>SUM($Q$41:$Q$41)</f>
        <v>139.47056584094085</v>
      </c>
      <c r="S41" s="30">
        <f>'TR TE'!$S$41*'TR TE'!$S$49</f>
        <v>0</v>
      </c>
      <c r="T41" s="30">
        <f>'TR TE'!$T$41*'TR TE'!$T$49</f>
        <v>0</v>
      </c>
      <c r="U41" s="30">
        <f>'TR TE'!$U$41*'TR TE'!$U$49</f>
        <v>0</v>
      </c>
      <c r="V41" s="30">
        <f>SUM($S$41:$U$41)</f>
        <v>0</v>
      </c>
      <c r="W41" s="30"/>
      <c r="X41" s="30">
        <f>SUM($W$41:$W$41)</f>
        <v>0</v>
      </c>
      <c r="Y41" s="30">
        <f>'TR TE'!$Y$41*'TR TE'!$Y$49</f>
        <v>0</v>
      </c>
      <c r="Z41" s="30">
        <f>SUM($Y$41:$Y$41)</f>
        <v>0</v>
      </c>
      <c r="AA41" s="30">
        <f>SUMIF($L$4:$Z$4,"SUBTOTAL",$L$41:$Z$41)</f>
        <v>139.47056584094085</v>
      </c>
    </row>
    <row r="42" spans="1:27" ht="11.25" customHeight="1" x14ac:dyDescent="0.3">
      <c r="A42" s="131"/>
      <c r="B42" s="131"/>
      <c r="C42" s="131"/>
      <c r="D42" s="32" t="s">
        <v>90</v>
      </c>
      <c r="E42" s="32" t="s">
        <v>25</v>
      </c>
      <c r="F42" s="32" t="s">
        <v>25</v>
      </c>
      <c r="G42" s="32" t="s">
        <v>76</v>
      </c>
      <c r="H42" s="32" t="s">
        <v>72</v>
      </c>
      <c r="I42" s="32">
        <f>'MERCADO TE'!$U$39</f>
        <v>0</v>
      </c>
      <c r="J42" s="17"/>
      <c r="L42" s="30">
        <f>'TR TE'!$L$42*'TR TE'!$L$49</f>
        <v>0</v>
      </c>
      <c r="M42" s="30">
        <f>'TR TE'!$M$42*'TR TE'!$M$49</f>
        <v>0</v>
      </c>
      <c r="N42" s="30">
        <f>'TR TE'!$N$42*'TR TE'!$N$49</f>
        <v>0</v>
      </c>
      <c r="O42" s="30">
        <f>'TR TE'!$O$42*'TR TE'!$O$49</f>
        <v>0</v>
      </c>
      <c r="P42" s="30">
        <f>SUM($L$42:$O$42)</f>
        <v>0</v>
      </c>
      <c r="Q42" s="30">
        <f>'TR TE'!$Q$42*'TR TE'!$Q$49</f>
        <v>152.14970819011728</v>
      </c>
      <c r="R42" s="30">
        <f>SUM($Q$42:$Q$42)</f>
        <v>152.14970819011728</v>
      </c>
      <c r="S42" s="30">
        <f>'TR TE'!$S$42*'TR TE'!$S$49</f>
        <v>0</v>
      </c>
      <c r="T42" s="30">
        <f>'TR TE'!$T$42*'TR TE'!$T$49</f>
        <v>0</v>
      </c>
      <c r="U42" s="30">
        <f>'TR TE'!$U$42*'TR TE'!$U$49</f>
        <v>0</v>
      </c>
      <c r="V42" s="30">
        <f>SUM($S$42:$U$42)</f>
        <v>0</v>
      </c>
      <c r="W42" s="30"/>
      <c r="X42" s="30">
        <f>SUM($W$42:$W$42)</f>
        <v>0</v>
      </c>
      <c r="Y42" s="30">
        <f>'TR TE'!$Y$42*'TR TE'!$Y$49</f>
        <v>0</v>
      </c>
      <c r="Z42" s="30">
        <f>SUM($Y$42:$Y$42)</f>
        <v>0</v>
      </c>
      <c r="AA42" s="30">
        <f>SUMIF($L$4:$Z$4,"SUBTOTAL",$L$42:$Z$42)</f>
        <v>152.14970819011728</v>
      </c>
    </row>
    <row r="44" spans="1:27" ht="11.25" customHeight="1" x14ac:dyDescent="0.3">
      <c r="K44" s="35" t="s">
        <v>592</v>
      </c>
      <c r="L44" s="30">
        <f t="shared" ref="L44:AA44" si="0">SUMPRODUCT($I$5:$I$42,L$5:L$42)</f>
        <v>0</v>
      </c>
      <c r="M44" s="30">
        <f t="shared" si="0"/>
        <v>0</v>
      </c>
      <c r="N44" s="30">
        <f t="shared" si="0"/>
        <v>0</v>
      </c>
      <c r="O44" s="30">
        <f t="shared" si="0"/>
        <v>0</v>
      </c>
      <c r="P44" s="30">
        <f t="shared" si="0"/>
        <v>0</v>
      </c>
      <c r="Q44" s="30">
        <f t="shared" si="0"/>
        <v>4449489.0916342959</v>
      </c>
      <c r="R44" s="30">
        <f t="shared" si="0"/>
        <v>4449489.0916342959</v>
      </c>
      <c r="S44" s="30">
        <f t="shared" si="0"/>
        <v>0</v>
      </c>
      <c r="T44" s="30">
        <f t="shared" si="0"/>
        <v>0</v>
      </c>
      <c r="U44" s="30">
        <f t="shared" si="0"/>
        <v>0</v>
      </c>
      <c r="V44" s="30">
        <f t="shared" si="0"/>
        <v>0</v>
      </c>
      <c r="W44" s="30">
        <f t="shared" si="0"/>
        <v>0</v>
      </c>
      <c r="X44" s="30">
        <f t="shared" si="0"/>
        <v>0</v>
      </c>
      <c r="Y44" s="30">
        <f t="shared" si="0"/>
        <v>0</v>
      </c>
      <c r="Z44" s="30">
        <f t="shared" si="0"/>
        <v>0</v>
      </c>
      <c r="AA44" s="30">
        <f t="shared" si="0"/>
        <v>4449489.0916342959</v>
      </c>
    </row>
    <row r="45" spans="1:27" ht="11.25" customHeight="1" x14ac:dyDescent="0.3">
      <c r="K45" s="35" t="s">
        <v>511</v>
      </c>
      <c r="L45" s="30">
        <f>CUSTOS!$D$30</f>
        <v>0</v>
      </c>
      <c r="M45" s="30">
        <f>CUSTOS!$D$31</f>
        <v>0</v>
      </c>
      <c r="N45" s="30">
        <f>CUSTOS!$D$32</f>
        <v>0</v>
      </c>
      <c r="O45" s="30">
        <f>CUSTOS!$D$33</f>
        <v>0</v>
      </c>
      <c r="P45" s="30">
        <f>CUSTOS!$D$34</f>
        <v>0</v>
      </c>
      <c r="Q45" s="30">
        <f>CUSTOS!$D$35</f>
        <v>4449489.0916342959</v>
      </c>
      <c r="R45" s="30">
        <f>CUSTOS!$D$36</f>
        <v>4449489.0916342959</v>
      </c>
      <c r="S45" s="30">
        <f>CUSTOS!$D$37</f>
        <v>0</v>
      </c>
      <c r="T45" s="30">
        <f>CUSTOS!$D$38</f>
        <v>0</v>
      </c>
      <c r="U45" s="30">
        <f>CUSTOS!$D$39</f>
        <v>0</v>
      </c>
      <c r="V45" s="30">
        <f>CUSTOS!$D$40</f>
        <v>0</v>
      </c>
      <c r="W45" s="30">
        <f>CUSTOS!$D$41</f>
        <v>0</v>
      </c>
      <c r="X45" s="30">
        <f>CUSTOS!$D$42</f>
        <v>0</v>
      </c>
      <c r="Y45" s="30">
        <f>CUSTOS!$D$43</f>
        <v>0</v>
      </c>
      <c r="Z45" s="30">
        <f>CUSTOS!$D$44</f>
        <v>0</v>
      </c>
      <c r="AA45" s="30">
        <f>CUSTOS!$D$45</f>
        <v>4449489.0916342959</v>
      </c>
    </row>
    <row r="46" spans="1:27" ht="11.25" customHeight="1" x14ac:dyDescent="0.3">
      <c r="K46" s="35" t="s">
        <v>512</v>
      </c>
      <c r="L46" s="30">
        <f>CUSTOS!$E$30</f>
        <v>0</v>
      </c>
      <c r="M46" s="30">
        <f>CUSTOS!$E$31</f>
        <v>0</v>
      </c>
      <c r="N46" s="30">
        <f>CUSTOS!$E$32</f>
        <v>0</v>
      </c>
      <c r="O46" s="30">
        <f>CUSTOS!$E$33</f>
        <v>0</v>
      </c>
      <c r="P46" s="30">
        <f>CUSTOS!$E$34</f>
        <v>0</v>
      </c>
      <c r="Q46" s="30">
        <f>CUSTOS!$E$35</f>
        <v>1353676.9560117545</v>
      </c>
      <c r="R46" s="30">
        <f>CUSTOS!$E$36</f>
        <v>1353676.9560117545</v>
      </c>
      <c r="S46" s="30">
        <f>CUSTOS!$E$37</f>
        <v>0</v>
      </c>
      <c r="T46" s="30">
        <f>CUSTOS!$E$38</f>
        <v>0</v>
      </c>
      <c r="U46" s="30">
        <f>CUSTOS!$E$39</f>
        <v>0</v>
      </c>
      <c r="V46" s="30">
        <f>CUSTOS!$E$40</f>
        <v>0</v>
      </c>
      <c r="W46" s="30">
        <f>CUSTOS!$E$41</f>
        <v>0</v>
      </c>
      <c r="X46" s="30">
        <f>CUSTOS!$E$42</f>
        <v>0</v>
      </c>
      <c r="Y46" s="30">
        <f>CUSTOS!$E$43</f>
        <v>0</v>
      </c>
      <c r="Z46" s="30">
        <f>CUSTOS!$E$44</f>
        <v>0</v>
      </c>
      <c r="AA46" s="30">
        <f>CUSTOS!$E$45</f>
        <v>1353676.9560117545</v>
      </c>
    </row>
    <row r="47" spans="1:27" ht="11.25" customHeight="1" x14ac:dyDescent="0.3">
      <c r="K47" s="35" t="s">
        <v>513</v>
      </c>
      <c r="L47" s="30">
        <f>CUSTOS!$F$30</f>
        <v>0</v>
      </c>
      <c r="M47" s="30">
        <f>CUSTOS!$F$31</f>
        <v>0</v>
      </c>
      <c r="N47" s="30">
        <f>CUSTOS!$F$32</f>
        <v>0</v>
      </c>
      <c r="O47" s="30">
        <f>CUSTOS!$F$33</f>
        <v>0</v>
      </c>
      <c r="P47" s="30">
        <f>CUSTOS!$F$34</f>
        <v>0</v>
      </c>
      <c r="Q47" s="30">
        <f>CUSTOS!$F$35</f>
        <v>0</v>
      </c>
      <c r="R47" s="30">
        <f>CUSTOS!$F$36</f>
        <v>0</v>
      </c>
      <c r="S47" s="30">
        <f>CUSTOS!$F$37</f>
        <v>0</v>
      </c>
      <c r="T47" s="30">
        <f>CUSTOS!$F$38</f>
        <v>0</v>
      </c>
      <c r="U47" s="30">
        <f>CUSTOS!$F$39</f>
        <v>0</v>
      </c>
      <c r="V47" s="30">
        <f>CUSTOS!$F$40</f>
        <v>0</v>
      </c>
      <c r="W47" s="30">
        <f>CUSTOS!$F$41</f>
        <v>0</v>
      </c>
      <c r="X47" s="30">
        <f>CUSTOS!$F$42</f>
        <v>0</v>
      </c>
      <c r="Y47" s="30">
        <f>CUSTOS!$F$43</f>
        <v>0</v>
      </c>
      <c r="Z47" s="30">
        <f>CUSTOS!$F$44</f>
        <v>0</v>
      </c>
      <c r="AA47" s="30">
        <f>CUSTOS!$F$45</f>
        <v>0</v>
      </c>
    </row>
    <row r="48" spans="1:27" ht="11.25" customHeight="1" x14ac:dyDescent="0.3">
      <c r="K48" s="35" t="s">
        <v>593</v>
      </c>
      <c r="L48" s="30">
        <f>'TR TE'!$L$48*L49</f>
        <v>0</v>
      </c>
      <c r="M48" s="30">
        <f>'TR TE'!$M$48*M49</f>
        <v>0</v>
      </c>
      <c r="N48" s="30">
        <f>'TR TE'!$N$48*N49</f>
        <v>0</v>
      </c>
      <c r="O48" s="30">
        <f>'TR TE'!$O$48*O49</f>
        <v>0</v>
      </c>
      <c r="P48" s="30"/>
      <c r="Q48" s="30">
        <f>'TR TE'!$Q$48*Q49</f>
        <v>72.605112057972619</v>
      </c>
      <c r="R48" s="30"/>
      <c r="S48" s="30">
        <f>'TR TE'!$S$48*S49</f>
        <v>0</v>
      </c>
      <c r="T48" s="30">
        <f>'TR TE'!$T$48*T49</f>
        <v>0</v>
      </c>
      <c r="U48" s="30">
        <f>'TR TE'!$U$48*U49</f>
        <v>0</v>
      </c>
      <c r="V48" s="30"/>
      <c r="W48" s="30"/>
      <c r="X48" s="30"/>
      <c r="Y48" s="30">
        <f>'TR TE'!$Y$48*Y49</f>
        <v>0</v>
      </c>
      <c r="Z48" s="30"/>
      <c r="AA48" s="30"/>
    </row>
    <row r="49" spans="11:27" ht="11.25" customHeight="1" x14ac:dyDescent="0.3">
      <c r="K49" s="35" t="s">
        <v>580</v>
      </c>
      <c r="L49" s="30">
        <f>IF(L45&lt;&gt;0,L46/L45,0)</f>
        <v>0</v>
      </c>
      <c r="M49" s="30">
        <f>IF(M45&lt;&gt;0,M46/M45,0)</f>
        <v>0</v>
      </c>
      <c r="N49" s="30">
        <f>IF(N45&lt;&gt;0,N46/N45,0)</f>
        <v>0</v>
      </c>
      <c r="O49" s="30">
        <f>IF(O45&lt;&gt;0,O46/O45,0)</f>
        <v>0</v>
      </c>
      <c r="P49" s="30"/>
      <c r="Q49" s="30">
        <f>IF(Q45&lt;&gt;0,Q46/Q45,0)</f>
        <v>0.30423199790665167</v>
      </c>
      <c r="R49" s="30"/>
      <c r="S49" s="30">
        <f>IF(S45&lt;&gt;0,S46/S45,0)</f>
        <v>0</v>
      </c>
      <c r="T49" s="30">
        <f>IF(T45&lt;&gt;0,T46/T45,0)</f>
        <v>0</v>
      </c>
      <c r="U49" s="30">
        <f>IF(U45&lt;&gt;0,U46/U45,0)</f>
        <v>0</v>
      </c>
      <c r="V49" s="30"/>
      <c r="W49" s="30">
        <f>IF(($AA45-0)&lt;&gt;0,W46/($AA45-0),0)</f>
        <v>0</v>
      </c>
      <c r="X49" s="30"/>
      <c r="Y49" s="30">
        <f>IF(Y45&lt;&gt;0,Y46/Y45,0)</f>
        <v>0</v>
      </c>
      <c r="Z49" s="30"/>
      <c r="AA49" s="30"/>
    </row>
    <row r="50" spans="11:27" ht="11.25" customHeight="1" x14ac:dyDescent="0.3">
      <c r="K50" s="35" t="s">
        <v>595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</sheetData>
  <mergeCells count="61">
    <mergeCell ref="E36:E38"/>
    <mergeCell ref="F36:F38"/>
    <mergeCell ref="A41:A42"/>
    <mergeCell ref="B41:B42"/>
    <mergeCell ref="C41:C42"/>
    <mergeCell ref="D36:D38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Y3:Z3"/>
    <mergeCell ref="AA3:AA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A1"/>
    <mergeCell ref="L2:AA2"/>
    <mergeCell ref="L3:P3"/>
    <mergeCell ref="Q3:R3"/>
    <mergeCell ref="S3:V3"/>
    <mergeCell ref="W3:X3"/>
    <mergeCell ref="A1:A4"/>
    <mergeCell ref="B1:B4"/>
    <mergeCell ref="C1:C4"/>
    <mergeCell ref="D1:D4"/>
    <mergeCell ref="E1:E4"/>
    <mergeCell ref="F1:F4"/>
  </mergeCells>
  <conditionalFormatting sqref="L44">
    <cfRule type="cellIs" dxfId="783" priority="31" operator="notEqual">
      <formula>$L$45</formula>
    </cfRule>
    <cfRule type="cellIs" dxfId="782" priority="32" operator="equal">
      <formula>$L$45</formula>
    </cfRule>
  </conditionalFormatting>
  <conditionalFormatting sqref="M44">
    <cfRule type="cellIs" dxfId="781" priority="29" operator="notEqual">
      <formula>$M$45</formula>
    </cfRule>
    <cfRule type="cellIs" dxfId="780" priority="30" operator="equal">
      <formula>$M$45</formula>
    </cfRule>
  </conditionalFormatting>
  <conditionalFormatting sqref="N44">
    <cfRule type="cellIs" dxfId="779" priority="27" operator="notEqual">
      <formula>$N$45</formula>
    </cfRule>
    <cfRule type="cellIs" dxfId="778" priority="28" operator="equal">
      <formula>$N$45</formula>
    </cfRule>
  </conditionalFormatting>
  <conditionalFormatting sqref="O44">
    <cfRule type="cellIs" dxfId="777" priority="25" operator="notEqual">
      <formula>$O$45</formula>
    </cfRule>
    <cfRule type="cellIs" dxfId="776" priority="26" operator="equal">
      <formula>$O$45</formula>
    </cfRule>
  </conditionalFormatting>
  <conditionalFormatting sqref="P44">
    <cfRule type="cellIs" dxfId="775" priority="23" operator="notEqual">
      <formula>$P$45</formula>
    </cfRule>
    <cfRule type="cellIs" dxfId="774" priority="24" operator="equal">
      <formula>$P$45</formula>
    </cfRule>
  </conditionalFormatting>
  <conditionalFormatting sqref="Q44">
    <cfRule type="cellIs" dxfId="773" priority="21" operator="notEqual">
      <formula>$Q$45</formula>
    </cfRule>
    <cfRule type="cellIs" dxfId="772" priority="22" operator="equal">
      <formula>$Q$45</formula>
    </cfRule>
  </conditionalFormatting>
  <conditionalFormatting sqref="R44">
    <cfRule type="cellIs" dxfId="771" priority="19" operator="notEqual">
      <formula>$R$45</formula>
    </cfRule>
    <cfRule type="cellIs" dxfId="770" priority="20" operator="equal">
      <formula>$R$45</formula>
    </cfRule>
  </conditionalFormatting>
  <conditionalFormatting sqref="S44">
    <cfRule type="cellIs" dxfId="769" priority="17" operator="notEqual">
      <formula>$S$45</formula>
    </cfRule>
    <cfRule type="cellIs" dxfId="768" priority="18" operator="equal">
      <formula>$S$45</formula>
    </cfRule>
  </conditionalFormatting>
  <conditionalFormatting sqref="T44">
    <cfRule type="cellIs" dxfId="767" priority="15" operator="notEqual">
      <formula>$T$45</formula>
    </cfRule>
    <cfRule type="cellIs" dxfId="766" priority="16" operator="equal">
      <formula>$T$45</formula>
    </cfRule>
  </conditionalFormatting>
  <conditionalFormatting sqref="U44">
    <cfRule type="cellIs" dxfId="765" priority="13" operator="notEqual">
      <formula>$U$45</formula>
    </cfRule>
    <cfRule type="cellIs" dxfId="764" priority="14" operator="equal">
      <formula>$U$45</formula>
    </cfRule>
  </conditionalFormatting>
  <conditionalFormatting sqref="V44">
    <cfRule type="cellIs" dxfId="763" priority="11" operator="notEqual">
      <formula>$V$45</formula>
    </cfRule>
    <cfRule type="cellIs" dxfId="762" priority="12" operator="equal">
      <formula>$V$45</formula>
    </cfRule>
  </conditionalFormatting>
  <conditionalFormatting sqref="W44">
    <cfRule type="cellIs" dxfId="761" priority="9" operator="notEqual">
      <formula>$W$45</formula>
    </cfRule>
    <cfRule type="cellIs" dxfId="760" priority="10" operator="equal">
      <formula>$W$45</formula>
    </cfRule>
  </conditionalFormatting>
  <conditionalFormatting sqref="X44">
    <cfRule type="cellIs" dxfId="759" priority="7" operator="notEqual">
      <formula>$X$45</formula>
    </cfRule>
    <cfRule type="cellIs" dxfId="758" priority="8" operator="equal">
      <formula>$X$45</formula>
    </cfRule>
  </conditionalFormatting>
  <conditionalFormatting sqref="Y44">
    <cfRule type="cellIs" dxfId="757" priority="5" operator="notEqual">
      <formula>$Y$45</formula>
    </cfRule>
    <cfRule type="cellIs" dxfId="756" priority="6" operator="equal">
      <formula>$Y$45</formula>
    </cfRule>
  </conditionalFormatting>
  <conditionalFormatting sqref="Z44">
    <cfRule type="cellIs" dxfId="755" priority="3" operator="notEqual">
      <formula>$Z$45</formula>
    </cfRule>
    <cfRule type="cellIs" dxfId="754" priority="4" operator="equal">
      <formula>$Z$45</formula>
    </cfRule>
  </conditionalFormatting>
  <conditionalFormatting sqref="AA44">
    <cfRule type="cellIs" dxfId="753" priority="1" operator="notEqual">
      <formula>$AA$45</formula>
    </cfRule>
    <cfRule type="cellIs" dxfId="752" priority="2" operator="equal">
      <formula>$AA$45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DF9F-5625-44F0-A939-864DEE61A25E}">
  <dimension ref="A1:AA50"/>
  <sheetViews>
    <sheetView showGridLines="0" topLeftCell="Q26" workbookViewId="0">
      <selection activeCell="AA44" sqref="AA44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" style="9" bestFit="1" customWidth="1"/>
    <col min="10" max="10" width="9.109375" style="9"/>
    <col min="11" max="11" width="20" style="9" bestFit="1" customWidth="1"/>
    <col min="12" max="14" width="7.88671875" style="9" bestFit="1" customWidth="1"/>
    <col min="15" max="15" width="11.109375" style="9" bestFit="1" customWidth="1"/>
    <col min="16" max="16" width="9.33203125" style="9" bestFit="1" customWidth="1"/>
    <col min="17" max="17" width="15" style="9" bestFit="1" customWidth="1"/>
    <col min="18" max="18" width="10" style="9" bestFit="1" customWidth="1"/>
    <col min="19" max="19" width="7.88671875" style="9" bestFit="1" customWidth="1"/>
    <col min="20" max="20" width="10.44140625" style="9" bestFit="1" customWidth="1"/>
    <col min="21" max="21" width="7.88671875" style="9" bestFit="1" customWidth="1"/>
    <col min="22" max="22" width="9.33203125" style="9" bestFit="1" customWidth="1"/>
    <col min="23" max="23" width="8" style="9" bestFit="1" customWidth="1"/>
    <col min="24" max="24" width="9.33203125" style="9" bestFit="1" customWidth="1"/>
    <col min="25" max="25" width="11" style="9" bestFit="1" customWidth="1"/>
    <col min="26" max="26" width="9.33203125" style="9" bestFit="1" customWidth="1"/>
    <col min="27" max="27" width="10" style="9" bestFit="1" customWidth="1"/>
    <col min="28" max="16384" width="9.109375" style="9"/>
  </cols>
  <sheetData>
    <row r="1" spans="1:27" ht="11.25" customHeight="1" x14ac:dyDescent="0.3">
      <c r="A1" s="130" t="s">
        <v>62</v>
      </c>
      <c r="B1" s="130" t="s">
        <v>63</v>
      </c>
      <c r="C1" s="130" t="s">
        <v>64</v>
      </c>
      <c r="D1" s="130" t="s">
        <v>65</v>
      </c>
      <c r="E1" s="130" t="s">
        <v>66</v>
      </c>
      <c r="F1" s="130" t="s">
        <v>15</v>
      </c>
      <c r="G1" s="130" t="s">
        <v>68</v>
      </c>
      <c r="H1" s="130" t="s">
        <v>69</v>
      </c>
      <c r="I1" s="130" t="s">
        <v>570</v>
      </c>
      <c r="J1" s="118"/>
      <c r="L1" s="128" t="s">
        <v>597</v>
      </c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</row>
    <row r="2" spans="1:27" ht="11.25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18"/>
      <c r="L2" s="128" t="s">
        <v>498</v>
      </c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ht="11.25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18"/>
      <c r="L3" s="128" t="s">
        <v>471</v>
      </c>
      <c r="M3" s="128"/>
      <c r="N3" s="128"/>
      <c r="O3" s="128"/>
      <c r="P3" s="128"/>
      <c r="Q3" s="128" t="s">
        <v>501</v>
      </c>
      <c r="R3" s="128"/>
      <c r="S3" s="128" t="s">
        <v>480</v>
      </c>
      <c r="T3" s="128"/>
      <c r="U3" s="128"/>
      <c r="V3" s="128"/>
      <c r="W3" s="128" t="s">
        <v>490</v>
      </c>
      <c r="X3" s="128"/>
      <c r="Y3" s="128" t="s">
        <v>493</v>
      </c>
      <c r="Z3" s="128"/>
      <c r="AA3" s="128" t="s">
        <v>479</v>
      </c>
    </row>
    <row r="4" spans="1:27" ht="11.25" customHeight="1" x14ac:dyDescent="0.3">
      <c r="A4" s="130"/>
      <c r="B4" s="130"/>
      <c r="C4" s="130"/>
      <c r="D4" s="130"/>
      <c r="E4" s="130"/>
      <c r="F4" s="130"/>
      <c r="G4" s="130"/>
      <c r="H4" s="130"/>
      <c r="I4" s="130"/>
      <c r="J4" s="118"/>
      <c r="L4" s="36" t="s">
        <v>473</v>
      </c>
      <c r="M4" s="36" t="s">
        <v>499</v>
      </c>
      <c r="N4" s="36" t="s">
        <v>500</v>
      </c>
      <c r="O4" s="36" t="s">
        <v>558</v>
      </c>
      <c r="P4" s="36" t="s">
        <v>479</v>
      </c>
      <c r="Q4" s="36" t="s">
        <v>502</v>
      </c>
      <c r="R4" s="36" t="s">
        <v>479</v>
      </c>
      <c r="S4" s="36" t="s">
        <v>503</v>
      </c>
      <c r="T4" s="36" t="s">
        <v>504</v>
      </c>
      <c r="U4" s="36" t="s">
        <v>505</v>
      </c>
      <c r="V4" s="36" t="s">
        <v>479</v>
      </c>
      <c r="W4" s="36" t="s">
        <v>491</v>
      </c>
      <c r="X4" s="36" t="s">
        <v>479</v>
      </c>
      <c r="Y4" s="36" t="s">
        <v>506</v>
      </c>
      <c r="Z4" s="36" t="s">
        <v>479</v>
      </c>
      <c r="AA4" s="129"/>
    </row>
    <row r="5" spans="1:27" ht="11.25" customHeight="1" x14ac:dyDescent="0.3">
      <c r="A5" s="131" t="s">
        <v>37</v>
      </c>
      <c r="B5" s="131" t="s">
        <v>71</v>
      </c>
      <c r="C5" s="131" t="s">
        <v>25</v>
      </c>
      <c r="D5" s="131" t="s">
        <v>25</v>
      </c>
      <c r="E5" s="131" t="s">
        <v>25</v>
      </c>
      <c r="F5" s="131" t="s">
        <v>25</v>
      </c>
      <c r="G5" s="32" t="s">
        <v>73</v>
      </c>
      <c r="H5" s="32" t="s">
        <v>72</v>
      </c>
      <c r="I5" s="32">
        <f>'MERCADO TE'!$U$2</f>
        <v>89.825000000000003</v>
      </c>
      <c r="J5" s="17"/>
      <c r="L5" s="30">
        <f>'TE BE'!$L$5*'TE BE'!$L$49</f>
        <v>0</v>
      </c>
      <c r="M5" s="30">
        <f>'TE BE'!$M$5*'TE BE'!$M$49</f>
        <v>0</v>
      </c>
      <c r="N5" s="30">
        <f>'TE BE'!$N$5*'TE BE'!$N$49</f>
        <v>0</v>
      </c>
      <c r="O5" s="30">
        <f>'TE BE'!$O$5*'TE BE'!$O$49</f>
        <v>0</v>
      </c>
      <c r="P5" s="30">
        <f>SUM($L$5:$O$5)</f>
        <v>0</v>
      </c>
      <c r="Q5" s="30">
        <f>'TE BE'!$Q$5*'TE BE'!$Q$49</f>
        <v>77.148016172655716</v>
      </c>
      <c r="R5" s="30">
        <f>SUM($Q$5:$Q$5)</f>
        <v>77.148016172655716</v>
      </c>
      <c r="S5" s="30">
        <f>'TE BE'!$S$5*'TE BE'!$S$49</f>
        <v>0</v>
      </c>
      <c r="T5" s="30">
        <f>'TE BE'!$T$5*'TE BE'!$T$49</f>
        <v>0</v>
      </c>
      <c r="U5" s="30">
        <f>'TE BE'!$U$5*'TE BE'!$U$49</f>
        <v>0</v>
      </c>
      <c r="V5" s="30">
        <f>SUM($S$5:$U$5)</f>
        <v>0</v>
      </c>
      <c r="W5" s="30">
        <f>'TE BE'!$AA$5*'TE BE'!$W$49</f>
        <v>0</v>
      </c>
      <c r="X5" s="30">
        <f>SUM($W$5:$W$5)</f>
        <v>0</v>
      </c>
      <c r="Y5" s="30">
        <f>'TE BE'!$Y$5*'TE BE'!$Y$49</f>
        <v>0</v>
      </c>
      <c r="Z5" s="30">
        <f>SUM($Y$5:$Y$5)</f>
        <v>0</v>
      </c>
      <c r="AA5" s="30">
        <f>SUMIF($L$4:$Z$4,"SUBTOTAL",$L$5:$Z$5)</f>
        <v>77.148016172655716</v>
      </c>
    </row>
    <row r="6" spans="1:27" ht="11.25" customHeight="1" x14ac:dyDescent="0.3">
      <c r="A6" s="131"/>
      <c r="B6" s="131"/>
      <c r="C6" s="131"/>
      <c r="D6" s="131"/>
      <c r="E6" s="131"/>
      <c r="F6" s="131"/>
      <c r="G6" s="32" t="s">
        <v>74</v>
      </c>
      <c r="H6" s="32" t="s">
        <v>72</v>
      </c>
      <c r="I6" s="32">
        <f>'MERCADO TE'!$U$3</f>
        <v>3257.1160000000004</v>
      </c>
      <c r="J6" s="17"/>
      <c r="L6" s="30">
        <f>'TE BE'!$L$6*'TE BE'!$L$49</f>
        <v>0</v>
      </c>
      <c r="M6" s="30">
        <f>'TE BE'!$M$6*'TE BE'!$M$49</f>
        <v>0</v>
      </c>
      <c r="N6" s="30">
        <f>'TE BE'!$N$6*'TE BE'!$N$49</f>
        <v>0</v>
      </c>
      <c r="O6" s="30">
        <f>'TE BE'!$O$6*'TE BE'!$O$49</f>
        <v>0</v>
      </c>
      <c r="P6" s="30">
        <f>SUM($L$6:$O$6)</f>
        <v>0</v>
      </c>
      <c r="Q6" s="30">
        <f>'TE BE'!$Q$6*'TE BE'!$Q$49</f>
        <v>77.148016172655716</v>
      </c>
      <c r="R6" s="30">
        <f>SUM($Q$6:$Q$6)</f>
        <v>77.148016172655716</v>
      </c>
      <c r="S6" s="30">
        <f>'TE BE'!$S$6*'TE BE'!$S$49</f>
        <v>0</v>
      </c>
      <c r="T6" s="30">
        <f>'TE BE'!$T$6*'TE BE'!$T$49</f>
        <v>0</v>
      </c>
      <c r="U6" s="30">
        <f>'TE BE'!$U$6*'TE BE'!$U$49</f>
        <v>0</v>
      </c>
      <c r="V6" s="30">
        <f>SUM($S$6:$U$6)</f>
        <v>0</v>
      </c>
      <c r="W6" s="30">
        <f>'TE BE'!$AA$6*'TE BE'!$W$49</f>
        <v>0</v>
      </c>
      <c r="X6" s="30">
        <f>SUM($W$6:$W$6)</f>
        <v>0</v>
      </c>
      <c r="Y6" s="30">
        <f>'TE BE'!$Y$6*'TE BE'!$Y$49</f>
        <v>0</v>
      </c>
      <c r="Z6" s="30">
        <f>SUM($Y$6:$Y$6)</f>
        <v>0</v>
      </c>
      <c r="AA6" s="30">
        <f>SUMIF($L$4:$Z$4,"SUBTOTAL",$L$6:$Z$6)</f>
        <v>77.148016172655716</v>
      </c>
    </row>
    <row r="7" spans="1:27" ht="11.25" customHeight="1" x14ac:dyDescent="0.3">
      <c r="A7" s="131"/>
      <c r="B7" s="38" t="s">
        <v>75</v>
      </c>
      <c r="C7" s="38" t="s">
        <v>25</v>
      </c>
      <c r="D7" s="38" t="s">
        <v>25</v>
      </c>
      <c r="E7" s="38" t="s">
        <v>25</v>
      </c>
      <c r="F7" s="38" t="s">
        <v>25</v>
      </c>
      <c r="G7" s="32" t="s">
        <v>76</v>
      </c>
      <c r="H7" s="32" t="s">
        <v>72</v>
      </c>
      <c r="I7" s="32">
        <f>'MERCADO TE'!$U$4</f>
        <v>0</v>
      </c>
      <c r="J7" s="17"/>
      <c r="L7" s="30">
        <f>'TE BE'!$L$7*'TE BE'!$L$49</f>
        <v>0</v>
      </c>
      <c r="M7" s="30">
        <f>'TE BE'!$M$7*'TE BE'!$M$49</f>
        <v>0</v>
      </c>
      <c r="N7" s="30">
        <f>'TE BE'!$N$7*'TE BE'!$N$49</f>
        <v>0</v>
      </c>
      <c r="O7" s="30">
        <f>'TE BE'!$O$7*'TE BE'!$O$49</f>
        <v>0</v>
      </c>
      <c r="P7" s="30">
        <f>SUM($L$7:$O$7)</f>
        <v>0</v>
      </c>
      <c r="Q7" s="30">
        <f>'TE BE'!$Q$7*'TE BE'!$Q$49</f>
        <v>77.148016172655716</v>
      </c>
      <c r="R7" s="30">
        <f>SUM($Q$7:$Q$7)</f>
        <v>77.148016172655716</v>
      </c>
      <c r="S7" s="30">
        <f>'TE BE'!$S$7*'TE BE'!$S$49</f>
        <v>0</v>
      </c>
      <c r="T7" s="30">
        <f>'TE BE'!$T$7*'TE BE'!$T$49</f>
        <v>0</v>
      </c>
      <c r="U7" s="30">
        <f>'TE BE'!$U$7*'TE BE'!$U$49</f>
        <v>0</v>
      </c>
      <c r="V7" s="30">
        <f>SUM($S$7:$U$7)</f>
        <v>0</v>
      </c>
      <c r="W7" s="30">
        <f>'TE BE'!$AA$7*'TE BE'!$W$49</f>
        <v>0</v>
      </c>
      <c r="X7" s="30">
        <f>SUM($W$7:$W$7)</f>
        <v>0</v>
      </c>
      <c r="Y7" s="30">
        <f>'TE BE'!$Y$7*'TE BE'!$Y$49</f>
        <v>0</v>
      </c>
      <c r="Z7" s="30">
        <f>SUM($Y$7:$Y$7)</f>
        <v>0</v>
      </c>
      <c r="AA7" s="30">
        <f>SUMIF($L$4:$Z$4,"SUBTOTAL",$L$7:$Z$7)</f>
        <v>77.148016172655716</v>
      </c>
    </row>
    <row r="8" spans="1:27" ht="11.25" customHeight="1" x14ac:dyDescent="0.3">
      <c r="A8" s="131" t="s">
        <v>22</v>
      </c>
      <c r="B8" s="131" t="s">
        <v>71</v>
      </c>
      <c r="C8" s="131" t="s">
        <v>24</v>
      </c>
      <c r="D8" s="131" t="s">
        <v>24</v>
      </c>
      <c r="E8" s="131" t="s">
        <v>25</v>
      </c>
      <c r="F8" s="131" t="s">
        <v>25</v>
      </c>
      <c r="G8" s="32" t="s">
        <v>73</v>
      </c>
      <c r="H8" s="32" t="s">
        <v>72</v>
      </c>
      <c r="I8" s="32">
        <f>'MERCADO TE'!$U$5</f>
        <v>3.1E-2</v>
      </c>
      <c r="J8" s="17"/>
      <c r="L8" s="30">
        <f>'TE BE'!$L$8*'TE BE'!$L$49</f>
        <v>0</v>
      </c>
      <c r="M8" s="30">
        <f>'TE BE'!$M$8*'TE BE'!$M$49</f>
        <v>0</v>
      </c>
      <c r="N8" s="30">
        <f>'TE BE'!$N$8*'TE BE'!$N$49</f>
        <v>0</v>
      </c>
      <c r="O8" s="30">
        <f>'TE BE'!$O$8*'TE BE'!$O$49</f>
        <v>0</v>
      </c>
      <c r="P8" s="30">
        <f>SUM($L$8:$O$8)</f>
        <v>0</v>
      </c>
      <c r="Q8" s="30">
        <f>'TE BE'!$Q$8*'TE BE'!$Q$49</f>
        <v>77.148016172655716</v>
      </c>
      <c r="R8" s="30">
        <f>SUM($Q$8:$Q$8)</f>
        <v>77.148016172655716</v>
      </c>
      <c r="S8" s="30">
        <f>'TE BE'!$S$8*'TE BE'!$S$49</f>
        <v>0</v>
      </c>
      <c r="T8" s="30">
        <f>'TE BE'!$T$8*'TE BE'!$T$49</f>
        <v>0</v>
      </c>
      <c r="U8" s="30">
        <f>'TE BE'!$U$8*'TE BE'!$U$49</f>
        <v>0</v>
      </c>
      <c r="V8" s="30">
        <f>SUM($S$8:$U$8)</f>
        <v>0</v>
      </c>
      <c r="W8" s="30">
        <f>'TE BE'!$AA$8*'TE BE'!$W$49</f>
        <v>0</v>
      </c>
      <c r="X8" s="30">
        <f>SUM($W$8:$W$8)</f>
        <v>0</v>
      </c>
      <c r="Y8" s="30">
        <f>'TE BE'!$Y$8*'TE BE'!$Y$49</f>
        <v>0</v>
      </c>
      <c r="Z8" s="30">
        <f>SUM($Y$8:$Y$8)</f>
        <v>0</v>
      </c>
      <c r="AA8" s="30">
        <f>SUMIF($L$4:$Z$4,"SUBTOTAL",$L$8:$Z$8)</f>
        <v>77.148016172655716</v>
      </c>
    </row>
    <row r="9" spans="1:27" ht="11.25" customHeight="1" x14ac:dyDescent="0.3">
      <c r="A9" s="131"/>
      <c r="B9" s="131"/>
      <c r="C9" s="131"/>
      <c r="D9" s="131"/>
      <c r="E9" s="131"/>
      <c r="F9" s="131"/>
      <c r="G9" s="32" t="s">
        <v>85</v>
      </c>
      <c r="H9" s="32" t="s">
        <v>72</v>
      </c>
      <c r="I9" s="32">
        <f>'MERCADO TE'!$U$6</f>
        <v>0</v>
      </c>
      <c r="J9" s="17"/>
      <c r="L9" s="30">
        <f>'TE BE'!$L$9*'TE BE'!$L$49</f>
        <v>0</v>
      </c>
      <c r="M9" s="30">
        <f>'TE BE'!$M$9*'TE BE'!$M$49</f>
        <v>0</v>
      </c>
      <c r="N9" s="30">
        <f>'TE BE'!$N$9*'TE BE'!$N$49</f>
        <v>0</v>
      </c>
      <c r="O9" s="30">
        <f>'TE BE'!$O$9*'TE BE'!$O$49</f>
        <v>0</v>
      </c>
      <c r="P9" s="30">
        <f>SUM($L$9:$O$9)</f>
        <v>0</v>
      </c>
      <c r="Q9" s="30">
        <f>'TE BE'!$Q$9*'TE BE'!$Q$49</f>
        <v>77.148016172655716</v>
      </c>
      <c r="R9" s="30">
        <f>SUM($Q$9:$Q$9)</f>
        <v>77.148016172655716</v>
      </c>
      <c r="S9" s="30">
        <f>'TE BE'!$S$9*'TE BE'!$S$49</f>
        <v>0</v>
      </c>
      <c r="T9" s="30">
        <f>'TE BE'!$T$9*'TE BE'!$T$49</f>
        <v>0</v>
      </c>
      <c r="U9" s="30">
        <f>'TE BE'!$U$9*'TE BE'!$U$49</f>
        <v>0</v>
      </c>
      <c r="V9" s="30">
        <f>SUM($S$9:$U$9)</f>
        <v>0</v>
      </c>
      <c r="W9" s="30">
        <f>'TE BE'!$AA$9*'TE BE'!$W$49</f>
        <v>0</v>
      </c>
      <c r="X9" s="30">
        <f>SUM($W$9:$W$9)</f>
        <v>0</v>
      </c>
      <c r="Y9" s="30">
        <f>'TE BE'!$Y$9*'TE BE'!$Y$49</f>
        <v>0</v>
      </c>
      <c r="Z9" s="30">
        <f>SUM($Y$9:$Y$9)</f>
        <v>0</v>
      </c>
      <c r="AA9" s="30">
        <f>SUMIF($L$4:$Z$4,"SUBTOTAL",$L$9:$Z$9)</f>
        <v>77.148016172655716</v>
      </c>
    </row>
    <row r="10" spans="1:27" ht="11.25" customHeight="1" x14ac:dyDescent="0.3">
      <c r="A10" s="131"/>
      <c r="B10" s="131"/>
      <c r="C10" s="131"/>
      <c r="D10" s="131"/>
      <c r="E10" s="131"/>
      <c r="F10" s="131"/>
      <c r="G10" s="32" t="s">
        <v>74</v>
      </c>
      <c r="H10" s="32" t="s">
        <v>72</v>
      </c>
      <c r="I10" s="32">
        <f>'MERCADO TE'!$U$7</f>
        <v>0.71099999999999985</v>
      </c>
      <c r="J10" s="17"/>
      <c r="L10" s="30">
        <f>'TE BE'!$L$10*'TE BE'!$L$49</f>
        <v>0</v>
      </c>
      <c r="M10" s="30">
        <f>'TE BE'!$M$10*'TE BE'!$M$49</f>
        <v>0</v>
      </c>
      <c r="N10" s="30">
        <f>'TE BE'!$N$10*'TE BE'!$N$49</f>
        <v>0</v>
      </c>
      <c r="O10" s="30">
        <f>'TE BE'!$O$10*'TE BE'!$O$49</f>
        <v>0</v>
      </c>
      <c r="P10" s="30">
        <f>SUM($L$10:$O$10)</f>
        <v>0</v>
      </c>
      <c r="Q10" s="30">
        <f>'TE BE'!$Q$10*'TE BE'!$Q$49</f>
        <v>77.148016172655716</v>
      </c>
      <c r="R10" s="30">
        <f>SUM($Q$10:$Q$10)</f>
        <v>77.148016172655716</v>
      </c>
      <c r="S10" s="30">
        <f>'TE BE'!$S$10*'TE BE'!$S$49</f>
        <v>0</v>
      </c>
      <c r="T10" s="30">
        <f>'TE BE'!$T$10*'TE BE'!$T$49</f>
        <v>0</v>
      </c>
      <c r="U10" s="30">
        <f>'TE BE'!$U$10*'TE BE'!$U$49</f>
        <v>0</v>
      </c>
      <c r="V10" s="30">
        <f>SUM($S$10:$U$10)</f>
        <v>0</v>
      </c>
      <c r="W10" s="30">
        <f>'TE BE'!$AA$10*'TE BE'!$W$49</f>
        <v>0</v>
      </c>
      <c r="X10" s="30">
        <f>SUM($W$10:$W$10)</f>
        <v>0</v>
      </c>
      <c r="Y10" s="30">
        <f>'TE BE'!$Y$10*'TE BE'!$Y$49</f>
        <v>0</v>
      </c>
      <c r="Z10" s="30">
        <f>SUM($Y$10:$Y$10)</f>
        <v>0</v>
      </c>
      <c r="AA10" s="30">
        <f>SUMIF($L$4:$Z$4,"SUBTOTAL",$L$10:$Z$10)</f>
        <v>77.148016172655716</v>
      </c>
    </row>
    <row r="11" spans="1:27" ht="11.25" customHeight="1" x14ac:dyDescent="0.3">
      <c r="A11" s="131"/>
      <c r="B11" s="131" t="s">
        <v>75</v>
      </c>
      <c r="C11" s="131" t="s">
        <v>24</v>
      </c>
      <c r="D11" s="38" t="s">
        <v>24</v>
      </c>
      <c r="E11" s="38" t="s">
        <v>25</v>
      </c>
      <c r="F11" s="38" t="s">
        <v>25</v>
      </c>
      <c r="G11" s="32" t="s">
        <v>76</v>
      </c>
      <c r="H11" s="32" t="s">
        <v>72</v>
      </c>
      <c r="I11" s="32">
        <f>'MERCADO TE'!$U$8</f>
        <v>9876.3909999999996</v>
      </c>
      <c r="J11" s="17"/>
      <c r="L11" s="30">
        <f>'TE BE'!$L$11*'TE BE'!$L$49</f>
        <v>0</v>
      </c>
      <c r="M11" s="30">
        <f>'TE BE'!$M$11*'TE BE'!$M$49</f>
        <v>0</v>
      </c>
      <c r="N11" s="30">
        <f>'TE BE'!$N$11*'TE BE'!$N$49</f>
        <v>0</v>
      </c>
      <c r="O11" s="30">
        <f>'TE BE'!$O$11*'TE BE'!$O$49</f>
        <v>0</v>
      </c>
      <c r="P11" s="30">
        <f>SUM($L$11:$O$11)</f>
        <v>0</v>
      </c>
      <c r="Q11" s="30">
        <f>'TE BE'!$Q$11*'TE BE'!$Q$49</f>
        <v>77.148016172655716</v>
      </c>
      <c r="R11" s="30">
        <f>SUM($Q$11:$Q$11)</f>
        <v>77.148016172655716</v>
      </c>
      <c r="S11" s="30">
        <f>'TE BE'!$S$11*'TE BE'!$S$49</f>
        <v>0</v>
      </c>
      <c r="T11" s="30">
        <f>'TE BE'!$T$11*'TE BE'!$T$49</f>
        <v>0</v>
      </c>
      <c r="U11" s="30">
        <f>'TE BE'!$U$11*'TE BE'!$U$49</f>
        <v>0</v>
      </c>
      <c r="V11" s="30">
        <f>SUM($S$11:$U$11)</f>
        <v>0</v>
      </c>
      <c r="W11" s="30">
        <f>'TE BE'!$AA$11*'TE BE'!$W$49</f>
        <v>0</v>
      </c>
      <c r="X11" s="30">
        <f>SUM($W$11:$W$11)</f>
        <v>0</v>
      </c>
      <c r="Y11" s="30">
        <f>'TE BE'!$Y$11*'TE BE'!$Y$49</f>
        <v>0</v>
      </c>
      <c r="Z11" s="30">
        <f>SUM($Y$11:$Y$11)</f>
        <v>0</v>
      </c>
      <c r="AA11" s="30">
        <f>SUMIF($L$4:$Z$4,"SUBTOTAL",$L$11:$Z$11)</f>
        <v>77.148016172655716</v>
      </c>
    </row>
    <row r="12" spans="1:27" ht="11.25" customHeight="1" x14ac:dyDescent="0.3">
      <c r="A12" s="131"/>
      <c r="B12" s="131"/>
      <c r="C12" s="131"/>
      <c r="D12" s="38" t="s">
        <v>29</v>
      </c>
      <c r="E12" s="38" t="s">
        <v>25</v>
      </c>
      <c r="F12" s="38" t="s">
        <v>25</v>
      </c>
      <c r="G12" s="32" t="s">
        <v>76</v>
      </c>
      <c r="H12" s="32" t="s">
        <v>72</v>
      </c>
      <c r="I12" s="32">
        <f>'MERCADO TE'!$U$9</f>
        <v>38.58</v>
      </c>
      <c r="J12" s="17"/>
      <c r="L12" s="30">
        <f>'TE BE'!$L$12*'TE BE'!$L$49</f>
        <v>0</v>
      </c>
      <c r="M12" s="30">
        <f>'TE BE'!$M$12*'TE BE'!$M$49</f>
        <v>0</v>
      </c>
      <c r="N12" s="30">
        <f>'TE BE'!$N$12*'TE BE'!$N$49</f>
        <v>0</v>
      </c>
      <c r="O12" s="30">
        <f>'TE BE'!$O$12*'TE BE'!$O$49</f>
        <v>0</v>
      </c>
      <c r="P12" s="30">
        <f>SUM($L$12:$O$12)</f>
        <v>0</v>
      </c>
      <c r="Q12" s="30">
        <f>'TE BE'!$Q$12*'TE BE'!$Q$49</f>
        <v>77.148016172655716</v>
      </c>
      <c r="R12" s="30">
        <f>SUM($Q$12:$Q$12)</f>
        <v>77.148016172655716</v>
      </c>
      <c r="S12" s="30">
        <f>'TE BE'!$S$12*'TE BE'!$S$49</f>
        <v>0</v>
      </c>
      <c r="T12" s="30">
        <f>'TE BE'!$T$12*'TE BE'!$T$49</f>
        <v>0</v>
      </c>
      <c r="U12" s="30">
        <f>'TE BE'!$U$12*'TE BE'!$U$49</f>
        <v>0</v>
      </c>
      <c r="V12" s="30">
        <f>SUM($S$12:$U$12)</f>
        <v>0</v>
      </c>
      <c r="W12" s="30">
        <f>'TE BE'!$AA$12*'TE BE'!$W$49</f>
        <v>0</v>
      </c>
      <c r="X12" s="30">
        <f>SUM($W$12:$W$12)</f>
        <v>0</v>
      </c>
      <c r="Y12" s="30">
        <f>'TE BE'!$Y$12*'TE BE'!$Y$49</f>
        <v>0</v>
      </c>
      <c r="Z12" s="30">
        <f>SUM($Y$12:$Y$12)</f>
        <v>0</v>
      </c>
      <c r="AA12" s="30">
        <f>SUMIF($L$4:$Z$4,"SUBTOTAL",$L$12:$Z$12)</f>
        <v>77.148016172655716</v>
      </c>
    </row>
    <row r="13" spans="1:27" ht="11.25" customHeight="1" x14ac:dyDescent="0.3">
      <c r="A13" s="131"/>
      <c r="B13" s="131"/>
      <c r="C13" s="131"/>
      <c r="D13" s="38" t="s">
        <v>30</v>
      </c>
      <c r="E13" s="38" t="s">
        <v>25</v>
      </c>
      <c r="F13" s="38" t="s">
        <v>25</v>
      </c>
      <c r="G13" s="32" t="s">
        <v>76</v>
      </c>
      <c r="H13" s="32" t="s">
        <v>72</v>
      </c>
      <c r="I13" s="32">
        <f>'MERCADO TE'!$U$10</f>
        <v>77.120999999999995</v>
      </c>
      <c r="J13" s="17"/>
      <c r="L13" s="30">
        <f>'TE BE'!$L$13*'TE BE'!$L$49</f>
        <v>0</v>
      </c>
      <c r="M13" s="30">
        <f>'TE BE'!$M$13*'TE BE'!$M$49</f>
        <v>0</v>
      </c>
      <c r="N13" s="30">
        <f>'TE BE'!$N$13*'TE BE'!$N$49</f>
        <v>0</v>
      </c>
      <c r="O13" s="30">
        <f>'TE BE'!$O$13*'TE BE'!$O$49</f>
        <v>0</v>
      </c>
      <c r="P13" s="30">
        <f>SUM($L$13:$O$13)</f>
        <v>0</v>
      </c>
      <c r="Q13" s="30">
        <f>'TE BE'!$Q$13*'TE BE'!$Q$49</f>
        <v>77.148016172655716</v>
      </c>
      <c r="R13" s="30">
        <f>SUM($Q$13:$Q$13)</f>
        <v>77.148016172655716</v>
      </c>
      <c r="S13" s="30">
        <f>'TE BE'!$S$13*'TE BE'!$S$49</f>
        <v>0</v>
      </c>
      <c r="T13" s="30">
        <f>'TE BE'!$T$13*'TE BE'!$T$49</f>
        <v>0</v>
      </c>
      <c r="U13" s="30">
        <f>'TE BE'!$U$13*'TE BE'!$U$49</f>
        <v>0</v>
      </c>
      <c r="V13" s="30">
        <f>SUM($S$13:$U$13)</f>
        <v>0</v>
      </c>
      <c r="W13" s="30">
        <f>'TE BE'!$AA$13*'TE BE'!$W$49</f>
        <v>0</v>
      </c>
      <c r="X13" s="30">
        <f>SUM($W$13:$W$13)</f>
        <v>0</v>
      </c>
      <c r="Y13" s="30">
        <f>'TE BE'!$Y$13*'TE BE'!$Y$49</f>
        <v>0</v>
      </c>
      <c r="Z13" s="30">
        <f>SUM($Y$13:$Y$13)</f>
        <v>0</v>
      </c>
      <c r="AA13" s="30">
        <f>SUMIF($L$4:$Z$4,"SUBTOTAL",$L$13:$Z$13)</f>
        <v>77.148016172655716</v>
      </c>
    </row>
    <row r="14" spans="1:27" ht="11.25" customHeight="1" x14ac:dyDescent="0.3">
      <c r="A14" s="131"/>
      <c r="B14" s="131"/>
      <c r="C14" s="131"/>
      <c r="D14" s="38" t="s">
        <v>31</v>
      </c>
      <c r="E14" s="38" t="s">
        <v>25</v>
      </c>
      <c r="F14" s="38" t="s">
        <v>25</v>
      </c>
      <c r="G14" s="32" t="s">
        <v>76</v>
      </c>
      <c r="H14" s="32" t="s">
        <v>72</v>
      </c>
      <c r="I14" s="32">
        <f>'MERCADO TE'!$U$11</f>
        <v>54.47</v>
      </c>
      <c r="J14" s="17"/>
      <c r="L14" s="30">
        <f>'TE BE'!$L$14*'TE BE'!$L$49</f>
        <v>0</v>
      </c>
      <c r="M14" s="30">
        <f>'TE BE'!$M$14*'TE BE'!$M$49</f>
        <v>0</v>
      </c>
      <c r="N14" s="30">
        <f>'TE BE'!$N$14*'TE BE'!$N$49</f>
        <v>0</v>
      </c>
      <c r="O14" s="30">
        <f>'TE BE'!$O$14*'TE BE'!$O$49</f>
        <v>0</v>
      </c>
      <c r="P14" s="30">
        <f>SUM($L$14:$O$14)</f>
        <v>0</v>
      </c>
      <c r="Q14" s="30">
        <f>'TE BE'!$Q$14*'TE BE'!$Q$49</f>
        <v>77.148016172655716</v>
      </c>
      <c r="R14" s="30">
        <f>SUM($Q$14:$Q$14)</f>
        <v>77.148016172655716</v>
      </c>
      <c r="S14" s="30">
        <f>'TE BE'!$S$14*'TE BE'!$S$49</f>
        <v>0</v>
      </c>
      <c r="T14" s="30">
        <f>'TE BE'!$T$14*'TE BE'!$T$49</f>
        <v>0</v>
      </c>
      <c r="U14" s="30">
        <f>'TE BE'!$U$14*'TE BE'!$U$49</f>
        <v>0</v>
      </c>
      <c r="V14" s="30">
        <f>SUM($S$14:$U$14)</f>
        <v>0</v>
      </c>
      <c r="W14" s="30">
        <f>'TE BE'!$AA$14*'TE BE'!$W$49</f>
        <v>0</v>
      </c>
      <c r="X14" s="30">
        <f>SUM($W$14:$W$14)</f>
        <v>0</v>
      </c>
      <c r="Y14" s="30">
        <f>'TE BE'!$Y$14*'TE BE'!$Y$49</f>
        <v>0</v>
      </c>
      <c r="Z14" s="30">
        <f>SUM($Y$14:$Y$14)</f>
        <v>0</v>
      </c>
      <c r="AA14" s="30">
        <f>SUMIF($L$4:$Z$4,"SUBTOTAL",$L$14:$Z$14)</f>
        <v>77.148016172655716</v>
      </c>
    </row>
    <row r="15" spans="1:27" ht="11.25" customHeight="1" x14ac:dyDescent="0.3">
      <c r="A15" s="131"/>
      <c r="B15" s="131"/>
      <c r="C15" s="131"/>
      <c r="D15" s="38" t="s">
        <v>32</v>
      </c>
      <c r="E15" s="38" t="s">
        <v>25</v>
      </c>
      <c r="F15" s="38" t="s">
        <v>25</v>
      </c>
      <c r="G15" s="32" t="s">
        <v>76</v>
      </c>
      <c r="H15" s="32" t="s">
        <v>72</v>
      </c>
      <c r="I15" s="32">
        <f>'MERCADO TE'!$U$12</f>
        <v>9.1170000000000009</v>
      </c>
      <c r="J15" s="17"/>
      <c r="L15" s="30">
        <f>'TE BE'!$L$15*'TE BE'!$L$49</f>
        <v>0</v>
      </c>
      <c r="M15" s="30">
        <f>'TE BE'!$M$15*'TE BE'!$M$49</f>
        <v>0</v>
      </c>
      <c r="N15" s="30">
        <f>'TE BE'!$N$15*'TE BE'!$N$49</f>
        <v>0</v>
      </c>
      <c r="O15" s="30">
        <f>'TE BE'!$O$15*'TE BE'!$O$49</f>
        <v>0</v>
      </c>
      <c r="P15" s="30">
        <f>SUM($L$15:$O$15)</f>
        <v>0</v>
      </c>
      <c r="Q15" s="30">
        <f>'TE BE'!$Q$15*'TE BE'!$Q$49</f>
        <v>77.148016172655716</v>
      </c>
      <c r="R15" s="30">
        <f>SUM($Q$15:$Q$15)</f>
        <v>77.148016172655716</v>
      </c>
      <c r="S15" s="30">
        <f>'TE BE'!$S$15*'TE BE'!$S$49</f>
        <v>0</v>
      </c>
      <c r="T15" s="30">
        <f>'TE BE'!$T$15*'TE BE'!$T$49</f>
        <v>0</v>
      </c>
      <c r="U15" s="30">
        <f>'TE BE'!$U$15*'TE BE'!$U$49</f>
        <v>0</v>
      </c>
      <c r="V15" s="30">
        <f>SUM($S$15:$U$15)</f>
        <v>0</v>
      </c>
      <c r="W15" s="30">
        <f>'TE BE'!$AA$15*'TE BE'!$W$49</f>
        <v>0</v>
      </c>
      <c r="X15" s="30">
        <f>SUM($W$15:$W$15)</f>
        <v>0</v>
      </c>
      <c r="Y15" s="30">
        <f>'TE BE'!$Y$15*'TE BE'!$Y$49</f>
        <v>0</v>
      </c>
      <c r="Z15" s="30">
        <f>SUM($Y$15:$Y$15)</f>
        <v>0</v>
      </c>
      <c r="AA15" s="30">
        <f>SUMIF($L$4:$Z$4,"SUBTOTAL",$L$15:$Z$15)</f>
        <v>77.148016172655716</v>
      </c>
    </row>
    <row r="16" spans="1:27" ht="11.25" customHeight="1" x14ac:dyDescent="0.3">
      <c r="A16" s="131"/>
      <c r="B16" s="131" t="s">
        <v>86</v>
      </c>
      <c r="C16" s="131" t="s">
        <v>24</v>
      </c>
      <c r="D16" s="38" t="s">
        <v>24</v>
      </c>
      <c r="E16" s="38" t="s">
        <v>25</v>
      </c>
      <c r="F16" s="38" t="s">
        <v>25</v>
      </c>
      <c r="G16" s="32" t="s">
        <v>76</v>
      </c>
      <c r="H16" s="32" t="s">
        <v>72</v>
      </c>
      <c r="I16" s="32">
        <f>'MERCADO TE'!$U$13</f>
        <v>0</v>
      </c>
      <c r="J16" s="17"/>
      <c r="L16" s="30">
        <f>'TE BE'!$L$16*'TE BE'!$L$49</f>
        <v>0</v>
      </c>
      <c r="M16" s="30">
        <f>'TE BE'!$M$16*'TE BE'!$M$49</f>
        <v>0</v>
      </c>
      <c r="N16" s="30">
        <f>'TE BE'!$N$16*'TE BE'!$N$49</f>
        <v>0</v>
      </c>
      <c r="O16" s="30">
        <f>'TE BE'!$O$16*'TE BE'!$O$49</f>
        <v>0</v>
      </c>
      <c r="P16" s="30">
        <f>SUM($L$16:$O$16)</f>
        <v>0</v>
      </c>
      <c r="Q16" s="30">
        <f>'TE BE'!$Q$16*'TE BE'!$Q$49</f>
        <v>77.148016172655716</v>
      </c>
      <c r="R16" s="30">
        <f>SUM($Q$16:$Q$16)</f>
        <v>77.148016172655716</v>
      </c>
      <c r="S16" s="30">
        <f>'TE BE'!$S$16*'TE BE'!$S$49</f>
        <v>0</v>
      </c>
      <c r="T16" s="30">
        <f>'TE BE'!$T$16*'TE BE'!$T$49</f>
        <v>0</v>
      </c>
      <c r="U16" s="30">
        <f>'TE BE'!$U$16*'TE BE'!$U$49</f>
        <v>0</v>
      </c>
      <c r="V16" s="30">
        <f>SUM($S$16:$U$16)</f>
        <v>0</v>
      </c>
      <c r="W16" s="30">
        <f>'TE BE'!$AA$16*'TE BE'!$W$49</f>
        <v>0</v>
      </c>
      <c r="X16" s="30">
        <f>SUM($W$16:$W$16)</f>
        <v>0</v>
      </c>
      <c r="Y16" s="30">
        <f>'TE BE'!$Y$16*'TE BE'!$Y$49</f>
        <v>0</v>
      </c>
      <c r="Z16" s="30">
        <f>SUM($Y$16:$Y$16)</f>
        <v>0</v>
      </c>
      <c r="AA16" s="30">
        <f>SUMIF($L$4:$Z$4,"SUBTOTAL",$L$16:$Z$16)</f>
        <v>77.148016172655716</v>
      </c>
    </row>
    <row r="17" spans="1:27" ht="11.25" customHeight="1" x14ac:dyDescent="0.3">
      <c r="A17" s="131"/>
      <c r="B17" s="131"/>
      <c r="C17" s="131"/>
      <c r="D17" s="38" t="s">
        <v>29</v>
      </c>
      <c r="E17" s="38" t="s">
        <v>25</v>
      </c>
      <c r="F17" s="38" t="s">
        <v>25</v>
      </c>
      <c r="G17" s="32" t="s">
        <v>76</v>
      </c>
      <c r="H17" s="32" t="s">
        <v>72</v>
      </c>
      <c r="I17" s="32">
        <f>'MERCADO TE'!$U$14</f>
        <v>0</v>
      </c>
      <c r="J17" s="17"/>
      <c r="L17" s="30">
        <f>'TE BE'!$L$17*'TE BE'!$L$49</f>
        <v>0</v>
      </c>
      <c r="M17" s="30">
        <f>'TE BE'!$M$17*'TE BE'!$M$49</f>
        <v>0</v>
      </c>
      <c r="N17" s="30">
        <f>'TE BE'!$N$17*'TE BE'!$N$49</f>
        <v>0</v>
      </c>
      <c r="O17" s="30">
        <f>'TE BE'!$O$17*'TE BE'!$O$49</f>
        <v>0</v>
      </c>
      <c r="P17" s="30">
        <f>SUM($L$17:$O$17)</f>
        <v>0</v>
      </c>
      <c r="Q17" s="30">
        <f>'TE BE'!$Q$17*'TE BE'!$Q$49</f>
        <v>77.148016172655716</v>
      </c>
      <c r="R17" s="30">
        <f>SUM($Q$17:$Q$17)</f>
        <v>77.148016172655716</v>
      </c>
      <c r="S17" s="30">
        <f>'TE BE'!$S$17*'TE BE'!$S$49</f>
        <v>0</v>
      </c>
      <c r="T17" s="30">
        <f>'TE BE'!$T$17*'TE BE'!$T$49</f>
        <v>0</v>
      </c>
      <c r="U17" s="30">
        <f>'TE BE'!$U$17*'TE BE'!$U$49</f>
        <v>0</v>
      </c>
      <c r="V17" s="30">
        <f>SUM($S$17:$U$17)</f>
        <v>0</v>
      </c>
      <c r="W17" s="30">
        <f>'TE BE'!$AA$17*'TE BE'!$W$49</f>
        <v>0</v>
      </c>
      <c r="X17" s="30">
        <f>SUM($W$17:$W$17)</f>
        <v>0</v>
      </c>
      <c r="Y17" s="30">
        <f>'TE BE'!$Y$17*'TE BE'!$Y$49</f>
        <v>0</v>
      </c>
      <c r="Z17" s="30">
        <f>SUM($Y$17:$Y$17)</f>
        <v>0</v>
      </c>
      <c r="AA17" s="30">
        <f>SUMIF($L$4:$Z$4,"SUBTOTAL",$L$17:$Z$17)</f>
        <v>77.148016172655716</v>
      </c>
    </row>
    <row r="18" spans="1:27" ht="11.25" customHeight="1" x14ac:dyDescent="0.3">
      <c r="A18" s="131"/>
      <c r="B18" s="131"/>
      <c r="C18" s="131"/>
      <c r="D18" s="38" t="s">
        <v>30</v>
      </c>
      <c r="E18" s="38" t="s">
        <v>25</v>
      </c>
      <c r="F18" s="38" t="s">
        <v>25</v>
      </c>
      <c r="G18" s="32" t="s">
        <v>76</v>
      </c>
      <c r="H18" s="32" t="s">
        <v>72</v>
      </c>
      <c r="I18" s="32">
        <f>'MERCADO TE'!$U$15</f>
        <v>0</v>
      </c>
      <c r="J18" s="17"/>
      <c r="L18" s="30">
        <f>'TE BE'!$L$18*'TE BE'!$L$49</f>
        <v>0</v>
      </c>
      <c r="M18" s="30">
        <f>'TE BE'!$M$18*'TE BE'!$M$49</f>
        <v>0</v>
      </c>
      <c r="N18" s="30">
        <f>'TE BE'!$N$18*'TE BE'!$N$49</f>
        <v>0</v>
      </c>
      <c r="O18" s="30">
        <f>'TE BE'!$O$18*'TE BE'!$O$49</f>
        <v>0</v>
      </c>
      <c r="P18" s="30">
        <f>SUM($L$18:$O$18)</f>
        <v>0</v>
      </c>
      <c r="Q18" s="30">
        <f>'TE BE'!$Q$18*'TE BE'!$Q$49</f>
        <v>77.148016172655716</v>
      </c>
      <c r="R18" s="30">
        <f>SUM($Q$18:$Q$18)</f>
        <v>77.148016172655716</v>
      </c>
      <c r="S18" s="30">
        <f>'TE BE'!$S$18*'TE BE'!$S$49</f>
        <v>0</v>
      </c>
      <c r="T18" s="30">
        <f>'TE BE'!$T$18*'TE BE'!$T$49</f>
        <v>0</v>
      </c>
      <c r="U18" s="30">
        <f>'TE BE'!$U$18*'TE BE'!$U$49</f>
        <v>0</v>
      </c>
      <c r="V18" s="30">
        <f>SUM($S$18:$U$18)</f>
        <v>0</v>
      </c>
      <c r="W18" s="30">
        <f>'TE BE'!$AA$18*'TE BE'!$W$49</f>
        <v>0</v>
      </c>
      <c r="X18" s="30">
        <f>SUM($W$18:$W$18)</f>
        <v>0</v>
      </c>
      <c r="Y18" s="30">
        <f>'TE BE'!$Y$18*'TE BE'!$Y$49</f>
        <v>0</v>
      </c>
      <c r="Z18" s="30">
        <f>SUM($Y$18:$Y$18)</f>
        <v>0</v>
      </c>
      <c r="AA18" s="30">
        <f>SUMIF($L$4:$Z$4,"SUBTOTAL",$L$18:$Z$18)</f>
        <v>77.148016172655716</v>
      </c>
    </row>
    <row r="19" spans="1:27" ht="11.25" customHeight="1" x14ac:dyDescent="0.3">
      <c r="A19" s="131"/>
      <c r="B19" s="131"/>
      <c r="C19" s="131"/>
      <c r="D19" s="38" t="s">
        <v>31</v>
      </c>
      <c r="E19" s="38" t="s">
        <v>25</v>
      </c>
      <c r="F19" s="38" t="s">
        <v>25</v>
      </c>
      <c r="G19" s="32" t="s">
        <v>76</v>
      </c>
      <c r="H19" s="32" t="s">
        <v>72</v>
      </c>
      <c r="I19" s="32">
        <f>'MERCADO TE'!$U$16</f>
        <v>0</v>
      </c>
      <c r="J19" s="17"/>
      <c r="L19" s="30">
        <f>'TE BE'!$L$19*'TE BE'!$L$49</f>
        <v>0</v>
      </c>
      <c r="M19" s="30">
        <f>'TE BE'!$M$19*'TE BE'!$M$49</f>
        <v>0</v>
      </c>
      <c r="N19" s="30">
        <f>'TE BE'!$N$19*'TE BE'!$N$49</f>
        <v>0</v>
      </c>
      <c r="O19" s="30">
        <f>'TE BE'!$O$19*'TE BE'!$O$49</f>
        <v>0</v>
      </c>
      <c r="P19" s="30">
        <f>SUM($L$19:$O$19)</f>
        <v>0</v>
      </c>
      <c r="Q19" s="30">
        <f>'TE BE'!$Q$19*'TE BE'!$Q$49</f>
        <v>77.148016172655716</v>
      </c>
      <c r="R19" s="30">
        <f>SUM($Q$19:$Q$19)</f>
        <v>77.148016172655716</v>
      </c>
      <c r="S19" s="30">
        <f>'TE BE'!$S$19*'TE BE'!$S$49</f>
        <v>0</v>
      </c>
      <c r="T19" s="30">
        <f>'TE BE'!$T$19*'TE BE'!$T$49</f>
        <v>0</v>
      </c>
      <c r="U19" s="30">
        <f>'TE BE'!$U$19*'TE BE'!$U$49</f>
        <v>0</v>
      </c>
      <c r="V19" s="30">
        <f>SUM($S$19:$U$19)</f>
        <v>0</v>
      </c>
      <c r="W19" s="30">
        <f>'TE BE'!$AA$19*'TE BE'!$W$49</f>
        <v>0</v>
      </c>
      <c r="X19" s="30">
        <f>SUM($W$19:$W$19)</f>
        <v>0</v>
      </c>
      <c r="Y19" s="30">
        <f>'TE BE'!$Y$19*'TE BE'!$Y$49</f>
        <v>0</v>
      </c>
      <c r="Z19" s="30">
        <f>SUM($Y$19:$Y$19)</f>
        <v>0</v>
      </c>
      <c r="AA19" s="30">
        <f>SUMIF($L$4:$Z$4,"SUBTOTAL",$L$19:$Z$19)</f>
        <v>77.148016172655716</v>
      </c>
    </row>
    <row r="20" spans="1:27" ht="11.25" customHeight="1" x14ac:dyDescent="0.3">
      <c r="A20" s="131"/>
      <c r="B20" s="131"/>
      <c r="C20" s="131"/>
      <c r="D20" s="38" t="s">
        <v>32</v>
      </c>
      <c r="E20" s="38" t="s">
        <v>25</v>
      </c>
      <c r="F20" s="38" t="s">
        <v>25</v>
      </c>
      <c r="G20" s="32" t="s">
        <v>76</v>
      </c>
      <c r="H20" s="32" t="s">
        <v>72</v>
      </c>
      <c r="I20" s="32">
        <f>'MERCADO TE'!$U$17</f>
        <v>0</v>
      </c>
      <c r="J20" s="17"/>
      <c r="L20" s="30">
        <f>'TE BE'!$L$20*'TE BE'!$L$49</f>
        <v>0</v>
      </c>
      <c r="M20" s="30">
        <f>'TE BE'!$M$20*'TE BE'!$M$49</f>
        <v>0</v>
      </c>
      <c r="N20" s="30">
        <f>'TE BE'!$N$20*'TE BE'!$N$49</f>
        <v>0</v>
      </c>
      <c r="O20" s="30">
        <f>'TE BE'!$O$20*'TE BE'!$O$49</f>
        <v>0</v>
      </c>
      <c r="P20" s="30">
        <f>SUM($L$20:$O$20)</f>
        <v>0</v>
      </c>
      <c r="Q20" s="30">
        <f>'TE BE'!$Q$20*'TE BE'!$Q$49</f>
        <v>77.148016172655716</v>
      </c>
      <c r="R20" s="30">
        <f>SUM($Q$20:$Q$20)</f>
        <v>77.148016172655716</v>
      </c>
      <c r="S20" s="30">
        <f>'TE BE'!$S$20*'TE BE'!$S$49</f>
        <v>0</v>
      </c>
      <c r="T20" s="30">
        <f>'TE BE'!$T$20*'TE BE'!$T$49</f>
        <v>0</v>
      </c>
      <c r="U20" s="30">
        <f>'TE BE'!$U$20*'TE BE'!$U$49</f>
        <v>0</v>
      </c>
      <c r="V20" s="30">
        <f>SUM($S$20:$U$20)</f>
        <v>0</v>
      </c>
      <c r="W20" s="30">
        <f>'TE BE'!$AA$20*'TE BE'!$W$49</f>
        <v>0</v>
      </c>
      <c r="X20" s="30">
        <f>SUM($W$20:$W$20)</f>
        <v>0</v>
      </c>
      <c r="Y20" s="30">
        <f>'TE BE'!$Y$20*'TE BE'!$Y$49</f>
        <v>0</v>
      </c>
      <c r="Z20" s="30">
        <f>SUM($Y$20:$Y$20)</f>
        <v>0</v>
      </c>
      <c r="AA20" s="30">
        <f>SUMIF($L$4:$Z$4,"SUBTOTAL",$L$20:$Z$20)</f>
        <v>77.148016172655716</v>
      </c>
    </row>
    <row r="21" spans="1:27" ht="11.25" customHeight="1" x14ac:dyDescent="0.3">
      <c r="A21" s="131" t="s">
        <v>43</v>
      </c>
      <c r="B21" s="131" t="s">
        <v>71</v>
      </c>
      <c r="C21" s="131" t="s">
        <v>44</v>
      </c>
      <c r="D21" s="131" t="s">
        <v>25</v>
      </c>
      <c r="E21" s="131" t="s">
        <v>25</v>
      </c>
      <c r="F21" s="131" t="s">
        <v>25</v>
      </c>
      <c r="G21" s="32" t="s">
        <v>73</v>
      </c>
      <c r="H21" s="32" t="s">
        <v>72</v>
      </c>
      <c r="I21" s="32">
        <f>'MERCADO TE'!$U$18</f>
        <v>0</v>
      </c>
      <c r="J21" s="17"/>
      <c r="L21" s="30">
        <f>'TE BE'!$L$21*'TE BE'!$L$49</f>
        <v>0</v>
      </c>
      <c r="M21" s="30">
        <f>'TE BE'!$M$21*'TE BE'!$M$49</f>
        <v>0</v>
      </c>
      <c r="N21" s="30">
        <f>'TE BE'!$N$21*'TE BE'!$N$49</f>
        <v>0</v>
      </c>
      <c r="O21" s="30">
        <f>'TE BE'!$O$21*'TE BE'!$O$49</f>
        <v>0</v>
      </c>
      <c r="P21" s="30">
        <f>SUM($L$21:$O$21)</f>
        <v>0</v>
      </c>
      <c r="Q21" s="30">
        <f>'TE BE'!$Q$21*'TE BE'!$Q$49</f>
        <v>77.148016172655716</v>
      </c>
      <c r="R21" s="30">
        <f>SUM($Q$21:$Q$21)</f>
        <v>77.148016172655716</v>
      </c>
      <c r="S21" s="30">
        <f>'TE BE'!$S$21*'TE BE'!$S$49</f>
        <v>0</v>
      </c>
      <c r="T21" s="30">
        <f>'TE BE'!$T$21*'TE BE'!$T$49</f>
        <v>0</v>
      </c>
      <c r="U21" s="30">
        <f>'TE BE'!$U$21*'TE BE'!$U$49</f>
        <v>0</v>
      </c>
      <c r="V21" s="30">
        <f>SUM($S$21:$U$21)</f>
        <v>0</v>
      </c>
      <c r="W21" s="30">
        <f>'TE BE'!$AA$21*'TE BE'!$W$49</f>
        <v>0</v>
      </c>
      <c r="X21" s="30">
        <f>SUM($W$21:$W$21)</f>
        <v>0</v>
      </c>
      <c r="Y21" s="30">
        <f>'TE BE'!$Y$21*'TE BE'!$Y$49</f>
        <v>0</v>
      </c>
      <c r="Z21" s="30">
        <f>SUM($Y$21:$Y$21)</f>
        <v>0</v>
      </c>
      <c r="AA21" s="30">
        <f>SUMIF($L$4:$Z$4,"SUBTOTAL",$L$21:$Z$21)</f>
        <v>77.148016172655716</v>
      </c>
    </row>
    <row r="22" spans="1:27" ht="11.25" customHeight="1" x14ac:dyDescent="0.3">
      <c r="A22" s="131"/>
      <c r="B22" s="131"/>
      <c r="C22" s="131"/>
      <c r="D22" s="131"/>
      <c r="E22" s="131"/>
      <c r="F22" s="131"/>
      <c r="G22" s="32" t="s">
        <v>85</v>
      </c>
      <c r="H22" s="32" t="s">
        <v>72</v>
      </c>
      <c r="I22" s="32">
        <f>'MERCADO TE'!$U$19</f>
        <v>0</v>
      </c>
      <c r="J22" s="17"/>
      <c r="L22" s="30">
        <f>'TE BE'!$L$22*'TE BE'!$L$49</f>
        <v>0</v>
      </c>
      <c r="M22" s="30">
        <f>'TE BE'!$M$22*'TE BE'!$M$49</f>
        <v>0</v>
      </c>
      <c r="N22" s="30">
        <f>'TE BE'!$N$22*'TE BE'!$N$49</f>
        <v>0</v>
      </c>
      <c r="O22" s="30">
        <f>'TE BE'!$O$22*'TE BE'!$O$49</f>
        <v>0</v>
      </c>
      <c r="P22" s="30">
        <f>SUM($L$22:$O$22)</f>
        <v>0</v>
      </c>
      <c r="Q22" s="30">
        <f>'TE BE'!$Q$22*'TE BE'!$Q$49</f>
        <v>77.148016172655716</v>
      </c>
      <c r="R22" s="30">
        <f>SUM($Q$22:$Q$22)</f>
        <v>77.148016172655716</v>
      </c>
      <c r="S22" s="30">
        <f>'TE BE'!$S$22*'TE BE'!$S$49</f>
        <v>0</v>
      </c>
      <c r="T22" s="30">
        <f>'TE BE'!$T$22*'TE BE'!$T$49</f>
        <v>0</v>
      </c>
      <c r="U22" s="30">
        <f>'TE BE'!$U$22*'TE BE'!$U$49</f>
        <v>0</v>
      </c>
      <c r="V22" s="30">
        <f>SUM($S$22:$U$22)</f>
        <v>0</v>
      </c>
      <c r="W22" s="30">
        <f>'TE BE'!$AA$22*'TE BE'!$W$49</f>
        <v>0</v>
      </c>
      <c r="X22" s="30">
        <f>SUM($W$22:$W$22)</f>
        <v>0</v>
      </c>
      <c r="Y22" s="30">
        <f>'TE BE'!$Y$22*'TE BE'!$Y$49</f>
        <v>0</v>
      </c>
      <c r="Z22" s="30">
        <f>SUM($Y$22:$Y$22)</f>
        <v>0</v>
      </c>
      <c r="AA22" s="30">
        <f>SUMIF($L$4:$Z$4,"SUBTOTAL",$L$22:$Z$22)</f>
        <v>77.148016172655716</v>
      </c>
    </row>
    <row r="23" spans="1:27" ht="11.25" customHeight="1" x14ac:dyDescent="0.3">
      <c r="A23" s="131"/>
      <c r="B23" s="131"/>
      <c r="C23" s="131"/>
      <c r="D23" s="131"/>
      <c r="E23" s="131"/>
      <c r="F23" s="131"/>
      <c r="G23" s="32" t="s">
        <v>74</v>
      </c>
      <c r="H23" s="32" t="s">
        <v>72</v>
      </c>
      <c r="I23" s="32">
        <f>'MERCADO TE'!$U$20</f>
        <v>0</v>
      </c>
      <c r="J23" s="17"/>
      <c r="L23" s="30">
        <f>'TE BE'!$L$23*'TE BE'!$L$49</f>
        <v>0</v>
      </c>
      <c r="M23" s="30">
        <f>'TE BE'!$M$23*'TE BE'!$M$49</f>
        <v>0</v>
      </c>
      <c r="N23" s="30">
        <f>'TE BE'!$N$23*'TE BE'!$N$49</f>
        <v>0</v>
      </c>
      <c r="O23" s="30">
        <f>'TE BE'!$O$23*'TE BE'!$O$49</f>
        <v>0</v>
      </c>
      <c r="P23" s="30">
        <f>SUM($L$23:$O$23)</f>
        <v>0</v>
      </c>
      <c r="Q23" s="30">
        <f>'TE BE'!$Q$23*'TE BE'!$Q$49</f>
        <v>77.148016172655716</v>
      </c>
      <c r="R23" s="30">
        <f>SUM($Q$23:$Q$23)</f>
        <v>77.148016172655716</v>
      </c>
      <c r="S23" s="30">
        <f>'TE BE'!$S$23*'TE BE'!$S$49</f>
        <v>0</v>
      </c>
      <c r="T23" s="30">
        <f>'TE BE'!$T$23*'TE BE'!$T$49</f>
        <v>0</v>
      </c>
      <c r="U23" s="30">
        <f>'TE BE'!$U$23*'TE BE'!$U$49</f>
        <v>0</v>
      </c>
      <c r="V23" s="30">
        <f>SUM($S$23:$U$23)</f>
        <v>0</v>
      </c>
      <c r="W23" s="30">
        <f>'TE BE'!$AA$23*'TE BE'!$W$49</f>
        <v>0</v>
      </c>
      <c r="X23" s="30">
        <f>SUM($W$23:$W$23)</f>
        <v>0</v>
      </c>
      <c r="Y23" s="30">
        <f>'TE BE'!$Y$23*'TE BE'!$Y$49</f>
        <v>0</v>
      </c>
      <c r="Z23" s="30">
        <f>SUM($Y$23:$Y$23)</f>
        <v>0</v>
      </c>
      <c r="AA23" s="30">
        <f>SUMIF($L$4:$Z$4,"SUBTOTAL",$L$23:$Z$23)</f>
        <v>77.148016172655716</v>
      </c>
    </row>
    <row r="24" spans="1:27" ht="11.25" customHeight="1" x14ac:dyDescent="0.3">
      <c r="A24" s="131"/>
      <c r="B24" s="38" t="s">
        <v>75</v>
      </c>
      <c r="C24" s="38" t="s">
        <v>44</v>
      </c>
      <c r="D24" s="38" t="s">
        <v>25</v>
      </c>
      <c r="E24" s="38" t="s">
        <v>25</v>
      </c>
      <c r="F24" s="38" t="s">
        <v>25</v>
      </c>
      <c r="G24" s="32" t="s">
        <v>76</v>
      </c>
      <c r="H24" s="32" t="s">
        <v>72</v>
      </c>
      <c r="I24" s="32">
        <f>'MERCADO TE'!$U$21</f>
        <v>600.24900000000002</v>
      </c>
      <c r="J24" s="17"/>
      <c r="L24" s="30">
        <f>'TE BE'!$L$24*'TE BE'!$L$49</f>
        <v>0</v>
      </c>
      <c r="M24" s="30">
        <f>'TE BE'!$M$24*'TE BE'!$M$49</f>
        <v>0</v>
      </c>
      <c r="N24" s="30">
        <f>'TE BE'!$N$24*'TE BE'!$N$49</f>
        <v>0</v>
      </c>
      <c r="O24" s="30">
        <f>'TE BE'!$O$24*'TE BE'!$O$49</f>
        <v>0</v>
      </c>
      <c r="P24" s="30">
        <f>SUM($L$24:$O$24)</f>
        <v>0</v>
      </c>
      <c r="Q24" s="30">
        <f>'TE BE'!$Q$24*'TE BE'!$Q$49</f>
        <v>77.148016172655716</v>
      </c>
      <c r="R24" s="30">
        <f>SUM($Q$24:$Q$24)</f>
        <v>77.148016172655716</v>
      </c>
      <c r="S24" s="30">
        <f>'TE BE'!$S$24*'TE BE'!$S$49</f>
        <v>0</v>
      </c>
      <c r="T24" s="30">
        <f>'TE BE'!$T$24*'TE BE'!$T$49</f>
        <v>0</v>
      </c>
      <c r="U24" s="30">
        <f>'TE BE'!$U$24*'TE BE'!$U$49</f>
        <v>0</v>
      </c>
      <c r="V24" s="30">
        <f>SUM($S$24:$U$24)</f>
        <v>0</v>
      </c>
      <c r="W24" s="30">
        <f>'TE BE'!$AA$24*'TE BE'!$W$49</f>
        <v>0</v>
      </c>
      <c r="X24" s="30">
        <f>SUM($W$24:$W$24)</f>
        <v>0</v>
      </c>
      <c r="Y24" s="30">
        <f>'TE BE'!$Y$24*'TE BE'!$Y$49</f>
        <v>0</v>
      </c>
      <c r="Z24" s="30">
        <f>SUM($Y$24:$Y$24)</f>
        <v>0</v>
      </c>
      <c r="AA24" s="30">
        <f>SUMIF($L$4:$Z$4,"SUBTOTAL",$L$24:$Z$24)</f>
        <v>77.148016172655716</v>
      </c>
    </row>
    <row r="25" spans="1:27" ht="11.25" customHeight="1" x14ac:dyDescent="0.3">
      <c r="A25" s="131"/>
      <c r="B25" s="131" t="s">
        <v>71</v>
      </c>
      <c r="C25" s="131" t="s">
        <v>44</v>
      </c>
      <c r="D25" s="131" t="s">
        <v>88</v>
      </c>
      <c r="E25" s="131" t="s">
        <v>25</v>
      </c>
      <c r="F25" s="131" t="s">
        <v>25</v>
      </c>
      <c r="G25" s="32" t="s">
        <v>73</v>
      </c>
      <c r="H25" s="32" t="s">
        <v>72</v>
      </c>
      <c r="I25" s="32">
        <f>'MERCADO TE'!$U$22</f>
        <v>0</v>
      </c>
      <c r="J25" s="17"/>
      <c r="L25" s="30">
        <f>'TE BE'!$L$25*'TE BE'!$L$49</f>
        <v>0</v>
      </c>
      <c r="M25" s="30">
        <f>'TE BE'!$M$25*'TE BE'!$M$49</f>
        <v>0</v>
      </c>
      <c r="N25" s="30">
        <f>'TE BE'!$N$25*'TE BE'!$N$49</f>
        <v>0</v>
      </c>
      <c r="O25" s="30">
        <f>'TE BE'!$O$25*'TE BE'!$O$49</f>
        <v>0</v>
      </c>
      <c r="P25" s="30">
        <f>SUM($L$25:$O$25)</f>
        <v>0</v>
      </c>
      <c r="Q25" s="30">
        <f>'TE BE'!$Q$25*'TE BE'!$Q$49</f>
        <v>77.148016172655716</v>
      </c>
      <c r="R25" s="30">
        <f>SUM($Q$25:$Q$25)</f>
        <v>77.148016172655716</v>
      </c>
      <c r="S25" s="30">
        <f>'TE BE'!$S$25*'TE BE'!$S$49</f>
        <v>0</v>
      </c>
      <c r="T25" s="30">
        <f>'TE BE'!$T$25*'TE BE'!$T$49</f>
        <v>0</v>
      </c>
      <c r="U25" s="30">
        <f>'TE BE'!$U$25*'TE BE'!$U$49</f>
        <v>0</v>
      </c>
      <c r="V25" s="30">
        <f>SUM($S$25:$U$25)</f>
        <v>0</v>
      </c>
      <c r="W25" s="30">
        <f>'TE BE'!$AA$25*'TE BE'!$W$49</f>
        <v>0</v>
      </c>
      <c r="X25" s="30">
        <f>SUM($W$25:$W$25)</f>
        <v>0</v>
      </c>
      <c r="Y25" s="30">
        <f>'TE BE'!$Y$25*'TE BE'!$Y$49</f>
        <v>0</v>
      </c>
      <c r="Z25" s="30">
        <f>SUM($Y$25:$Y$25)</f>
        <v>0</v>
      </c>
      <c r="AA25" s="30">
        <f>SUMIF($L$4:$Z$4,"SUBTOTAL",$L$25:$Z$25)</f>
        <v>77.148016172655716</v>
      </c>
    </row>
    <row r="26" spans="1:27" ht="11.25" customHeight="1" x14ac:dyDescent="0.3">
      <c r="A26" s="131"/>
      <c r="B26" s="131"/>
      <c r="C26" s="131"/>
      <c r="D26" s="131"/>
      <c r="E26" s="131"/>
      <c r="F26" s="131"/>
      <c r="G26" s="32" t="s">
        <v>85</v>
      </c>
      <c r="H26" s="32" t="s">
        <v>72</v>
      </c>
      <c r="I26" s="32">
        <f>'MERCADO TE'!$U$23</f>
        <v>0</v>
      </c>
      <c r="J26" s="17"/>
      <c r="L26" s="30">
        <f>'TE BE'!$L$26*'TE BE'!$L$49</f>
        <v>0</v>
      </c>
      <c r="M26" s="30">
        <f>'TE BE'!$M$26*'TE BE'!$M$49</f>
        <v>0</v>
      </c>
      <c r="N26" s="30">
        <f>'TE BE'!$N$26*'TE BE'!$N$49</f>
        <v>0</v>
      </c>
      <c r="O26" s="30">
        <f>'TE BE'!$O$26*'TE BE'!$O$49</f>
        <v>0</v>
      </c>
      <c r="P26" s="30">
        <f>SUM($L$26:$O$26)</f>
        <v>0</v>
      </c>
      <c r="Q26" s="30">
        <f>'TE BE'!$Q$26*'TE BE'!$Q$49</f>
        <v>77.148016172655716</v>
      </c>
      <c r="R26" s="30">
        <f>SUM($Q$26:$Q$26)</f>
        <v>77.148016172655716</v>
      </c>
      <c r="S26" s="30">
        <f>'TE BE'!$S$26*'TE BE'!$S$49</f>
        <v>0</v>
      </c>
      <c r="T26" s="30">
        <f>'TE BE'!$T$26*'TE BE'!$T$49</f>
        <v>0</v>
      </c>
      <c r="U26" s="30">
        <f>'TE BE'!$U$26*'TE BE'!$U$49</f>
        <v>0</v>
      </c>
      <c r="V26" s="30">
        <f>SUM($S$26:$U$26)</f>
        <v>0</v>
      </c>
      <c r="W26" s="30">
        <f>'TE BE'!$AA$26*'TE BE'!$W$49</f>
        <v>0</v>
      </c>
      <c r="X26" s="30">
        <f>SUM($W$26:$W$26)</f>
        <v>0</v>
      </c>
      <c r="Y26" s="30">
        <f>'TE BE'!$Y$26*'TE BE'!$Y$49</f>
        <v>0</v>
      </c>
      <c r="Z26" s="30">
        <f>SUM($Y$26:$Y$26)</f>
        <v>0</v>
      </c>
      <c r="AA26" s="30">
        <f>SUMIF($L$4:$Z$4,"SUBTOTAL",$L$26:$Z$26)</f>
        <v>77.148016172655716</v>
      </c>
    </row>
    <row r="27" spans="1:27" ht="11.25" customHeight="1" x14ac:dyDescent="0.3">
      <c r="A27" s="131"/>
      <c r="B27" s="131"/>
      <c r="C27" s="131"/>
      <c r="D27" s="131"/>
      <c r="E27" s="131"/>
      <c r="F27" s="131"/>
      <c r="G27" s="32" t="s">
        <v>74</v>
      </c>
      <c r="H27" s="32" t="s">
        <v>72</v>
      </c>
      <c r="I27" s="32">
        <f>'MERCADO TE'!$U$24</f>
        <v>0</v>
      </c>
      <c r="J27" s="17"/>
      <c r="L27" s="30">
        <f>'TE BE'!$L$27*'TE BE'!$L$49</f>
        <v>0</v>
      </c>
      <c r="M27" s="30">
        <f>'TE BE'!$M$27*'TE BE'!$M$49</f>
        <v>0</v>
      </c>
      <c r="N27" s="30">
        <f>'TE BE'!$N$27*'TE BE'!$N$49</f>
        <v>0</v>
      </c>
      <c r="O27" s="30">
        <f>'TE BE'!$O$27*'TE BE'!$O$49</f>
        <v>0</v>
      </c>
      <c r="P27" s="30">
        <f>SUM($L$27:$O$27)</f>
        <v>0</v>
      </c>
      <c r="Q27" s="30">
        <f>'TE BE'!$Q$27*'TE BE'!$Q$49</f>
        <v>77.148016172655716</v>
      </c>
      <c r="R27" s="30">
        <f>SUM($Q$27:$Q$27)</f>
        <v>77.148016172655716</v>
      </c>
      <c r="S27" s="30">
        <f>'TE BE'!$S$27*'TE BE'!$S$49</f>
        <v>0</v>
      </c>
      <c r="T27" s="30">
        <f>'TE BE'!$T$27*'TE BE'!$T$49</f>
        <v>0</v>
      </c>
      <c r="U27" s="30">
        <f>'TE BE'!$U$27*'TE BE'!$U$49</f>
        <v>0</v>
      </c>
      <c r="V27" s="30">
        <f>SUM($S$27:$U$27)</f>
        <v>0</v>
      </c>
      <c r="W27" s="30">
        <f>'TE BE'!$AA$27*'TE BE'!$W$49</f>
        <v>0</v>
      </c>
      <c r="X27" s="30">
        <f>SUM($W$27:$W$27)</f>
        <v>0</v>
      </c>
      <c r="Y27" s="30">
        <f>'TE BE'!$Y$27*'TE BE'!$Y$49</f>
        <v>0</v>
      </c>
      <c r="Z27" s="30">
        <f>SUM($Y$27:$Y$27)</f>
        <v>0</v>
      </c>
      <c r="AA27" s="30">
        <f>SUMIF($L$4:$Z$4,"SUBTOTAL",$L$27:$Z$27)</f>
        <v>77.148016172655716</v>
      </c>
    </row>
    <row r="28" spans="1:27" ht="11.25" customHeight="1" x14ac:dyDescent="0.3">
      <c r="A28" s="131"/>
      <c r="B28" s="38" t="s">
        <v>75</v>
      </c>
      <c r="C28" s="38" t="s">
        <v>44</v>
      </c>
      <c r="D28" s="38" t="s">
        <v>88</v>
      </c>
      <c r="E28" s="38" t="s">
        <v>25</v>
      </c>
      <c r="F28" s="38" t="s">
        <v>25</v>
      </c>
      <c r="G28" s="32" t="s">
        <v>76</v>
      </c>
      <c r="H28" s="32" t="s">
        <v>72</v>
      </c>
      <c r="I28" s="32">
        <f>'MERCADO TE'!$U$25</f>
        <v>0</v>
      </c>
      <c r="J28" s="17"/>
      <c r="L28" s="30">
        <f>'TE BE'!$L$28*'TE BE'!$L$49</f>
        <v>0</v>
      </c>
      <c r="M28" s="30">
        <f>'TE BE'!$M$28*'TE BE'!$M$49</f>
        <v>0</v>
      </c>
      <c r="N28" s="30">
        <f>'TE BE'!$N$28*'TE BE'!$N$49</f>
        <v>0</v>
      </c>
      <c r="O28" s="30">
        <f>'TE BE'!$O$28*'TE BE'!$O$49</f>
        <v>0</v>
      </c>
      <c r="P28" s="30">
        <f>SUM($L$28:$O$28)</f>
        <v>0</v>
      </c>
      <c r="Q28" s="30">
        <f>'TE BE'!$Q$28*'TE BE'!$Q$49</f>
        <v>77.148016172655716</v>
      </c>
      <c r="R28" s="30">
        <f>SUM($Q$28:$Q$28)</f>
        <v>77.148016172655716</v>
      </c>
      <c r="S28" s="30">
        <f>'TE BE'!$S$28*'TE BE'!$S$49</f>
        <v>0</v>
      </c>
      <c r="T28" s="30">
        <f>'TE BE'!$T$28*'TE BE'!$T$49</f>
        <v>0</v>
      </c>
      <c r="U28" s="30">
        <f>'TE BE'!$U$28*'TE BE'!$U$49</f>
        <v>0</v>
      </c>
      <c r="V28" s="30">
        <f>SUM($S$28:$U$28)</f>
        <v>0</v>
      </c>
      <c r="W28" s="30">
        <f>'TE BE'!$AA$28*'TE BE'!$W$49</f>
        <v>0</v>
      </c>
      <c r="X28" s="30">
        <f>SUM($W$28:$W$28)</f>
        <v>0</v>
      </c>
      <c r="Y28" s="30">
        <f>'TE BE'!$Y$28*'TE BE'!$Y$49</f>
        <v>0</v>
      </c>
      <c r="Z28" s="30">
        <f>SUM($Y$28:$Y$28)</f>
        <v>0</v>
      </c>
      <c r="AA28" s="30">
        <f>SUMIF($L$4:$Z$4,"SUBTOTAL",$L$28:$Z$28)</f>
        <v>77.148016172655716</v>
      </c>
    </row>
    <row r="29" spans="1:27" ht="11.25" customHeight="1" x14ac:dyDescent="0.3">
      <c r="A29" s="131"/>
      <c r="B29" s="131" t="s">
        <v>71</v>
      </c>
      <c r="C29" s="131" t="s">
        <v>44</v>
      </c>
      <c r="D29" s="131" t="s">
        <v>89</v>
      </c>
      <c r="E29" s="131" t="s">
        <v>25</v>
      </c>
      <c r="F29" s="131" t="s">
        <v>25</v>
      </c>
      <c r="G29" s="32" t="s">
        <v>73</v>
      </c>
      <c r="H29" s="32" t="s">
        <v>72</v>
      </c>
      <c r="I29" s="32">
        <f>'MERCADO TE'!$U$26</f>
        <v>0</v>
      </c>
      <c r="J29" s="17"/>
      <c r="L29" s="30">
        <f>'TE BE'!$L$29*'TE BE'!$L$49</f>
        <v>0</v>
      </c>
      <c r="M29" s="30">
        <f>'TE BE'!$M$29*'TE BE'!$M$49</f>
        <v>0</v>
      </c>
      <c r="N29" s="30">
        <f>'TE BE'!$N$29*'TE BE'!$N$49</f>
        <v>0</v>
      </c>
      <c r="O29" s="30">
        <f>'TE BE'!$O$29*'TE BE'!$O$49</f>
        <v>0</v>
      </c>
      <c r="P29" s="30">
        <f>SUM($L$29:$O$29)</f>
        <v>0</v>
      </c>
      <c r="Q29" s="30">
        <f>'TE BE'!$Q$29*'TE BE'!$Q$49</f>
        <v>77.148016172655716</v>
      </c>
      <c r="R29" s="30">
        <f>SUM($Q$29:$Q$29)</f>
        <v>77.148016172655716</v>
      </c>
      <c r="S29" s="30">
        <f>'TE BE'!$S$29*'TE BE'!$S$49</f>
        <v>0</v>
      </c>
      <c r="T29" s="30">
        <f>'TE BE'!$T$29*'TE BE'!$T$49</f>
        <v>0</v>
      </c>
      <c r="U29" s="30">
        <f>'TE BE'!$U$29*'TE BE'!$U$49</f>
        <v>0</v>
      </c>
      <c r="V29" s="30">
        <f>SUM($S$29:$U$29)</f>
        <v>0</v>
      </c>
      <c r="W29" s="30">
        <f>'TE BE'!$AA$29*'TE BE'!$W$49</f>
        <v>0</v>
      </c>
      <c r="X29" s="30">
        <f>SUM($W$29:$W$29)</f>
        <v>0</v>
      </c>
      <c r="Y29" s="30">
        <f>'TE BE'!$Y$29*'TE BE'!$Y$49</f>
        <v>0</v>
      </c>
      <c r="Z29" s="30">
        <f>SUM($Y$29:$Y$29)</f>
        <v>0</v>
      </c>
      <c r="AA29" s="30">
        <f>SUMIF($L$4:$Z$4,"SUBTOTAL",$L$29:$Z$29)</f>
        <v>77.148016172655716</v>
      </c>
    </row>
    <row r="30" spans="1:27" ht="11.25" customHeight="1" x14ac:dyDescent="0.3">
      <c r="A30" s="131"/>
      <c r="B30" s="131"/>
      <c r="C30" s="131"/>
      <c r="D30" s="131"/>
      <c r="E30" s="131"/>
      <c r="F30" s="131"/>
      <c r="G30" s="32" t="s">
        <v>85</v>
      </c>
      <c r="H30" s="32" t="s">
        <v>72</v>
      </c>
      <c r="I30" s="32">
        <f>'MERCADO TE'!$U$27</f>
        <v>0</v>
      </c>
      <c r="J30" s="17"/>
      <c r="L30" s="30">
        <f>'TE BE'!$L$30*'TE BE'!$L$49</f>
        <v>0</v>
      </c>
      <c r="M30" s="30">
        <f>'TE BE'!$M$30*'TE BE'!$M$49</f>
        <v>0</v>
      </c>
      <c r="N30" s="30">
        <f>'TE BE'!$N$30*'TE BE'!$N$49</f>
        <v>0</v>
      </c>
      <c r="O30" s="30">
        <f>'TE BE'!$O$30*'TE BE'!$O$49</f>
        <v>0</v>
      </c>
      <c r="P30" s="30">
        <f>SUM($L$30:$O$30)</f>
        <v>0</v>
      </c>
      <c r="Q30" s="30">
        <f>'TE BE'!$Q$30*'TE BE'!$Q$49</f>
        <v>77.148016172655716</v>
      </c>
      <c r="R30" s="30">
        <f>SUM($Q$30:$Q$30)</f>
        <v>77.148016172655716</v>
      </c>
      <c r="S30" s="30">
        <f>'TE BE'!$S$30*'TE BE'!$S$49</f>
        <v>0</v>
      </c>
      <c r="T30" s="30">
        <f>'TE BE'!$T$30*'TE BE'!$T$49</f>
        <v>0</v>
      </c>
      <c r="U30" s="30">
        <f>'TE BE'!$U$30*'TE BE'!$U$49</f>
        <v>0</v>
      </c>
      <c r="V30" s="30">
        <f>SUM($S$30:$U$30)</f>
        <v>0</v>
      </c>
      <c r="W30" s="30">
        <f>'TE BE'!$AA$30*'TE BE'!$W$49</f>
        <v>0</v>
      </c>
      <c r="X30" s="30">
        <f>SUM($W$30:$W$30)</f>
        <v>0</v>
      </c>
      <c r="Y30" s="30">
        <f>'TE BE'!$Y$30*'TE BE'!$Y$49</f>
        <v>0</v>
      </c>
      <c r="Z30" s="30">
        <f>SUM($Y$30:$Y$30)</f>
        <v>0</v>
      </c>
      <c r="AA30" s="30">
        <f>SUMIF($L$4:$Z$4,"SUBTOTAL",$L$30:$Z$30)</f>
        <v>77.148016172655716</v>
      </c>
    </row>
    <row r="31" spans="1:27" ht="11.25" customHeight="1" x14ac:dyDescent="0.3">
      <c r="A31" s="131"/>
      <c r="B31" s="131"/>
      <c r="C31" s="131"/>
      <c r="D31" s="131"/>
      <c r="E31" s="131"/>
      <c r="F31" s="131"/>
      <c r="G31" s="32" t="s">
        <v>74</v>
      </c>
      <c r="H31" s="32" t="s">
        <v>72</v>
      </c>
      <c r="I31" s="32">
        <f>'MERCADO TE'!$U$28</f>
        <v>0</v>
      </c>
      <c r="J31" s="17"/>
      <c r="L31" s="30">
        <f>'TE BE'!$L$31*'TE BE'!$L$49</f>
        <v>0</v>
      </c>
      <c r="M31" s="30">
        <f>'TE BE'!$M$31*'TE BE'!$M$49</f>
        <v>0</v>
      </c>
      <c r="N31" s="30">
        <f>'TE BE'!$N$31*'TE BE'!$N$49</f>
        <v>0</v>
      </c>
      <c r="O31" s="30">
        <f>'TE BE'!$O$31*'TE BE'!$O$49</f>
        <v>0</v>
      </c>
      <c r="P31" s="30">
        <f>SUM($L$31:$O$31)</f>
        <v>0</v>
      </c>
      <c r="Q31" s="30">
        <f>'TE BE'!$Q$31*'TE BE'!$Q$49</f>
        <v>77.148016172655716</v>
      </c>
      <c r="R31" s="30">
        <f>SUM($Q$31:$Q$31)</f>
        <v>77.148016172655716</v>
      </c>
      <c r="S31" s="30">
        <f>'TE BE'!$S$31*'TE BE'!$S$49</f>
        <v>0</v>
      </c>
      <c r="T31" s="30">
        <f>'TE BE'!$T$31*'TE BE'!$T$49</f>
        <v>0</v>
      </c>
      <c r="U31" s="30">
        <f>'TE BE'!$U$31*'TE BE'!$U$49</f>
        <v>0</v>
      </c>
      <c r="V31" s="30">
        <f>SUM($S$31:$U$31)</f>
        <v>0</v>
      </c>
      <c r="W31" s="30">
        <f>'TE BE'!$AA$31*'TE BE'!$W$49</f>
        <v>0</v>
      </c>
      <c r="X31" s="30">
        <f>SUM($W$31:$W$31)</f>
        <v>0</v>
      </c>
      <c r="Y31" s="30">
        <f>'TE BE'!$Y$31*'TE BE'!$Y$49</f>
        <v>0</v>
      </c>
      <c r="Z31" s="30">
        <f>SUM($Y$31:$Y$31)</f>
        <v>0</v>
      </c>
      <c r="AA31" s="30">
        <f>SUMIF($L$4:$Z$4,"SUBTOTAL",$L$31:$Z$31)</f>
        <v>77.148016172655716</v>
      </c>
    </row>
    <row r="32" spans="1:27" ht="11.25" customHeight="1" x14ac:dyDescent="0.3">
      <c r="A32" s="131"/>
      <c r="B32" s="38" t="s">
        <v>75</v>
      </c>
      <c r="C32" s="38" t="s">
        <v>44</v>
      </c>
      <c r="D32" s="38" t="s">
        <v>89</v>
      </c>
      <c r="E32" s="38" t="s">
        <v>25</v>
      </c>
      <c r="F32" s="38" t="s">
        <v>25</v>
      </c>
      <c r="G32" s="32" t="s">
        <v>76</v>
      </c>
      <c r="H32" s="32" t="s">
        <v>72</v>
      </c>
      <c r="I32" s="32">
        <f>'MERCADO TE'!$U$29</f>
        <v>0</v>
      </c>
      <c r="J32" s="17"/>
      <c r="L32" s="30">
        <f>'TE BE'!$L$32*'TE BE'!$L$49</f>
        <v>0</v>
      </c>
      <c r="M32" s="30">
        <f>'TE BE'!$M$32*'TE BE'!$M$49</f>
        <v>0</v>
      </c>
      <c r="N32" s="30">
        <f>'TE BE'!$N$32*'TE BE'!$N$49</f>
        <v>0</v>
      </c>
      <c r="O32" s="30">
        <f>'TE BE'!$O$32*'TE BE'!$O$49</f>
        <v>0</v>
      </c>
      <c r="P32" s="30">
        <f>SUM($L$32:$O$32)</f>
        <v>0</v>
      </c>
      <c r="Q32" s="30">
        <f>'TE BE'!$Q$32*'TE BE'!$Q$49</f>
        <v>77.148016172655716</v>
      </c>
      <c r="R32" s="30">
        <f>SUM($Q$32:$Q$32)</f>
        <v>77.148016172655716</v>
      </c>
      <c r="S32" s="30">
        <f>'TE BE'!$S$32*'TE BE'!$S$49</f>
        <v>0</v>
      </c>
      <c r="T32" s="30">
        <f>'TE BE'!$T$32*'TE BE'!$T$49</f>
        <v>0</v>
      </c>
      <c r="U32" s="30">
        <f>'TE BE'!$U$32*'TE BE'!$U$49</f>
        <v>0</v>
      </c>
      <c r="V32" s="30">
        <f>SUM($S$32:$U$32)</f>
        <v>0</v>
      </c>
      <c r="W32" s="30">
        <f>'TE BE'!$AA$32*'TE BE'!$W$49</f>
        <v>0</v>
      </c>
      <c r="X32" s="30">
        <f>SUM($W$32:$W$32)</f>
        <v>0</v>
      </c>
      <c r="Y32" s="30">
        <f>'TE BE'!$Y$32*'TE BE'!$Y$49</f>
        <v>0</v>
      </c>
      <c r="Z32" s="30">
        <f>SUM($Y$32:$Y$32)</f>
        <v>0</v>
      </c>
      <c r="AA32" s="30">
        <f>SUMIF($L$4:$Z$4,"SUBTOTAL",$L$32:$Z$32)</f>
        <v>77.148016172655716</v>
      </c>
    </row>
    <row r="33" spans="1:27" ht="11.25" customHeight="1" x14ac:dyDescent="0.3">
      <c r="A33" s="131"/>
      <c r="B33" s="131" t="s">
        <v>86</v>
      </c>
      <c r="C33" s="131" t="s">
        <v>44</v>
      </c>
      <c r="D33" s="38" t="s">
        <v>25</v>
      </c>
      <c r="E33" s="38" t="s">
        <v>25</v>
      </c>
      <c r="F33" s="38" t="s">
        <v>25</v>
      </c>
      <c r="G33" s="32" t="s">
        <v>76</v>
      </c>
      <c r="H33" s="32" t="s">
        <v>72</v>
      </c>
      <c r="I33" s="32">
        <f>'MERCADO TE'!$U$30</f>
        <v>0</v>
      </c>
      <c r="J33" s="17"/>
      <c r="L33" s="30">
        <f>'TE BE'!$L$33*'TE BE'!$L$49</f>
        <v>0</v>
      </c>
      <c r="M33" s="30">
        <f>'TE BE'!$M$33*'TE BE'!$M$49</f>
        <v>0</v>
      </c>
      <c r="N33" s="30">
        <f>'TE BE'!$N$33*'TE BE'!$N$49</f>
        <v>0</v>
      </c>
      <c r="O33" s="30">
        <f>'TE BE'!$O$33*'TE BE'!$O$49</f>
        <v>0</v>
      </c>
      <c r="P33" s="30">
        <f>SUM($L$33:$O$33)</f>
        <v>0</v>
      </c>
      <c r="Q33" s="30">
        <f>'TE BE'!$Q$33*'TE BE'!$Q$49</f>
        <v>77.148016172655716</v>
      </c>
      <c r="R33" s="30">
        <f>SUM($Q$33:$Q$33)</f>
        <v>77.148016172655716</v>
      </c>
      <c r="S33" s="30">
        <f>'TE BE'!$S$33*'TE BE'!$S$49</f>
        <v>0</v>
      </c>
      <c r="T33" s="30">
        <f>'TE BE'!$T$33*'TE BE'!$T$49</f>
        <v>0</v>
      </c>
      <c r="U33" s="30">
        <f>'TE BE'!$U$33*'TE BE'!$U$49</f>
        <v>0</v>
      </c>
      <c r="V33" s="30">
        <f>SUM($S$33:$U$33)</f>
        <v>0</v>
      </c>
      <c r="W33" s="30">
        <f>'TE BE'!$AA$33*'TE BE'!$W$49</f>
        <v>0</v>
      </c>
      <c r="X33" s="30">
        <f>SUM($W$33:$W$33)</f>
        <v>0</v>
      </c>
      <c r="Y33" s="30">
        <f>'TE BE'!$Y$33*'TE BE'!$Y$49</f>
        <v>0</v>
      </c>
      <c r="Z33" s="30">
        <f>SUM($Y$33:$Y$33)</f>
        <v>0</v>
      </c>
      <c r="AA33" s="30">
        <f>SUMIF($L$4:$Z$4,"SUBTOTAL",$L$33:$Z$33)</f>
        <v>77.148016172655716</v>
      </c>
    </row>
    <row r="34" spans="1:27" ht="11.25" customHeight="1" x14ac:dyDescent="0.3">
      <c r="A34" s="131"/>
      <c r="B34" s="131"/>
      <c r="C34" s="131"/>
      <c r="D34" s="38" t="s">
        <v>88</v>
      </c>
      <c r="E34" s="38" t="s">
        <v>25</v>
      </c>
      <c r="F34" s="38" t="s">
        <v>25</v>
      </c>
      <c r="G34" s="32" t="s">
        <v>76</v>
      </c>
      <c r="H34" s="32" t="s">
        <v>72</v>
      </c>
      <c r="I34" s="32">
        <f>'MERCADO TE'!$U$31</f>
        <v>0</v>
      </c>
      <c r="J34" s="17"/>
      <c r="L34" s="30">
        <f>'TE BE'!$L$34*'TE BE'!$L$49</f>
        <v>0</v>
      </c>
      <c r="M34" s="30">
        <f>'TE BE'!$M$34*'TE BE'!$M$49</f>
        <v>0</v>
      </c>
      <c r="N34" s="30">
        <f>'TE BE'!$N$34*'TE BE'!$N$49</f>
        <v>0</v>
      </c>
      <c r="O34" s="30">
        <f>'TE BE'!$O$34*'TE BE'!$O$49</f>
        <v>0</v>
      </c>
      <c r="P34" s="30">
        <f>SUM($L$34:$O$34)</f>
        <v>0</v>
      </c>
      <c r="Q34" s="30">
        <f>'TE BE'!$Q$34*'TE BE'!$Q$49</f>
        <v>77.148016172655716</v>
      </c>
      <c r="R34" s="30">
        <f>SUM($Q$34:$Q$34)</f>
        <v>77.148016172655716</v>
      </c>
      <c r="S34" s="30">
        <f>'TE BE'!$S$34*'TE BE'!$S$49</f>
        <v>0</v>
      </c>
      <c r="T34" s="30">
        <f>'TE BE'!$T$34*'TE BE'!$T$49</f>
        <v>0</v>
      </c>
      <c r="U34" s="30">
        <f>'TE BE'!$U$34*'TE BE'!$U$49</f>
        <v>0</v>
      </c>
      <c r="V34" s="30">
        <f>SUM($S$34:$U$34)</f>
        <v>0</v>
      </c>
      <c r="W34" s="30">
        <f>'TE BE'!$AA$34*'TE BE'!$W$49</f>
        <v>0</v>
      </c>
      <c r="X34" s="30">
        <f>SUM($W$34:$W$34)</f>
        <v>0</v>
      </c>
      <c r="Y34" s="30">
        <f>'TE BE'!$Y$34*'TE BE'!$Y$49</f>
        <v>0</v>
      </c>
      <c r="Z34" s="30">
        <f>SUM($Y$34:$Y$34)</f>
        <v>0</v>
      </c>
      <c r="AA34" s="30">
        <f>SUMIF($L$4:$Z$4,"SUBTOTAL",$L$34:$Z$34)</f>
        <v>77.148016172655716</v>
      </c>
    </row>
    <row r="35" spans="1:27" ht="11.25" customHeight="1" x14ac:dyDescent="0.3">
      <c r="A35" s="131"/>
      <c r="B35" s="131"/>
      <c r="C35" s="131"/>
      <c r="D35" s="38" t="s">
        <v>89</v>
      </c>
      <c r="E35" s="38" t="s">
        <v>25</v>
      </c>
      <c r="F35" s="38" t="s">
        <v>25</v>
      </c>
      <c r="G35" s="32" t="s">
        <v>76</v>
      </c>
      <c r="H35" s="32" t="s">
        <v>72</v>
      </c>
      <c r="I35" s="32">
        <f>'MERCADO TE'!$U$32</f>
        <v>0</v>
      </c>
      <c r="J35" s="17"/>
      <c r="L35" s="30">
        <f>'TE BE'!$L$35*'TE BE'!$L$49</f>
        <v>0</v>
      </c>
      <c r="M35" s="30">
        <f>'TE BE'!$M$35*'TE BE'!$M$49</f>
        <v>0</v>
      </c>
      <c r="N35" s="30">
        <f>'TE BE'!$N$35*'TE BE'!$N$49</f>
        <v>0</v>
      </c>
      <c r="O35" s="30">
        <f>'TE BE'!$O$35*'TE BE'!$O$49</f>
        <v>0</v>
      </c>
      <c r="P35" s="30">
        <f>SUM($L$35:$O$35)</f>
        <v>0</v>
      </c>
      <c r="Q35" s="30">
        <f>'TE BE'!$Q$35*'TE BE'!$Q$49</f>
        <v>77.148016172655716</v>
      </c>
      <c r="R35" s="30">
        <f>SUM($Q$35:$Q$35)</f>
        <v>77.148016172655716</v>
      </c>
      <c r="S35" s="30">
        <f>'TE BE'!$S$35*'TE BE'!$S$49</f>
        <v>0</v>
      </c>
      <c r="T35" s="30">
        <f>'TE BE'!$T$35*'TE BE'!$T$49</f>
        <v>0</v>
      </c>
      <c r="U35" s="30">
        <f>'TE BE'!$U$35*'TE BE'!$U$49</f>
        <v>0</v>
      </c>
      <c r="V35" s="30">
        <f>SUM($S$35:$U$35)</f>
        <v>0</v>
      </c>
      <c r="W35" s="30">
        <f>'TE BE'!$AA$35*'TE BE'!$W$49</f>
        <v>0</v>
      </c>
      <c r="X35" s="30">
        <f>SUM($W$35:$W$35)</f>
        <v>0</v>
      </c>
      <c r="Y35" s="30">
        <f>'TE BE'!$Y$35*'TE BE'!$Y$49</f>
        <v>0</v>
      </c>
      <c r="Z35" s="30">
        <f>SUM($Y$35:$Y$35)</f>
        <v>0</v>
      </c>
      <c r="AA35" s="30">
        <f>SUMIF($L$4:$Z$4,"SUBTOTAL",$L$35:$Z$35)</f>
        <v>77.148016172655716</v>
      </c>
    </row>
    <row r="36" spans="1:27" ht="11.25" customHeight="1" x14ac:dyDescent="0.3">
      <c r="A36" s="131" t="s">
        <v>35</v>
      </c>
      <c r="B36" s="131" t="s">
        <v>71</v>
      </c>
      <c r="C36" s="131" t="s">
        <v>25</v>
      </c>
      <c r="D36" s="131" t="s">
        <v>25</v>
      </c>
      <c r="E36" s="131" t="s">
        <v>25</v>
      </c>
      <c r="F36" s="131" t="s">
        <v>25</v>
      </c>
      <c r="G36" s="32" t="s">
        <v>73</v>
      </c>
      <c r="H36" s="32" t="s">
        <v>72</v>
      </c>
      <c r="I36" s="32">
        <f>'MERCADO TE'!$U$33</f>
        <v>0.38900000000000001</v>
      </c>
      <c r="J36" s="17"/>
      <c r="L36" s="30">
        <f>'TE BE'!$L$36*'TE BE'!$L$49</f>
        <v>0</v>
      </c>
      <c r="M36" s="30">
        <f>'TE BE'!$M$36*'TE BE'!$M$49</f>
        <v>0</v>
      </c>
      <c r="N36" s="30">
        <f>'TE BE'!$N$36*'TE BE'!$N$49</f>
        <v>0</v>
      </c>
      <c r="O36" s="30">
        <f>'TE BE'!$O$36*'TE BE'!$O$49</f>
        <v>0</v>
      </c>
      <c r="P36" s="30">
        <f>SUM($L$36:$O$36)</f>
        <v>0</v>
      </c>
      <c r="Q36" s="30">
        <f>'TE BE'!$Q$36*'TE BE'!$Q$49</f>
        <v>77.148016172655716</v>
      </c>
      <c r="R36" s="30">
        <f>SUM($Q$36:$Q$36)</f>
        <v>77.148016172655716</v>
      </c>
      <c r="S36" s="30">
        <f>'TE BE'!$S$36*'TE BE'!$S$49</f>
        <v>0</v>
      </c>
      <c r="T36" s="30">
        <f>'TE BE'!$T$36*'TE BE'!$T$49</f>
        <v>0</v>
      </c>
      <c r="U36" s="30">
        <f>'TE BE'!$U$36*'TE BE'!$U$49</f>
        <v>0</v>
      </c>
      <c r="V36" s="30">
        <f>SUM($S$36:$U$36)</f>
        <v>0</v>
      </c>
      <c r="W36" s="30">
        <f>'TE BE'!$AA$36*'TE BE'!$W$49</f>
        <v>0</v>
      </c>
      <c r="X36" s="30">
        <f>SUM($W$36:$W$36)</f>
        <v>0</v>
      </c>
      <c r="Y36" s="30">
        <f>'TE BE'!$Y$36*'TE BE'!$Y$49</f>
        <v>0</v>
      </c>
      <c r="Z36" s="30">
        <f>SUM($Y$36:$Y$36)</f>
        <v>0</v>
      </c>
      <c r="AA36" s="30">
        <f>SUMIF($L$4:$Z$4,"SUBTOTAL",$L$36:$Z$36)</f>
        <v>77.148016172655716</v>
      </c>
    </row>
    <row r="37" spans="1:27" ht="11.25" customHeight="1" x14ac:dyDescent="0.3">
      <c r="A37" s="131"/>
      <c r="B37" s="131"/>
      <c r="C37" s="131"/>
      <c r="D37" s="131"/>
      <c r="E37" s="131"/>
      <c r="F37" s="131"/>
      <c r="G37" s="32" t="s">
        <v>85</v>
      </c>
      <c r="H37" s="32" t="s">
        <v>72</v>
      </c>
      <c r="I37" s="32">
        <f>'MERCADO TE'!$U$34</f>
        <v>0.23799999999999999</v>
      </c>
      <c r="J37" s="17"/>
      <c r="L37" s="30">
        <f>'TE BE'!$L$37*'TE BE'!$L$49</f>
        <v>0</v>
      </c>
      <c r="M37" s="30">
        <f>'TE BE'!$M$37*'TE BE'!$M$49</f>
        <v>0</v>
      </c>
      <c r="N37" s="30">
        <f>'TE BE'!$N$37*'TE BE'!$N$49</f>
        <v>0</v>
      </c>
      <c r="O37" s="30">
        <f>'TE BE'!$O$37*'TE BE'!$O$49</f>
        <v>0</v>
      </c>
      <c r="P37" s="30">
        <f>SUM($L$37:$O$37)</f>
        <v>0</v>
      </c>
      <c r="Q37" s="30">
        <f>'TE BE'!$Q$37*'TE BE'!$Q$49</f>
        <v>77.148016172655716</v>
      </c>
      <c r="R37" s="30">
        <f>SUM($Q$37:$Q$37)</f>
        <v>77.148016172655716</v>
      </c>
      <c r="S37" s="30">
        <f>'TE BE'!$S$37*'TE BE'!$S$49</f>
        <v>0</v>
      </c>
      <c r="T37" s="30">
        <f>'TE BE'!$T$37*'TE BE'!$T$49</f>
        <v>0</v>
      </c>
      <c r="U37" s="30">
        <f>'TE BE'!$U$37*'TE BE'!$U$49</f>
        <v>0</v>
      </c>
      <c r="V37" s="30">
        <f>SUM($S$37:$U$37)</f>
        <v>0</v>
      </c>
      <c r="W37" s="30">
        <f>'TE BE'!$AA$37*'TE BE'!$W$49</f>
        <v>0</v>
      </c>
      <c r="X37" s="30">
        <f>SUM($W$37:$W$37)</f>
        <v>0</v>
      </c>
      <c r="Y37" s="30">
        <f>'TE BE'!$Y$37*'TE BE'!$Y$49</f>
        <v>0</v>
      </c>
      <c r="Z37" s="30">
        <f>SUM($Y$37:$Y$37)</f>
        <v>0</v>
      </c>
      <c r="AA37" s="30">
        <f>SUMIF($L$4:$Z$4,"SUBTOTAL",$L$37:$Z$37)</f>
        <v>77.148016172655716</v>
      </c>
    </row>
    <row r="38" spans="1:27" ht="11.25" customHeight="1" x14ac:dyDescent="0.3">
      <c r="A38" s="131"/>
      <c r="B38" s="131"/>
      <c r="C38" s="131"/>
      <c r="D38" s="131"/>
      <c r="E38" s="131"/>
      <c r="F38" s="131"/>
      <c r="G38" s="32" t="s">
        <v>74</v>
      </c>
      <c r="H38" s="32" t="s">
        <v>72</v>
      </c>
      <c r="I38" s="32">
        <f>'MERCADO TE'!$U$35</f>
        <v>2.8279999999999998</v>
      </c>
      <c r="J38" s="17"/>
      <c r="L38" s="30">
        <f>'TE BE'!$L$38*'TE BE'!$L$49</f>
        <v>0</v>
      </c>
      <c r="M38" s="30">
        <f>'TE BE'!$M$38*'TE BE'!$M$49</f>
        <v>0</v>
      </c>
      <c r="N38" s="30">
        <f>'TE BE'!$N$38*'TE BE'!$N$49</f>
        <v>0</v>
      </c>
      <c r="O38" s="30">
        <f>'TE BE'!$O$38*'TE BE'!$O$49</f>
        <v>0</v>
      </c>
      <c r="P38" s="30">
        <f>SUM($L$38:$O$38)</f>
        <v>0</v>
      </c>
      <c r="Q38" s="30">
        <f>'TE BE'!$Q$38*'TE BE'!$Q$49</f>
        <v>77.148016172655716</v>
      </c>
      <c r="R38" s="30">
        <f>SUM($Q$38:$Q$38)</f>
        <v>77.148016172655716</v>
      </c>
      <c r="S38" s="30">
        <f>'TE BE'!$S$38*'TE BE'!$S$49</f>
        <v>0</v>
      </c>
      <c r="T38" s="30">
        <f>'TE BE'!$T$38*'TE BE'!$T$49</f>
        <v>0</v>
      </c>
      <c r="U38" s="30">
        <f>'TE BE'!$U$38*'TE BE'!$U$49</f>
        <v>0</v>
      </c>
      <c r="V38" s="30">
        <f>SUM($S$38:$U$38)</f>
        <v>0</v>
      </c>
      <c r="W38" s="30">
        <f>'TE BE'!$AA$38*'TE BE'!$W$49</f>
        <v>0</v>
      </c>
      <c r="X38" s="30">
        <f>SUM($W$38:$W$38)</f>
        <v>0</v>
      </c>
      <c r="Y38" s="30">
        <f>'TE BE'!$Y$38*'TE BE'!$Y$49</f>
        <v>0</v>
      </c>
      <c r="Z38" s="30">
        <f>SUM($Y$38:$Y$38)</f>
        <v>0</v>
      </c>
      <c r="AA38" s="30">
        <f>SUMIF($L$4:$Z$4,"SUBTOTAL",$L$38:$Z$38)</f>
        <v>77.148016172655716</v>
      </c>
    </row>
    <row r="39" spans="1:27" ht="11.25" customHeight="1" x14ac:dyDescent="0.3">
      <c r="A39" s="131"/>
      <c r="B39" s="38" t="s">
        <v>75</v>
      </c>
      <c r="C39" s="38" t="s">
        <v>25</v>
      </c>
      <c r="D39" s="38" t="s">
        <v>25</v>
      </c>
      <c r="E39" s="38" t="s">
        <v>25</v>
      </c>
      <c r="F39" s="38" t="s">
        <v>25</v>
      </c>
      <c r="G39" s="32" t="s">
        <v>76</v>
      </c>
      <c r="H39" s="32" t="s">
        <v>72</v>
      </c>
      <c r="I39" s="32">
        <f>'MERCADO TE'!$U$36</f>
        <v>1798.9960000000001</v>
      </c>
      <c r="J39" s="17"/>
      <c r="L39" s="30">
        <f>'TE BE'!$L$39*'TE BE'!$L$49</f>
        <v>0</v>
      </c>
      <c r="M39" s="30">
        <f>'TE BE'!$M$39*'TE BE'!$M$49</f>
        <v>0</v>
      </c>
      <c r="N39" s="30">
        <f>'TE BE'!$N$39*'TE BE'!$N$49</f>
        <v>0</v>
      </c>
      <c r="O39" s="30">
        <f>'TE BE'!$O$39*'TE BE'!$O$49</f>
        <v>0</v>
      </c>
      <c r="P39" s="30">
        <f>SUM($L$39:$O$39)</f>
        <v>0</v>
      </c>
      <c r="Q39" s="30">
        <f>'TE BE'!$Q$39*'TE BE'!$Q$49</f>
        <v>77.148016172655716</v>
      </c>
      <c r="R39" s="30">
        <f>SUM($Q$39:$Q$39)</f>
        <v>77.148016172655716</v>
      </c>
      <c r="S39" s="30">
        <f>'TE BE'!$S$39*'TE BE'!$S$49</f>
        <v>0</v>
      </c>
      <c r="T39" s="30">
        <f>'TE BE'!$T$39*'TE BE'!$T$49</f>
        <v>0</v>
      </c>
      <c r="U39" s="30">
        <f>'TE BE'!$U$39*'TE BE'!$U$49</f>
        <v>0</v>
      </c>
      <c r="V39" s="30">
        <f>SUM($S$39:$U$39)</f>
        <v>0</v>
      </c>
      <c r="W39" s="30">
        <f>'TE BE'!$AA$39*'TE BE'!$W$49</f>
        <v>0</v>
      </c>
      <c r="X39" s="30">
        <f>SUM($W$39:$W$39)</f>
        <v>0</v>
      </c>
      <c r="Y39" s="30">
        <f>'TE BE'!$Y$39*'TE BE'!$Y$49</f>
        <v>0</v>
      </c>
      <c r="Z39" s="30">
        <f>SUM($Y$39:$Y$39)</f>
        <v>0</v>
      </c>
      <c r="AA39" s="30">
        <f>SUMIF($L$4:$Z$4,"SUBTOTAL",$L$39:$Z$39)</f>
        <v>77.148016172655716</v>
      </c>
    </row>
    <row r="40" spans="1:27" ht="11.25" customHeight="1" x14ac:dyDescent="0.3">
      <c r="A40" s="131"/>
      <c r="B40" s="38" t="s">
        <v>86</v>
      </c>
      <c r="C40" s="38" t="s">
        <v>25</v>
      </c>
      <c r="D40" s="38" t="s">
        <v>25</v>
      </c>
      <c r="E40" s="38" t="s">
        <v>25</v>
      </c>
      <c r="F40" s="38" t="s">
        <v>25</v>
      </c>
      <c r="G40" s="32" t="s">
        <v>76</v>
      </c>
      <c r="H40" s="32" t="s">
        <v>72</v>
      </c>
      <c r="I40" s="32">
        <f>'MERCADO TE'!$U$37</f>
        <v>0</v>
      </c>
      <c r="J40" s="17"/>
      <c r="L40" s="30">
        <f>'TE BE'!$L$40*'TE BE'!$L$49</f>
        <v>0</v>
      </c>
      <c r="M40" s="30">
        <f>'TE BE'!$M$40*'TE BE'!$M$49</f>
        <v>0</v>
      </c>
      <c r="N40" s="30">
        <f>'TE BE'!$N$40*'TE BE'!$N$49</f>
        <v>0</v>
      </c>
      <c r="O40" s="30">
        <f>'TE BE'!$O$40*'TE BE'!$O$49</f>
        <v>0</v>
      </c>
      <c r="P40" s="30">
        <f>SUM($L$40:$O$40)</f>
        <v>0</v>
      </c>
      <c r="Q40" s="30">
        <f>'TE BE'!$Q$40*'TE BE'!$Q$49</f>
        <v>77.148016172655716</v>
      </c>
      <c r="R40" s="30">
        <f>SUM($Q$40:$Q$40)</f>
        <v>77.148016172655716</v>
      </c>
      <c r="S40" s="30">
        <f>'TE BE'!$S$40*'TE BE'!$S$49</f>
        <v>0</v>
      </c>
      <c r="T40" s="30">
        <f>'TE BE'!$T$40*'TE BE'!$T$49</f>
        <v>0</v>
      </c>
      <c r="U40" s="30">
        <f>'TE BE'!$U$40*'TE BE'!$U$49</f>
        <v>0</v>
      </c>
      <c r="V40" s="30">
        <f>SUM($S$40:$U$40)</f>
        <v>0</v>
      </c>
      <c r="W40" s="30">
        <f>'TE BE'!$AA$40*'TE BE'!$W$49</f>
        <v>0</v>
      </c>
      <c r="X40" s="30">
        <f>SUM($W$40:$W$40)</f>
        <v>0</v>
      </c>
      <c r="Y40" s="30">
        <f>'TE BE'!$Y$40*'TE BE'!$Y$49</f>
        <v>0</v>
      </c>
      <c r="Z40" s="30">
        <f>SUM($Y$40:$Y$40)</f>
        <v>0</v>
      </c>
      <c r="AA40" s="30">
        <f>SUMIF($L$4:$Z$4,"SUBTOTAL",$L$40:$Z$40)</f>
        <v>77.148016172655716</v>
      </c>
    </row>
    <row r="41" spans="1:27" ht="11.25" customHeight="1" x14ac:dyDescent="0.3">
      <c r="A41" s="131" t="s">
        <v>46</v>
      </c>
      <c r="B41" s="131" t="s">
        <v>75</v>
      </c>
      <c r="C41" s="131" t="s">
        <v>47</v>
      </c>
      <c r="D41" s="38" t="s">
        <v>48</v>
      </c>
      <c r="E41" s="38" t="s">
        <v>25</v>
      </c>
      <c r="F41" s="38" t="s">
        <v>25</v>
      </c>
      <c r="G41" s="32" t="s">
        <v>76</v>
      </c>
      <c r="H41" s="32" t="s">
        <v>72</v>
      </c>
      <c r="I41" s="32">
        <f>'MERCADO TE'!$U$38</f>
        <v>3164.4159999999997</v>
      </c>
      <c r="J41" s="17"/>
      <c r="L41" s="30">
        <f>'TE BE'!$L$41*'TE BE'!$L$49</f>
        <v>0</v>
      </c>
      <c r="M41" s="30">
        <f>'TE BE'!$M$41*'TE BE'!$M$49</f>
        <v>0</v>
      </c>
      <c r="N41" s="30">
        <f>'TE BE'!$N$41*'TE BE'!$N$49</f>
        <v>0</v>
      </c>
      <c r="O41" s="30">
        <f>'TE BE'!$O$41*'TE BE'!$O$49</f>
        <v>0</v>
      </c>
      <c r="P41" s="30">
        <f>SUM($L$41:$O$41)</f>
        <v>0</v>
      </c>
      <c r="Q41" s="30">
        <f>'TE BE'!$Q$41*'TE BE'!$Q$49</f>
        <v>42.43140889496064</v>
      </c>
      <c r="R41" s="30">
        <f>SUM($Q$41:$Q$41)</f>
        <v>42.43140889496064</v>
      </c>
      <c r="S41" s="30">
        <f>'TE BE'!$S$41*'TE BE'!$S$49</f>
        <v>0</v>
      </c>
      <c r="T41" s="30">
        <f>'TE BE'!$T$41*'TE BE'!$T$49</f>
        <v>0</v>
      </c>
      <c r="U41" s="30">
        <f>'TE BE'!$U$41*'TE BE'!$U$49</f>
        <v>0</v>
      </c>
      <c r="V41" s="30">
        <f>SUM($S$41:$U$41)</f>
        <v>0</v>
      </c>
      <c r="W41" s="30">
        <f>'TE BE'!$AA$41*'TE BE'!$W$49</f>
        <v>0</v>
      </c>
      <c r="X41" s="30">
        <f>SUM($W$41:$W$41)</f>
        <v>0</v>
      </c>
      <c r="Y41" s="30">
        <f>'TE BE'!$Y$41*'TE BE'!$Y$49</f>
        <v>0</v>
      </c>
      <c r="Z41" s="30">
        <f>SUM($Y$41:$Y$41)</f>
        <v>0</v>
      </c>
      <c r="AA41" s="30">
        <f>SUMIF($L$4:$Z$4,"SUBTOTAL",$L$41:$Z$41)</f>
        <v>42.43140889496064</v>
      </c>
    </row>
    <row r="42" spans="1:27" ht="11.25" customHeight="1" x14ac:dyDescent="0.3">
      <c r="A42" s="131"/>
      <c r="B42" s="131"/>
      <c r="C42" s="131"/>
      <c r="D42" s="32" t="s">
        <v>90</v>
      </c>
      <c r="E42" s="32" t="s">
        <v>25</v>
      </c>
      <c r="F42" s="32" t="s">
        <v>25</v>
      </c>
      <c r="G42" s="32" t="s">
        <v>76</v>
      </c>
      <c r="H42" s="32" t="s">
        <v>72</v>
      </c>
      <c r="I42" s="32">
        <f>'MERCADO TE'!$U$39</f>
        <v>0</v>
      </c>
      <c r="J42" s="17"/>
      <c r="L42" s="30">
        <f>'TE BE'!$L$42*'TE BE'!$L$49</f>
        <v>0</v>
      </c>
      <c r="M42" s="30">
        <f>'TE BE'!$M$42*'TE BE'!$M$49</f>
        <v>0</v>
      </c>
      <c r="N42" s="30">
        <f>'TE BE'!$N$42*'TE BE'!$N$49</f>
        <v>0</v>
      </c>
      <c r="O42" s="30">
        <f>'TE BE'!$O$42*'TE BE'!$O$49</f>
        <v>0</v>
      </c>
      <c r="P42" s="30">
        <f>SUM($L$42:$O$42)</f>
        <v>0</v>
      </c>
      <c r="Q42" s="30">
        <f>'TE BE'!$Q$42*'TE BE'!$Q$49</f>
        <v>46.288809703593422</v>
      </c>
      <c r="R42" s="30">
        <f>SUM($Q$42:$Q$42)</f>
        <v>46.288809703593422</v>
      </c>
      <c r="S42" s="30">
        <f>'TE BE'!$S$42*'TE BE'!$S$49</f>
        <v>0</v>
      </c>
      <c r="T42" s="30">
        <f>'TE BE'!$T$42*'TE BE'!$T$49</f>
        <v>0</v>
      </c>
      <c r="U42" s="30">
        <f>'TE BE'!$U$42*'TE BE'!$U$49</f>
        <v>0</v>
      </c>
      <c r="V42" s="30">
        <f>SUM($S$42:$U$42)</f>
        <v>0</v>
      </c>
      <c r="W42" s="30">
        <f>'TE BE'!$AA$42*'TE BE'!$W$49</f>
        <v>0</v>
      </c>
      <c r="X42" s="30">
        <f>SUM($W$42:$W$42)</f>
        <v>0</v>
      </c>
      <c r="Y42" s="30">
        <f>'TE BE'!$Y$42*'TE BE'!$Y$49</f>
        <v>0</v>
      </c>
      <c r="Z42" s="30">
        <f>SUM($Y$42:$Y$42)</f>
        <v>0</v>
      </c>
      <c r="AA42" s="30">
        <f>SUMIF($L$4:$Z$4,"SUBTOTAL",$L$42:$Z$42)</f>
        <v>46.288809703593422</v>
      </c>
    </row>
    <row r="44" spans="1:27" ht="11.25" customHeight="1" x14ac:dyDescent="0.3">
      <c r="K44" s="37" t="s">
        <v>592</v>
      </c>
      <c r="L44" s="30">
        <f t="shared" ref="L44:AA44" si="0">SUMPRODUCT($I$5:$I$42,L$5:L$42)</f>
        <v>0</v>
      </c>
      <c r="M44" s="30">
        <f t="shared" si="0"/>
        <v>0</v>
      </c>
      <c r="N44" s="30">
        <f t="shared" si="0"/>
        <v>0</v>
      </c>
      <c r="O44" s="30">
        <f t="shared" si="0"/>
        <v>0</v>
      </c>
      <c r="P44" s="30">
        <f t="shared" si="0"/>
        <v>0</v>
      </c>
      <c r="Q44" s="30">
        <f t="shared" si="0"/>
        <v>1353676.9560117545</v>
      </c>
      <c r="R44" s="30">
        <f t="shared" si="0"/>
        <v>1353676.9560117545</v>
      </c>
      <c r="S44" s="30">
        <f t="shared" si="0"/>
        <v>0</v>
      </c>
      <c r="T44" s="30">
        <f t="shared" si="0"/>
        <v>0</v>
      </c>
      <c r="U44" s="30">
        <f t="shared" si="0"/>
        <v>0</v>
      </c>
      <c r="V44" s="30">
        <f t="shared" si="0"/>
        <v>0</v>
      </c>
      <c r="W44" s="30">
        <f t="shared" si="0"/>
        <v>0</v>
      </c>
      <c r="X44" s="30">
        <f t="shared" si="0"/>
        <v>0</v>
      </c>
      <c r="Y44" s="30">
        <f t="shared" si="0"/>
        <v>0</v>
      </c>
      <c r="Z44" s="30">
        <f t="shared" si="0"/>
        <v>0</v>
      </c>
      <c r="AA44" s="30">
        <f t="shared" si="0"/>
        <v>1353676.9560117545</v>
      </c>
    </row>
    <row r="45" spans="1:27" ht="11.25" customHeight="1" x14ac:dyDescent="0.3">
      <c r="K45" s="37" t="s">
        <v>511</v>
      </c>
      <c r="L45" s="30">
        <f>CUSTOS!$D$30</f>
        <v>0</v>
      </c>
      <c r="M45" s="30">
        <f>CUSTOS!$D$31</f>
        <v>0</v>
      </c>
      <c r="N45" s="30">
        <f>CUSTOS!$D$32</f>
        <v>0</v>
      </c>
      <c r="O45" s="30">
        <f>CUSTOS!$D$33</f>
        <v>0</v>
      </c>
      <c r="P45" s="30">
        <f>CUSTOS!$D$34</f>
        <v>0</v>
      </c>
      <c r="Q45" s="30">
        <f>CUSTOS!$D$35</f>
        <v>4449489.0916342959</v>
      </c>
      <c r="R45" s="30">
        <f>CUSTOS!$D$36</f>
        <v>4449489.0916342959</v>
      </c>
      <c r="S45" s="30">
        <f>CUSTOS!$D$37</f>
        <v>0</v>
      </c>
      <c r="T45" s="30">
        <f>CUSTOS!$D$38</f>
        <v>0</v>
      </c>
      <c r="U45" s="30">
        <f>CUSTOS!$D$39</f>
        <v>0</v>
      </c>
      <c r="V45" s="30">
        <f>CUSTOS!$D$40</f>
        <v>0</v>
      </c>
      <c r="W45" s="30">
        <f>CUSTOS!$D$41</f>
        <v>0</v>
      </c>
      <c r="X45" s="30">
        <f>CUSTOS!$D$42</f>
        <v>0</v>
      </c>
      <c r="Y45" s="30">
        <f>CUSTOS!$D$43</f>
        <v>0</v>
      </c>
      <c r="Z45" s="30">
        <f>CUSTOS!$D$44</f>
        <v>0</v>
      </c>
      <c r="AA45" s="30">
        <f>CUSTOS!$D$45</f>
        <v>4449489.0916342959</v>
      </c>
    </row>
    <row r="46" spans="1:27" ht="11.25" customHeight="1" x14ac:dyDescent="0.3">
      <c r="K46" s="37" t="s">
        <v>512</v>
      </c>
      <c r="L46" s="30">
        <f>CUSTOS!$E$30</f>
        <v>0</v>
      </c>
      <c r="M46" s="30">
        <f>CUSTOS!$E$31</f>
        <v>0</v>
      </c>
      <c r="N46" s="30">
        <f>CUSTOS!$E$32</f>
        <v>0</v>
      </c>
      <c r="O46" s="30">
        <f>CUSTOS!$E$33</f>
        <v>0</v>
      </c>
      <c r="P46" s="30">
        <f>CUSTOS!$E$34</f>
        <v>0</v>
      </c>
      <c r="Q46" s="30">
        <f>CUSTOS!$E$35</f>
        <v>1353676.9560117545</v>
      </c>
      <c r="R46" s="30">
        <f>CUSTOS!$E$36</f>
        <v>1353676.9560117545</v>
      </c>
      <c r="S46" s="30">
        <f>CUSTOS!$E$37</f>
        <v>0</v>
      </c>
      <c r="T46" s="30">
        <f>CUSTOS!$E$38</f>
        <v>0</v>
      </c>
      <c r="U46" s="30">
        <f>CUSTOS!$E$39</f>
        <v>0</v>
      </c>
      <c r="V46" s="30">
        <f>CUSTOS!$E$40</f>
        <v>0</v>
      </c>
      <c r="W46" s="30">
        <f>CUSTOS!$E$41</f>
        <v>0</v>
      </c>
      <c r="X46" s="30">
        <f>CUSTOS!$E$42</f>
        <v>0</v>
      </c>
      <c r="Y46" s="30">
        <f>CUSTOS!$E$43</f>
        <v>0</v>
      </c>
      <c r="Z46" s="30">
        <f>CUSTOS!$E$44</f>
        <v>0</v>
      </c>
      <c r="AA46" s="30">
        <f>CUSTOS!$E$45</f>
        <v>1353676.9560117545</v>
      </c>
    </row>
    <row r="47" spans="1:27" ht="11.25" customHeight="1" x14ac:dyDescent="0.3">
      <c r="K47" s="37" t="s">
        <v>513</v>
      </c>
      <c r="L47" s="30">
        <f>CUSTOS!$F$30</f>
        <v>0</v>
      </c>
      <c r="M47" s="30">
        <f>CUSTOS!$F$31</f>
        <v>0</v>
      </c>
      <c r="N47" s="30">
        <f>CUSTOS!$F$32</f>
        <v>0</v>
      </c>
      <c r="O47" s="30">
        <f>CUSTOS!$F$33</f>
        <v>0</v>
      </c>
      <c r="P47" s="30">
        <f>CUSTOS!$F$34</f>
        <v>0</v>
      </c>
      <c r="Q47" s="30">
        <f>CUSTOS!$F$35</f>
        <v>0</v>
      </c>
      <c r="R47" s="30">
        <f>CUSTOS!$F$36</f>
        <v>0</v>
      </c>
      <c r="S47" s="30">
        <f>CUSTOS!$F$37</f>
        <v>0</v>
      </c>
      <c r="T47" s="30">
        <f>CUSTOS!$F$38</f>
        <v>0</v>
      </c>
      <c r="U47" s="30">
        <f>CUSTOS!$F$39</f>
        <v>0</v>
      </c>
      <c r="V47" s="30">
        <f>CUSTOS!$F$40</f>
        <v>0</v>
      </c>
      <c r="W47" s="30">
        <f>CUSTOS!$F$41</f>
        <v>0</v>
      </c>
      <c r="X47" s="30">
        <f>CUSTOS!$F$42</f>
        <v>0</v>
      </c>
      <c r="Y47" s="30">
        <f>CUSTOS!$F$43</f>
        <v>0</v>
      </c>
      <c r="Z47" s="30">
        <f>CUSTOS!$F$44</f>
        <v>0</v>
      </c>
      <c r="AA47" s="30">
        <f>CUSTOS!$F$45</f>
        <v>0</v>
      </c>
    </row>
    <row r="48" spans="1:27" ht="11.25" customHeight="1" x14ac:dyDescent="0.3">
      <c r="K48" s="37" t="s">
        <v>593</v>
      </c>
      <c r="L48" s="30">
        <f>'TR TE'!$L$48*L49</f>
        <v>0</v>
      </c>
      <c r="M48" s="30">
        <f>'TR TE'!$M$48*M49</f>
        <v>0</v>
      </c>
      <c r="N48" s="30">
        <f>'TR TE'!$N$48*N49</f>
        <v>0</v>
      </c>
      <c r="O48" s="30">
        <f>'TR TE'!$O$48*O49</f>
        <v>0</v>
      </c>
      <c r="P48" s="30"/>
      <c r="Q48" s="30">
        <f>'TR TE'!$Q$48*Q49</f>
        <v>0</v>
      </c>
      <c r="R48" s="30"/>
      <c r="S48" s="30">
        <f>'TR TE'!$S$48*S49</f>
        <v>0</v>
      </c>
      <c r="T48" s="30">
        <f>'TR TE'!$T$48*T49</f>
        <v>0</v>
      </c>
      <c r="U48" s="30">
        <f>'TR TE'!$U$48*U49</f>
        <v>0</v>
      </c>
      <c r="V48" s="30"/>
      <c r="W48" s="30"/>
      <c r="X48" s="30"/>
      <c r="Y48" s="30">
        <f>'TR TE'!$Y$48*Y49</f>
        <v>0</v>
      </c>
      <c r="Z48" s="30"/>
      <c r="AA48" s="30"/>
    </row>
    <row r="49" spans="11:27" ht="11.25" customHeight="1" x14ac:dyDescent="0.3">
      <c r="K49" s="37" t="s">
        <v>588</v>
      </c>
      <c r="L49" s="30">
        <f>IF(L45&lt;&gt;0,L47/L45,0)</f>
        <v>0</v>
      </c>
      <c r="M49" s="30">
        <f>IF(M45&lt;&gt;0,M47/M45,0)</f>
        <v>0</v>
      </c>
      <c r="N49" s="30">
        <f>IF(N45&lt;&gt;0,N47/N45,0)</f>
        <v>0</v>
      </c>
      <c r="O49" s="30">
        <f>IF(O45&lt;&gt;0,O47/O45,0)</f>
        <v>0</v>
      </c>
      <c r="P49" s="30"/>
      <c r="Q49" s="30">
        <f>IF(Q45&lt;&gt;0,Q47/Q45,0)</f>
        <v>0</v>
      </c>
      <c r="R49" s="30"/>
      <c r="S49" s="30">
        <f>IF(S45&lt;&gt;0,S47/S45,0)</f>
        <v>0</v>
      </c>
      <c r="T49" s="30">
        <f>IF(T45&lt;&gt;0,T47/T45,0)</f>
        <v>0</v>
      </c>
      <c r="U49" s="30">
        <f>IF(U45&lt;&gt;0,U47/U45,0)</f>
        <v>0</v>
      </c>
      <c r="V49" s="30"/>
      <c r="W49" s="30">
        <f>IF($AA45&lt;&gt;0,W47/($AA45-SUM('TR TE'!$L48:'TR TE'!$Z48)*0),0)</f>
        <v>0</v>
      </c>
      <c r="X49" s="30"/>
      <c r="Y49" s="30">
        <f>IF(Y45&lt;&gt;0,Y47/Y45,0)</f>
        <v>0</v>
      </c>
      <c r="Z49" s="30"/>
      <c r="AA49" s="30"/>
    </row>
    <row r="50" spans="11:27" ht="11.25" customHeight="1" x14ac:dyDescent="0.3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</sheetData>
  <mergeCells count="61">
    <mergeCell ref="S3:V3"/>
    <mergeCell ref="W3:X3"/>
    <mergeCell ref="A1:A4"/>
    <mergeCell ref="B1:B4"/>
    <mergeCell ref="C1:C4"/>
    <mergeCell ref="D1:D4"/>
    <mergeCell ref="E1:E4"/>
    <mergeCell ref="F1:F4"/>
    <mergeCell ref="Y3:Z3"/>
    <mergeCell ref="AA3:AA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A1"/>
    <mergeCell ref="L2:AA2"/>
    <mergeCell ref="L3:P3"/>
    <mergeCell ref="Q3:R3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E36:E38"/>
    <mergeCell ref="F36:F38"/>
    <mergeCell ref="A41:A42"/>
    <mergeCell ref="B41:B42"/>
    <mergeCell ref="C41:C42"/>
    <mergeCell ref="D36:D38"/>
  </mergeCells>
  <conditionalFormatting sqref="L44">
    <cfRule type="cellIs" dxfId="751" priority="31" operator="notEqual">
      <formula>$L$46</formula>
    </cfRule>
    <cfRule type="cellIs" dxfId="750" priority="32" operator="equal">
      <formula>$L$46</formula>
    </cfRule>
  </conditionalFormatting>
  <conditionalFormatting sqref="M44">
    <cfRule type="cellIs" dxfId="749" priority="29" operator="notEqual">
      <formula>$M$46</formula>
    </cfRule>
    <cfRule type="cellIs" dxfId="748" priority="30" operator="equal">
      <formula>$M$46</formula>
    </cfRule>
  </conditionalFormatting>
  <conditionalFormatting sqref="N44">
    <cfRule type="cellIs" dxfId="747" priority="27" operator="notEqual">
      <formula>$N$46</formula>
    </cfRule>
    <cfRule type="cellIs" dxfId="746" priority="28" operator="equal">
      <formula>$N$46</formula>
    </cfRule>
  </conditionalFormatting>
  <conditionalFormatting sqref="O44">
    <cfRule type="cellIs" dxfId="745" priority="25" operator="notEqual">
      <formula>$O$46</formula>
    </cfRule>
    <cfRule type="cellIs" dxfId="744" priority="26" operator="equal">
      <formula>$O$46</formula>
    </cfRule>
  </conditionalFormatting>
  <conditionalFormatting sqref="P44">
    <cfRule type="cellIs" dxfId="743" priority="23" operator="notEqual">
      <formula>$P$46</formula>
    </cfRule>
    <cfRule type="cellIs" dxfId="742" priority="24" operator="equal">
      <formula>$P$46</formula>
    </cfRule>
  </conditionalFormatting>
  <conditionalFormatting sqref="Q44">
    <cfRule type="cellIs" dxfId="741" priority="21" operator="notEqual">
      <formula>$Q$46</formula>
    </cfRule>
    <cfRule type="cellIs" dxfId="740" priority="22" operator="equal">
      <formula>$Q$46</formula>
    </cfRule>
  </conditionalFormatting>
  <conditionalFormatting sqref="R44">
    <cfRule type="cellIs" dxfId="739" priority="19" operator="notEqual">
      <formula>$R$46</formula>
    </cfRule>
    <cfRule type="cellIs" dxfId="738" priority="20" operator="equal">
      <formula>$R$46</formula>
    </cfRule>
  </conditionalFormatting>
  <conditionalFormatting sqref="S44">
    <cfRule type="cellIs" dxfId="737" priority="17" operator="notEqual">
      <formula>$S$46</formula>
    </cfRule>
    <cfRule type="cellIs" dxfId="736" priority="18" operator="equal">
      <formula>$S$46</formula>
    </cfRule>
  </conditionalFormatting>
  <conditionalFormatting sqref="T44">
    <cfRule type="cellIs" dxfId="735" priority="15" operator="notEqual">
      <formula>$T$46</formula>
    </cfRule>
    <cfRule type="cellIs" dxfId="734" priority="16" operator="equal">
      <formula>$T$46</formula>
    </cfRule>
  </conditionalFormatting>
  <conditionalFormatting sqref="U44">
    <cfRule type="cellIs" dxfId="733" priority="13" operator="notEqual">
      <formula>$U$46</formula>
    </cfRule>
    <cfRule type="cellIs" dxfId="732" priority="14" operator="equal">
      <formula>$U$46</formula>
    </cfRule>
  </conditionalFormatting>
  <conditionalFormatting sqref="V44">
    <cfRule type="cellIs" dxfId="731" priority="11" operator="notEqual">
      <formula>$V$46</formula>
    </cfRule>
    <cfRule type="cellIs" dxfId="730" priority="12" operator="equal">
      <formula>$V$46</formula>
    </cfRule>
  </conditionalFormatting>
  <conditionalFormatting sqref="W44">
    <cfRule type="cellIs" dxfId="729" priority="9" operator="notEqual">
      <formula>$W$46</formula>
    </cfRule>
    <cfRule type="cellIs" dxfId="728" priority="10" operator="equal">
      <formula>$W$46</formula>
    </cfRule>
  </conditionalFormatting>
  <conditionalFormatting sqref="X44">
    <cfRule type="cellIs" dxfId="727" priority="7" operator="notEqual">
      <formula>$X$46</formula>
    </cfRule>
    <cfRule type="cellIs" dxfId="726" priority="8" operator="equal">
      <formula>$X$46</formula>
    </cfRule>
  </conditionalFormatting>
  <conditionalFormatting sqref="Y44">
    <cfRule type="cellIs" dxfId="725" priority="5" operator="notEqual">
      <formula>$Y$46</formula>
    </cfRule>
    <cfRule type="cellIs" dxfId="724" priority="6" operator="equal">
      <formula>$Y$46</formula>
    </cfRule>
  </conditionalFormatting>
  <conditionalFormatting sqref="Z44">
    <cfRule type="cellIs" dxfId="723" priority="3" operator="notEqual">
      <formula>$Z$46</formula>
    </cfRule>
    <cfRule type="cellIs" dxfId="722" priority="4" operator="equal">
      <formula>$Z$46</formula>
    </cfRule>
  </conditionalFormatting>
  <conditionalFormatting sqref="AA44">
    <cfRule type="cellIs" dxfId="721" priority="1" operator="notEqual">
      <formula>$AA$46</formula>
    </cfRule>
    <cfRule type="cellIs" dxfId="720" priority="2" operator="equal">
      <formula>$AA$46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CCCF-A845-40BD-9197-D339D2C34255}">
  <dimension ref="A1:AA50"/>
  <sheetViews>
    <sheetView showGridLines="0" topLeftCell="Q26" workbookViewId="0">
      <selection activeCell="AA44" sqref="AA44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" style="9" bestFit="1" customWidth="1"/>
    <col min="10" max="10" width="9.109375" style="9"/>
    <col min="11" max="11" width="14.33203125" style="9" bestFit="1" customWidth="1"/>
    <col min="12" max="14" width="7.88671875" style="9" bestFit="1" customWidth="1"/>
    <col min="15" max="15" width="11.109375" style="9" bestFit="1" customWidth="1"/>
    <col min="16" max="16" width="9.33203125" style="9" bestFit="1" customWidth="1"/>
    <col min="17" max="17" width="15" style="9" bestFit="1" customWidth="1"/>
    <col min="18" max="18" width="10" style="9" bestFit="1" customWidth="1"/>
    <col min="19" max="19" width="7.88671875" style="9" bestFit="1" customWidth="1"/>
    <col min="20" max="20" width="10.44140625" style="9" bestFit="1" customWidth="1"/>
    <col min="21" max="21" width="7.88671875" style="9" bestFit="1" customWidth="1"/>
    <col min="22" max="22" width="9.33203125" style="9" bestFit="1" customWidth="1"/>
    <col min="23" max="23" width="8" style="9" bestFit="1" customWidth="1"/>
    <col min="24" max="24" width="9.33203125" style="9" bestFit="1" customWidth="1"/>
    <col min="25" max="25" width="11" style="9" bestFit="1" customWidth="1"/>
    <col min="26" max="26" width="9.33203125" style="9" bestFit="1" customWidth="1"/>
    <col min="27" max="27" width="10" style="9" bestFit="1" customWidth="1"/>
    <col min="28" max="16384" width="9.109375" style="9"/>
  </cols>
  <sheetData>
    <row r="1" spans="1:27" ht="11.25" customHeight="1" x14ac:dyDescent="0.3">
      <c r="A1" s="130" t="s">
        <v>62</v>
      </c>
      <c r="B1" s="130" t="s">
        <v>63</v>
      </c>
      <c r="C1" s="130" t="s">
        <v>64</v>
      </c>
      <c r="D1" s="130" t="s">
        <v>65</v>
      </c>
      <c r="E1" s="130" t="s">
        <v>66</v>
      </c>
      <c r="F1" s="130" t="s">
        <v>15</v>
      </c>
      <c r="G1" s="130" t="s">
        <v>68</v>
      </c>
      <c r="H1" s="130" t="s">
        <v>69</v>
      </c>
      <c r="I1" s="130" t="s">
        <v>570</v>
      </c>
      <c r="J1" s="118"/>
      <c r="L1" s="128" t="s">
        <v>598</v>
      </c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</row>
    <row r="2" spans="1:27" ht="11.25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18"/>
      <c r="L2" s="128" t="s">
        <v>498</v>
      </c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ht="11.25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18"/>
      <c r="L3" s="128" t="s">
        <v>471</v>
      </c>
      <c r="M3" s="128"/>
      <c r="N3" s="128"/>
      <c r="O3" s="128"/>
      <c r="P3" s="128"/>
      <c r="Q3" s="128" t="s">
        <v>501</v>
      </c>
      <c r="R3" s="128"/>
      <c r="S3" s="128" t="s">
        <v>480</v>
      </c>
      <c r="T3" s="128"/>
      <c r="U3" s="128"/>
      <c r="V3" s="128"/>
      <c r="W3" s="128" t="s">
        <v>490</v>
      </c>
      <c r="X3" s="128"/>
      <c r="Y3" s="128" t="s">
        <v>493</v>
      </c>
      <c r="Z3" s="128"/>
      <c r="AA3" s="128" t="s">
        <v>479</v>
      </c>
    </row>
    <row r="4" spans="1:27" ht="11.25" customHeight="1" x14ac:dyDescent="0.3">
      <c r="A4" s="130"/>
      <c r="B4" s="130"/>
      <c r="C4" s="130"/>
      <c r="D4" s="130"/>
      <c r="E4" s="130"/>
      <c r="F4" s="130"/>
      <c r="G4" s="130"/>
      <c r="H4" s="130"/>
      <c r="I4" s="130"/>
      <c r="J4" s="118"/>
      <c r="L4" s="36" t="s">
        <v>473</v>
      </c>
      <c r="M4" s="36" t="s">
        <v>499</v>
      </c>
      <c r="N4" s="36" t="s">
        <v>500</v>
      </c>
      <c r="O4" s="36" t="s">
        <v>558</v>
      </c>
      <c r="P4" s="36" t="s">
        <v>479</v>
      </c>
      <c r="Q4" s="36" t="s">
        <v>502</v>
      </c>
      <c r="R4" s="36" t="s">
        <v>479</v>
      </c>
      <c r="S4" s="36" t="s">
        <v>503</v>
      </c>
      <c r="T4" s="36" t="s">
        <v>504</v>
      </c>
      <c r="U4" s="36" t="s">
        <v>505</v>
      </c>
      <c r="V4" s="36" t="s">
        <v>479</v>
      </c>
      <c r="W4" s="36" t="s">
        <v>491</v>
      </c>
      <c r="X4" s="36" t="s">
        <v>479</v>
      </c>
      <c r="Y4" s="36" t="s">
        <v>506</v>
      </c>
      <c r="Z4" s="36" t="s">
        <v>479</v>
      </c>
      <c r="AA4" s="129"/>
    </row>
    <row r="5" spans="1:27" ht="11.25" customHeight="1" x14ac:dyDescent="0.3">
      <c r="A5" s="131" t="s">
        <v>37</v>
      </c>
      <c r="B5" s="131" t="s">
        <v>71</v>
      </c>
      <c r="C5" s="131" t="s">
        <v>25</v>
      </c>
      <c r="D5" s="131" t="s">
        <v>25</v>
      </c>
      <c r="E5" s="131" t="s">
        <v>25</v>
      </c>
      <c r="F5" s="131" t="s">
        <v>25</v>
      </c>
      <c r="G5" s="32" t="s">
        <v>73</v>
      </c>
      <c r="H5" s="32" t="s">
        <v>72</v>
      </c>
      <c r="I5" s="32">
        <f>'MERCADO TE'!$U$2</f>
        <v>89.825000000000003</v>
      </c>
      <c r="J5" s="17"/>
      <c r="L5" s="30">
        <f>'TE BE'!$L$5*'TE BF'!$L$49</f>
        <v>0</v>
      </c>
      <c r="M5" s="30">
        <f>'TE BE'!$M$5*'TE BF'!$M$49</f>
        <v>0</v>
      </c>
      <c r="N5" s="30">
        <f>'TE BE'!$N$5*'TE BF'!$N$49</f>
        <v>0</v>
      </c>
      <c r="O5" s="30">
        <f>'TE BE'!$O$5*'TE BF'!$O$49</f>
        <v>0</v>
      </c>
      <c r="P5" s="30">
        <f>SUM($L$5:$O$5)</f>
        <v>0</v>
      </c>
      <c r="Q5" s="30">
        <f>'TE BE'!$Q$5*'TE BF'!$Q$49</f>
        <v>0</v>
      </c>
      <c r="R5" s="30">
        <f>SUM($Q$5:$Q$5)</f>
        <v>0</v>
      </c>
      <c r="S5" s="30">
        <f>'TE BE'!$S$5*'TE BF'!$S$49</f>
        <v>0</v>
      </c>
      <c r="T5" s="30">
        <f>'TE BE'!$T$5*'TE BF'!$T$49</f>
        <v>0</v>
      </c>
      <c r="U5" s="30">
        <f>'TE BE'!$U$5*'TE BF'!$U$49</f>
        <v>0</v>
      </c>
      <c r="V5" s="30">
        <f>SUM($S$5:$U$5)</f>
        <v>0</v>
      </c>
      <c r="W5" s="30">
        <f>'TE BE'!$AA$5*'TE BF'!$W$49</f>
        <v>0</v>
      </c>
      <c r="X5" s="30">
        <f>SUM($W$5:$W$5)</f>
        <v>0</v>
      </c>
      <c r="Y5" s="30">
        <f>'TE BE'!$Y$5*'TE BF'!$Y$49</f>
        <v>0</v>
      </c>
      <c r="Z5" s="30">
        <f>SUM($Y$5:$Y$5)</f>
        <v>0</v>
      </c>
      <c r="AA5" s="30">
        <f>SUMIF($L$4:$Z$4,"SUBTOTAL",$L$5:$Z$5)</f>
        <v>0</v>
      </c>
    </row>
    <row r="6" spans="1:27" ht="11.25" customHeight="1" x14ac:dyDescent="0.3">
      <c r="A6" s="131"/>
      <c r="B6" s="131"/>
      <c r="C6" s="131"/>
      <c r="D6" s="131"/>
      <c r="E6" s="131"/>
      <c r="F6" s="131"/>
      <c r="G6" s="32" t="s">
        <v>74</v>
      </c>
      <c r="H6" s="32" t="s">
        <v>72</v>
      </c>
      <c r="I6" s="32">
        <f>'MERCADO TE'!$U$3</f>
        <v>3257.1160000000004</v>
      </c>
      <c r="J6" s="17"/>
      <c r="L6" s="30">
        <f>'TE BE'!$L$6*'TE BF'!$L$49</f>
        <v>0</v>
      </c>
      <c r="M6" s="30">
        <f>'TE BE'!$M$6*'TE BF'!$M$49</f>
        <v>0</v>
      </c>
      <c r="N6" s="30">
        <f>'TE BE'!$N$6*'TE BF'!$N$49</f>
        <v>0</v>
      </c>
      <c r="O6" s="30">
        <f>'TE BE'!$O$6*'TE BF'!$O$49</f>
        <v>0</v>
      </c>
      <c r="P6" s="30">
        <f>SUM($L$6:$O$6)</f>
        <v>0</v>
      </c>
      <c r="Q6" s="30">
        <f>'TE BE'!$Q$6*'TE BF'!$Q$49</f>
        <v>0</v>
      </c>
      <c r="R6" s="30">
        <f>SUM($Q$6:$Q$6)</f>
        <v>0</v>
      </c>
      <c r="S6" s="30">
        <f>'TE BE'!$S$6*'TE BF'!$S$49</f>
        <v>0</v>
      </c>
      <c r="T6" s="30">
        <f>'TE BE'!$T$6*'TE BF'!$T$49</f>
        <v>0</v>
      </c>
      <c r="U6" s="30">
        <f>'TE BE'!$U$6*'TE BF'!$U$49</f>
        <v>0</v>
      </c>
      <c r="V6" s="30">
        <f>SUM($S$6:$U$6)</f>
        <v>0</v>
      </c>
      <c r="W6" s="30">
        <f>'TE BE'!$AA$6*'TE BF'!$W$49</f>
        <v>0</v>
      </c>
      <c r="X6" s="30">
        <f>SUM($W$6:$W$6)</f>
        <v>0</v>
      </c>
      <c r="Y6" s="30">
        <f>'TE BE'!$Y$6*'TE BF'!$Y$49</f>
        <v>0</v>
      </c>
      <c r="Z6" s="30">
        <f>SUM($Y$6:$Y$6)</f>
        <v>0</v>
      </c>
      <c r="AA6" s="30">
        <f>SUMIF($L$4:$Z$4,"SUBTOTAL",$L$6:$Z$6)</f>
        <v>0</v>
      </c>
    </row>
    <row r="7" spans="1:27" ht="11.25" customHeight="1" x14ac:dyDescent="0.3">
      <c r="A7" s="131"/>
      <c r="B7" s="38" t="s">
        <v>75</v>
      </c>
      <c r="C7" s="38" t="s">
        <v>25</v>
      </c>
      <c r="D7" s="38" t="s">
        <v>25</v>
      </c>
      <c r="E7" s="38" t="s">
        <v>25</v>
      </c>
      <c r="F7" s="38" t="s">
        <v>25</v>
      </c>
      <c r="G7" s="32" t="s">
        <v>76</v>
      </c>
      <c r="H7" s="32" t="s">
        <v>72</v>
      </c>
      <c r="I7" s="32">
        <f>'MERCADO TE'!$U$4</f>
        <v>0</v>
      </c>
      <c r="J7" s="17"/>
      <c r="L7" s="30">
        <f>'TE BE'!$L$7*'TE BF'!$L$49</f>
        <v>0</v>
      </c>
      <c r="M7" s="30">
        <f>'TE BE'!$M$7*'TE BF'!$M$49</f>
        <v>0</v>
      </c>
      <c r="N7" s="30">
        <f>'TE BE'!$N$7*'TE BF'!$N$49</f>
        <v>0</v>
      </c>
      <c r="O7" s="30">
        <f>'TE BE'!$O$7*'TE BF'!$O$49</f>
        <v>0</v>
      </c>
      <c r="P7" s="30">
        <f>SUM($L$7:$O$7)</f>
        <v>0</v>
      </c>
      <c r="Q7" s="30">
        <f>'TE BE'!$Q$7*'TE BF'!$Q$49</f>
        <v>0</v>
      </c>
      <c r="R7" s="30">
        <f>SUM($Q$7:$Q$7)</f>
        <v>0</v>
      </c>
      <c r="S7" s="30">
        <f>'TE BE'!$S$7*'TE BF'!$S$49</f>
        <v>0</v>
      </c>
      <c r="T7" s="30">
        <f>'TE BE'!$T$7*'TE BF'!$T$49</f>
        <v>0</v>
      </c>
      <c r="U7" s="30">
        <f>'TE BE'!$U$7*'TE BF'!$U$49</f>
        <v>0</v>
      </c>
      <c r="V7" s="30">
        <f>SUM($S$7:$U$7)</f>
        <v>0</v>
      </c>
      <c r="W7" s="30">
        <f>'TE BE'!$AA$7*'TE BF'!$W$49</f>
        <v>0</v>
      </c>
      <c r="X7" s="30">
        <f>SUM($W$7:$W$7)</f>
        <v>0</v>
      </c>
      <c r="Y7" s="30">
        <f>'TE BE'!$Y$7*'TE BF'!$Y$49</f>
        <v>0</v>
      </c>
      <c r="Z7" s="30">
        <f>SUM($Y$7:$Y$7)</f>
        <v>0</v>
      </c>
      <c r="AA7" s="30">
        <f>SUMIF($L$4:$Z$4,"SUBTOTAL",$L$7:$Z$7)</f>
        <v>0</v>
      </c>
    </row>
    <row r="8" spans="1:27" ht="11.25" customHeight="1" x14ac:dyDescent="0.3">
      <c r="A8" s="131" t="s">
        <v>22</v>
      </c>
      <c r="B8" s="131" t="s">
        <v>71</v>
      </c>
      <c r="C8" s="131" t="s">
        <v>24</v>
      </c>
      <c r="D8" s="131" t="s">
        <v>24</v>
      </c>
      <c r="E8" s="131" t="s">
        <v>25</v>
      </c>
      <c r="F8" s="131" t="s">
        <v>25</v>
      </c>
      <c r="G8" s="32" t="s">
        <v>73</v>
      </c>
      <c r="H8" s="32" t="s">
        <v>72</v>
      </c>
      <c r="I8" s="32">
        <f>'MERCADO TE'!$U$5</f>
        <v>3.1E-2</v>
      </c>
      <c r="J8" s="17"/>
      <c r="L8" s="30">
        <f>'TE BE'!$L$8*'TE BF'!$L$49</f>
        <v>0</v>
      </c>
      <c r="M8" s="30">
        <f>'TE BE'!$M$8*'TE BF'!$M$49</f>
        <v>0</v>
      </c>
      <c r="N8" s="30">
        <f>'TE BE'!$N$8*'TE BF'!$N$49</f>
        <v>0</v>
      </c>
      <c r="O8" s="30">
        <f>'TE BE'!$O$8*'TE BF'!$O$49</f>
        <v>0</v>
      </c>
      <c r="P8" s="30">
        <f>SUM($L$8:$O$8)</f>
        <v>0</v>
      </c>
      <c r="Q8" s="30">
        <f>'TE BE'!$Q$8*'TE BF'!$Q$49</f>
        <v>0</v>
      </c>
      <c r="R8" s="30">
        <f>SUM($Q$8:$Q$8)</f>
        <v>0</v>
      </c>
      <c r="S8" s="30">
        <f>'TE BE'!$S$8*'TE BF'!$S$49</f>
        <v>0</v>
      </c>
      <c r="T8" s="30">
        <f>'TE BE'!$T$8*'TE BF'!$T$49</f>
        <v>0</v>
      </c>
      <c r="U8" s="30">
        <f>'TE BE'!$U$8*'TE BF'!$U$49</f>
        <v>0</v>
      </c>
      <c r="V8" s="30">
        <f>SUM($S$8:$U$8)</f>
        <v>0</v>
      </c>
      <c r="W8" s="30">
        <f>'TE BE'!$AA$8*'TE BF'!$W$49</f>
        <v>0</v>
      </c>
      <c r="X8" s="30">
        <f>SUM($W$8:$W$8)</f>
        <v>0</v>
      </c>
      <c r="Y8" s="30">
        <f>'TE BE'!$Y$8*'TE BF'!$Y$49</f>
        <v>0</v>
      </c>
      <c r="Z8" s="30">
        <f>SUM($Y$8:$Y$8)</f>
        <v>0</v>
      </c>
      <c r="AA8" s="30">
        <f>SUMIF($L$4:$Z$4,"SUBTOTAL",$L$8:$Z$8)</f>
        <v>0</v>
      </c>
    </row>
    <row r="9" spans="1:27" ht="11.25" customHeight="1" x14ac:dyDescent="0.3">
      <c r="A9" s="131"/>
      <c r="B9" s="131"/>
      <c r="C9" s="131"/>
      <c r="D9" s="131"/>
      <c r="E9" s="131"/>
      <c r="F9" s="131"/>
      <c r="G9" s="32" t="s">
        <v>85</v>
      </c>
      <c r="H9" s="32" t="s">
        <v>72</v>
      </c>
      <c r="I9" s="32">
        <f>'MERCADO TE'!$U$6</f>
        <v>0</v>
      </c>
      <c r="J9" s="17"/>
      <c r="L9" s="30">
        <f>'TE BE'!$L$9*'TE BF'!$L$49</f>
        <v>0</v>
      </c>
      <c r="M9" s="30">
        <f>'TE BE'!$M$9*'TE BF'!$M$49</f>
        <v>0</v>
      </c>
      <c r="N9" s="30">
        <f>'TE BE'!$N$9*'TE BF'!$N$49</f>
        <v>0</v>
      </c>
      <c r="O9" s="30">
        <f>'TE BE'!$O$9*'TE BF'!$O$49</f>
        <v>0</v>
      </c>
      <c r="P9" s="30">
        <f>SUM($L$9:$O$9)</f>
        <v>0</v>
      </c>
      <c r="Q9" s="30">
        <f>'TE BE'!$Q$9*'TE BF'!$Q$49</f>
        <v>0</v>
      </c>
      <c r="R9" s="30">
        <f>SUM($Q$9:$Q$9)</f>
        <v>0</v>
      </c>
      <c r="S9" s="30">
        <f>'TE BE'!$S$9*'TE BF'!$S$49</f>
        <v>0</v>
      </c>
      <c r="T9" s="30">
        <f>'TE BE'!$T$9*'TE BF'!$T$49</f>
        <v>0</v>
      </c>
      <c r="U9" s="30">
        <f>'TE BE'!$U$9*'TE BF'!$U$49</f>
        <v>0</v>
      </c>
      <c r="V9" s="30">
        <f>SUM($S$9:$U$9)</f>
        <v>0</v>
      </c>
      <c r="W9" s="30">
        <f>'TE BE'!$AA$9*'TE BF'!$W$49</f>
        <v>0</v>
      </c>
      <c r="X9" s="30">
        <f>SUM($W$9:$W$9)</f>
        <v>0</v>
      </c>
      <c r="Y9" s="30">
        <f>'TE BE'!$Y$9*'TE BF'!$Y$49</f>
        <v>0</v>
      </c>
      <c r="Z9" s="30">
        <f>SUM($Y$9:$Y$9)</f>
        <v>0</v>
      </c>
      <c r="AA9" s="30">
        <f>SUMIF($L$4:$Z$4,"SUBTOTAL",$L$9:$Z$9)</f>
        <v>0</v>
      </c>
    </row>
    <row r="10" spans="1:27" ht="11.25" customHeight="1" x14ac:dyDescent="0.3">
      <c r="A10" s="131"/>
      <c r="B10" s="131"/>
      <c r="C10" s="131"/>
      <c r="D10" s="131"/>
      <c r="E10" s="131"/>
      <c r="F10" s="131"/>
      <c r="G10" s="32" t="s">
        <v>74</v>
      </c>
      <c r="H10" s="32" t="s">
        <v>72</v>
      </c>
      <c r="I10" s="32">
        <f>'MERCADO TE'!$U$7</f>
        <v>0.71099999999999985</v>
      </c>
      <c r="J10" s="17"/>
      <c r="L10" s="30">
        <f>'TE BE'!$L$10*'TE BF'!$L$49</f>
        <v>0</v>
      </c>
      <c r="M10" s="30">
        <f>'TE BE'!$M$10*'TE BF'!$M$49</f>
        <v>0</v>
      </c>
      <c r="N10" s="30">
        <f>'TE BE'!$N$10*'TE BF'!$N$49</f>
        <v>0</v>
      </c>
      <c r="O10" s="30">
        <f>'TE BE'!$O$10*'TE BF'!$O$49</f>
        <v>0</v>
      </c>
      <c r="P10" s="30">
        <f>SUM($L$10:$O$10)</f>
        <v>0</v>
      </c>
      <c r="Q10" s="30">
        <f>'TE BE'!$Q$10*'TE BF'!$Q$49</f>
        <v>0</v>
      </c>
      <c r="R10" s="30">
        <f>SUM($Q$10:$Q$10)</f>
        <v>0</v>
      </c>
      <c r="S10" s="30">
        <f>'TE BE'!$S$10*'TE BF'!$S$49</f>
        <v>0</v>
      </c>
      <c r="T10" s="30">
        <f>'TE BE'!$T$10*'TE BF'!$T$49</f>
        <v>0</v>
      </c>
      <c r="U10" s="30">
        <f>'TE BE'!$U$10*'TE BF'!$U$49</f>
        <v>0</v>
      </c>
      <c r="V10" s="30">
        <f>SUM($S$10:$U$10)</f>
        <v>0</v>
      </c>
      <c r="W10" s="30">
        <f>'TE BE'!$AA$10*'TE BF'!$W$49</f>
        <v>0</v>
      </c>
      <c r="X10" s="30">
        <f>SUM($W$10:$W$10)</f>
        <v>0</v>
      </c>
      <c r="Y10" s="30">
        <f>'TE BE'!$Y$10*'TE BF'!$Y$49</f>
        <v>0</v>
      </c>
      <c r="Z10" s="30">
        <f>SUM($Y$10:$Y$10)</f>
        <v>0</v>
      </c>
      <c r="AA10" s="30">
        <f>SUMIF($L$4:$Z$4,"SUBTOTAL",$L$10:$Z$10)</f>
        <v>0</v>
      </c>
    </row>
    <row r="11" spans="1:27" ht="11.25" customHeight="1" x14ac:dyDescent="0.3">
      <c r="A11" s="131"/>
      <c r="B11" s="131" t="s">
        <v>75</v>
      </c>
      <c r="C11" s="131" t="s">
        <v>24</v>
      </c>
      <c r="D11" s="38" t="s">
        <v>24</v>
      </c>
      <c r="E11" s="38" t="s">
        <v>25</v>
      </c>
      <c r="F11" s="38" t="s">
        <v>25</v>
      </c>
      <c r="G11" s="32" t="s">
        <v>76</v>
      </c>
      <c r="H11" s="32" t="s">
        <v>72</v>
      </c>
      <c r="I11" s="32">
        <f>'MERCADO TE'!$U$8</f>
        <v>9876.3909999999996</v>
      </c>
      <c r="J11" s="17"/>
      <c r="L11" s="30">
        <f>'TE BE'!$L$11*'TE BF'!$L$49</f>
        <v>0</v>
      </c>
      <c r="M11" s="30">
        <f>'TE BE'!$M$11*'TE BF'!$M$49</f>
        <v>0</v>
      </c>
      <c r="N11" s="30">
        <f>'TE BE'!$N$11*'TE BF'!$N$49</f>
        <v>0</v>
      </c>
      <c r="O11" s="30">
        <f>'TE BE'!$O$11*'TE BF'!$O$49</f>
        <v>0</v>
      </c>
      <c r="P11" s="30">
        <f>SUM($L$11:$O$11)</f>
        <v>0</v>
      </c>
      <c r="Q11" s="30">
        <f>'TE BE'!$Q$11*'TE BF'!$Q$49</f>
        <v>0</v>
      </c>
      <c r="R11" s="30">
        <f>SUM($Q$11:$Q$11)</f>
        <v>0</v>
      </c>
      <c r="S11" s="30">
        <f>'TE BE'!$S$11*'TE BF'!$S$49</f>
        <v>0</v>
      </c>
      <c r="T11" s="30">
        <f>'TE BE'!$T$11*'TE BF'!$T$49</f>
        <v>0</v>
      </c>
      <c r="U11" s="30">
        <f>'TE BE'!$U$11*'TE BF'!$U$49</f>
        <v>0</v>
      </c>
      <c r="V11" s="30">
        <f>SUM($S$11:$U$11)</f>
        <v>0</v>
      </c>
      <c r="W11" s="30">
        <f>'TE BE'!$AA$11*'TE BF'!$W$49</f>
        <v>0</v>
      </c>
      <c r="X11" s="30">
        <f>SUM($W$11:$W$11)</f>
        <v>0</v>
      </c>
      <c r="Y11" s="30">
        <f>'TE BE'!$Y$11*'TE BF'!$Y$49</f>
        <v>0</v>
      </c>
      <c r="Z11" s="30">
        <f>SUM($Y$11:$Y$11)</f>
        <v>0</v>
      </c>
      <c r="AA11" s="30">
        <f>SUMIF($L$4:$Z$4,"SUBTOTAL",$L$11:$Z$11)</f>
        <v>0</v>
      </c>
    </row>
    <row r="12" spans="1:27" ht="11.25" customHeight="1" x14ac:dyDescent="0.3">
      <c r="A12" s="131"/>
      <c r="B12" s="131"/>
      <c r="C12" s="131"/>
      <c r="D12" s="38" t="s">
        <v>29</v>
      </c>
      <c r="E12" s="38" t="s">
        <v>25</v>
      </c>
      <c r="F12" s="38" t="s">
        <v>25</v>
      </c>
      <c r="G12" s="32" t="s">
        <v>76</v>
      </c>
      <c r="H12" s="32" t="s">
        <v>72</v>
      </c>
      <c r="I12" s="32">
        <f>'MERCADO TE'!$U$9</f>
        <v>38.58</v>
      </c>
      <c r="J12" s="17"/>
      <c r="L12" s="30">
        <f>'TE BE'!$L$12*'TE BF'!$L$49</f>
        <v>0</v>
      </c>
      <c r="M12" s="30">
        <f>'TE BE'!$M$12*'TE BF'!$M$49</f>
        <v>0</v>
      </c>
      <c r="N12" s="30">
        <f>'TE BE'!$N$12*'TE BF'!$N$49</f>
        <v>0</v>
      </c>
      <c r="O12" s="30">
        <f>'TE BE'!$O$12*'TE BF'!$O$49</f>
        <v>0</v>
      </c>
      <c r="P12" s="30">
        <f>SUM($L$12:$O$12)</f>
        <v>0</v>
      </c>
      <c r="Q12" s="30">
        <f>'TE BE'!$Q$12*'TE BF'!$Q$49</f>
        <v>0</v>
      </c>
      <c r="R12" s="30">
        <f>SUM($Q$12:$Q$12)</f>
        <v>0</v>
      </c>
      <c r="S12" s="30">
        <f>'TE BE'!$S$12*'TE BF'!$S$49</f>
        <v>0</v>
      </c>
      <c r="T12" s="30">
        <f>'TE BE'!$T$12*'TE BF'!$T$49</f>
        <v>0</v>
      </c>
      <c r="U12" s="30">
        <f>'TE BE'!$U$12*'TE BF'!$U$49</f>
        <v>0</v>
      </c>
      <c r="V12" s="30">
        <f>SUM($S$12:$U$12)</f>
        <v>0</v>
      </c>
      <c r="W12" s="30">
        <f>'TE BE'!$AA$12*'TE BF'!$W$49</f>
        <v>0</v>
      </c>
      <c r="X12" s="30">
        <f>SUM($W$12:$W$12)</f>
        <v>0</v>
      </c>
      <c r="Y12" s="30">
        <f>'TE BE'!$Y$12*'TE BF'!$Y$49</f>
        <v>0</v>
      </c>
      <c r="Z12" s="30">
        <f>SUM($Y$12:$Y$12)</f>
        <v>0</v>
      </c>
      <c r="AA12" s="30">
        <f>SUMIF($L$4:$Z$4,"SUBTOTAL",$L$12:$Z$12)</f>
        <v>0</v>
      </c>
    </row>
    <row r="13" spans="1:27" ht="11.25" customHeight="1" x14ac:dyDescent="0.3">
      <c r="A13" s="131"/>
      <c r="B13" s="131"/>
      <c r="C13" s="131"/>
      <c r="D13" s="38" t="s">
        <v>30</v>
      </c>
      <c r="E13" s="38" t="s">
        <v>25</v>
      </c>
      <c r="F13" s="38" t="s">
        <v>25</v>
      </c>
      <c r="G13" s="32" t="s">
        <v>76</v>
      </c>
      <c r="H13" s="32" t="s">
        <v>72</v>
      </c>
      <c r="I13" s="32">
        <f>'MERCADO TE'!$U$10</f>
        <v>77.120999999999995</v>
      </c>
      <c r="J13" s="17"/>
      <c r="L13" s="30">
        <f>'TE BE'!$L$13*'TE BF'!$L$49</f>
        <v>0</v>
      </c>
      <c r="M13" s="30">
        <f>'TE BE'!$M$13*'TE BF'!$M$49</f>
        <v>0</v>
      </c>
      <c r="N13" s="30">
        <f>'TE BE'!$N$13*'TE BF'!$N$49</f>
        <v>0</v>
      </c>
      <c r="O13" s="30">
        <f>'TE BE'!$O$13*'TE BF'!$O$49</f>
        <v>0</v>
      </c>
      <c r="P13" s="30">
        <f>SUM($L$13:$O$13)</f>
        <v>0</v>
      </c>
      <c r="Q13" s="30">
        <f>'TE BE'!$Q$13*'TE BF'!$Q$49</f>
        <v>0</v>
      </c>
      <c r="R13" s="30">
        <f>SUM($Q$13:$Q$13)</f>
        <v>0</v>
      </c>
      <c r="S13" s="30">
        <f>'TE BE'!$S$13*'TE BF'!$S$49</f>
        <v>0</v>
      </c>
      <c r="T13" s="30">
        <f>'TE BE'!$T$13*'TE BF'!$T$49</f>
        <v>0</v>
      </c>
      <c r="U13" s="30">
        <f>'TE BE'!$U$13*'TE BF'!$U$49</f>
        <v>0</v>
      </c>
      <c r="V13" s="30">
        <f>SUM($S$13:$U$13)</f>
        <v>0</v>
      </c>
      <c r="W13" s="30">
        <f>'TE BE'!$AA$13*'TE BF'!$W$49</f>
        <v>0</v>
      </c>
      <c r="X13" s="30">
        <f>SUM($W$13:$W$13)</f>
        <v>0</v>
      </c>
      <c r="Y13" s="30">
        <f>'TE BE'!$Y$13*'TE BF'!$Y$49</f>
        <v>0</v>
      </c>
      <c r="Z13" s="30">
        <f>SUM($Y$13:$Y$13)</f>
        <v>0</v>
      </c>
      <c r="AA13" s="30">
        <f>SUMIF($L$4:$Z$4,"SUBTOTAL",$L$13:$Z$13)</f>
        <v>0</v>
      </c>
    </row>
    <row r="14" spans="1:27" ht="11.25" customHeight="1" x14ac:dyDescent="0.3">
      <c r="A14" s="131"/>
      <c r="B14" s="131"/>
      <c r="C14" s="131"/>
      <c r="D14" s="38" t="s">
        <v>31</v>
      </c>
      <c r="E14" s="38" t="s">
        <v>25</v>
      </c>
      <c r="F14" s="38" t="s">
        <v>25</v>
      </c>
      <c r="G14" s="32" t="s">
        <v>76</v>
      </c>
      <c r="H14" s="32" t="s">
        <v>72</v>
      </c>
      <c r="I14" s="32">
        <f>'MERCADO TE'!$U$11</f>
        <v>54.47</v>
      </c>
      <c r="J14" s="17"/>
      <c r="L14" s="30">
        <f>'TE BE'!$L$14*'TE BF'!$L$49</f>
        <v>0</v>
      </c>
      <c r="M14" s="30">
        <f>'TE BE'!$M$14*'TE BF'!$M$49</f>
        <v>0</v>
      </c>
      <c r="N14" s="30">
        <f>'TE BE'!$N$14*'TE BF'!$N$49</f>
        <v>0</v>
      </c>
      <c r="O14" s="30">
        <f>'TE BE'!$O$14*'TE BF'!$O$49</f>
        <v>0</v>
      </c>
      <c r="P14" s="30">
        <f>SUM($L$14:$O$14)</f>
        <v>0</v>
      </c>
      <c r="Q14" s="30">
        <f>'TE BE'!$Q$14*'TE BF'!$Q$49</f>
        <v>0</v>
      </c>
      <c r="R14" s="30">
        <f>SUM($Q$14:$Q$14)</f>
        <v>0</v>
      </c>
      <c r="S14" s="30">
        <f>'TE BE'!$S$14*'TE BF'!$S$49</f>
        <v>0</v>
      </c>
      <c r="T14" s="30">
        <f>'TE BE'!$T$14*'TE BF'!$T$49</f>
        <v>0</v>
      </c>
      <c r="U14" s="30">
        <f>'TE BE'!$U$14*'TE BF'!$U$49</f>
        <v>0</v>
      </c>
      <c r="V14" s="30">
        <f>SUM($S$14:$U$14)</f>
        <v>0</v>
      </c>
      <c r="W14" s="30">
        <f>'TE BE'!$AA$14*'TE BF'!$W$49</f>
        <v>0</v>
      </c>
      <c r="X14" s="30">
        <f>SUM($W$14:$W$14)</f>
        <v>0</v>
      </c>
      <c r="Y14" s="30">
        <f>'TE BE'!$Y$14*'TE BF'!$Y$49</f>
        <v>0</v>
      </c>
      <c r="Z14" s="30">
        <f>SUM($Y$14:$Y$14)</f>
        <v>0</v>
      </c>
      <c r="AA14" s="30">
        <f>SUMIF($L$4:$Z$4,"SUBTOTAL",$L$14:$Z$14)</f>
        <v>0</v>
      </c>
    </row>
    <row r="15" spans="1:27" ht="11.25" customHeight="1" x14ac:dyDescent="0.3">
      <c r="A15" s="131"/>
      <c r="B15" s="131"/>
      <c r="C15" s="131"/>
      <c r="D15" s="38" t="s">
        <v>32</v>
      </c>
      <c r="E15" s="38" t="s">
        <v>25</v>
      </c>
      <c r="F15" s="38" t="s">
        <v>25</v>
      </c>
      <c r="G15" s="32" t="s">
        <v>76</v>
      </c>
      <c r="H15" s="32" t="s">
        <v>72</v>
      </c>
      <c r="I15" s="32">
        <f>'MERCADO TE'!$U$12</f>
        <v>9.1170000000000009</v>
      </c>
      <c r="J15" s="17"/>
      <c r="L15" s="30">
        <f>'TE BE'!$L$15*'TE BF'!$L$49</f>
        <v>0</v>
      </c>
      <c r="M15" s="30">
        <f>'TE BE'!$M$15*'TE BF'!$M$49</f>
        <v>0</v>
      </c>
      <c r="N15" s="30">
        <f>'TE BE'!$N$15*'TE BF'!$N$49</f>
        <v>0</v>
      </c>
      <c r="O15" s="30">
        <f>'TE BE'!$O$15*'TE BF'!$O$49</f>
        <v>0</v>
      </c>
      <c r="P15" s="30">
        <f>SUM($L$15:$O$15)</f>
        <v>0</v>
      </c>
      <c r="Q15" s="30">
        <f>'TE BE'!$Q$15*'TE BF'!$Q$49</f>
        <v>0</v>
      </c>
      <c r="R15" s="30">
        <f>SUM($Q$15:$Q$15)</f>
        <v>0</v>
      </c>
      <c r="S15" s="30">
        <f>'TE BE'!$S$15*'TE BF'!$S$49</f>
        <v>0</v>
      </c>
      <c r="T15" s="30">
        <f>'TE BE'!$T$15*'TE BF'!$T$49</f>
        <v>0</v>
      </c>
      <c r="U15" s="30">
        <f>'TE BE'!$U$15*'TE BF'!$U$49</f>
        <v>0</v>
      </c>
      <c r="V15" s="30">
        <f>SUM($S$15:$U$15)</f>
        <v>0</v>
      </c>
      <c r="W15" s="30">
        <f>'TE BE'!$AA$15*'TE BF'!$W$49</f>
        <v>0</v>
      </c>
      <c r="X15" s="30">
        <f>SUM($W$15:$W$15)</f>
        <v>0</v>
      </c>
      <c r="Y15" s="30">
        <f>'TE BE'!$Y$15*'TE BF'!$Y$49</f>
        <v>0</v>
      </c>
      <c r="Z15" s="30">
        <f>SUM($Y$15:$Y$15)</f>
        <v>0</v>
      </c>
      <c r="AA15" s="30">
        <f>SUMIF($L$4:$Z$4,"SUBTOTAL",$L$15:$Z$15)</f>
        <v>0</v>
      </c>
    </row>
    <row r="16" spans="1:27" ht="11.25" customHeight="1" x14ac:dyDescent="0.3">
      <c r="A16" s="131"/>
      <c r="B16" s="131" t="s">
        <v>86</v>
      </c>
      <c r="C16" s="131" t="s">
        <v>24</v>
      </c>
      <c r="D16" s="38" t="s">
        <v>24</v>
      </c>
      <c r="E16" s="38" t="s">
        <v>25</v>
      </c>
      <c r="F16" s="38" t="s">
        <v>25</v>
      </c>
      <c r="G16" s="32" t="s">
        <v>76</v>
      </c>
      <c r="H16" s="32" t="s">
        <v>72</v>
      </c>
      <c r="I16" s="32">
        <f>'MERCADO TE'!$U$13</f>
        <v>0</v>
      </c>
      <c r="J16" s="17"/>
      <c r="L16" s="30">
        <f>'TE BE'!$L$16*'TE BF'!$L$49</f>
        <v>0</v>
      </c>
      <c r="M16" s="30">
        <f>'TE BE'!$M$16*'TE BF'!$M$49</f>
        <v>0</v>
      </c>
      <c r="N16" s="30">
        <f>'TE BE'!$N$16*'TE BF'!$N$49</f>
        <v>0</v>
      </c>
      <c r="O16" s="30">
        <f>'TE BE'!$O$16*'TE BF'!$O$49</f>
        <v>0</v>
      </c>
      <c r="P16" s="30">
        <f>SUM($L$16:$O$16)</f>
        <v>0</v>
      </c>
      <c r="Q16" s="30">
        <f>'TE BE'!$Q$16*'TE BF'!$Q$49</f>
        <v>0</v>
      </c>
      <c r="R16" s="30">
        <f>SUM($Q$16:$Q$16)</f>
        <v>0</v>
      </c>
      <c r="S16" s="30">
        <f>'TE BE'!$S$16*'TE BF'!$S$49</f>
        <v>0</v>
      </c>
      <c r="T16" s="30">
        <f>'TE BE'!$T$16*'TE BF'!$T$49</f>
        <v>0</v>
      </c>
      <c r="U16" s="30">
        <f>'TE BE'!$U$16*'TE BF'!$U$49</f>
        <v>0</v>
      </c>
      <c r="V16" s="30">
        <f>SUM($S$16:$U$16)</f>
        <v>0</v>
      </c>
      <c r="W16" s="30">
        <f>'TE BE'!$AA$16*'TE BF'!$W$49</f>
        <v>0</v>
      </c>
      <c r="X16" s="30">
        <f>SUM($W$16:$W$16)</f>
        <v>0</v>
      </c>
      <c r="Y16" s="30">
        <f>'TE BE'!$Y$16*'TE BF'!$Y$49</f>
        <v>0</v>
      </c>
      <c r="Z16" s="30">
        <f>SUM($Y$16:$Y$16)</f>
        <v>0</v>
      </c>
      <c r="AA16" s="30">
        <f>SUMIF($L$4:$Z$4,"SUBTOTAL",$L$16:$Z$16)</f>
        <v>0</v>
      </c>
    </row>
    <row r="17" spans="1:27" ht="11.25" customHeight="1" x14ac:dyDescent="0.3">
      <c r="A17" s="131"/>
      <c r="B17" s="131"/>
      <c r="C17" s="131"/>
      <c r="D17" s="38" t="s">
        <v>29</v>
      </c>
      <c r="E17" s="38" t="s">
        <v>25</v>
      </c>
      <c r="F17" s="38" t="s">
        <v>25</v>
      </c>
      <c r="G17" s="32" t="s">
        <v>76</v>
      </c>
      <c r="H17" s="32" t="s">
        <v>72</v>
      </c>
      <c r="I17" s="32">
        <f>'MERCADO TE'!$U$14</f>
        <v>0</v>
      </c>
      <c r="J17" s="17"/>
      <c r="L17" s="30">
        <f>'TE BE'!$L$17*'TE BF'!$L$49</f>
        <v>0</v>
      </c>
      <c r="M17" s="30">
        <f>'TE BE'!$M$17*'TE BF'!$M$49</f>
        <v>0</v>
      </c>
      <c r="N17" s="30">
        <f>'TE BE'!$N$17*'TE BF'!$N$49</f>
        <v>0</v>
      </c>
      <c r="O17" s="30">
        <f>'TE BE'!$O$17*'TE BF'!$O$49</f>
        <v>0</v>
      </c>
      <c r="P17" s="30">
        <f>SUM($L$17:$O$17)</f>
        <v>0</v>
      </c>
      <c r="Q17" s="30">
        <f>'TE BE'!$Q$17*'TE BF'!$Q$49</f>
        <v>0</v>
      </c>
      <c r="R17" s="30">
        <f>SUM($Q$17:$Q$17)</f>
        <v>0</v>
      </c>
      <c r="S17" s="30">
        <f>'TE BE'!$S$17*'TE BF'!$S$49</f>
        <v>0</v>
      </c>
      <c r="T17" s="30">
        <f>'TE BE'!$T$17*'TE BF'!$T$49</f>
        <v>0</v>
      </c>
      <c r="U17" s="30">
        <f>'TE BE'!$U$17*'TE BF'!$U$49</f>
        <v>0</v>
      </c>
      <c r="V17" s="30">
        <f>SUM($S$17:$U$17)</f>
        <v>0</v>
      </c>
      <c r="W17" s="30">
        <f>'TE BE'!$AA$17*'TE BF'!$W$49</f>
        <v>0</v>
      </c>
      <c r="X17" s="30">
        <f>SUM($W$17:$W$17)</f>
        <v>0</v>
      </c>
      <c r="Y17" s="30">
        <f>'TE BE'!$Y$17*'TE BF'!$Y$49</f>
        <v>0</v>
      </c>
      <c r="Z17" s="30">
        <f>SUM($Y$17:$Y$17)</f>
        <v>0</v>
      </c>
      <c r="AA17" s="30">
        <f>SUMIF($L$4:$Z$4,"SUBTOTAL",$L$17:$Z$17)</f>
        <v>0</v>
      </c>
    </row>
    <row r="18" spans="1:27" ht="11.25" customHeight="1" x14ac:dyDescent="0.3">
      <c r="A18" s="131"/>
      <c r="B18" s="131"/>
      <c r="C18" s="131"/>
      <c r="D18" s="38" t="s">
        <v>30</v>
      </c>
      <c r="E18" s="38" t="s">
        <v>25</v>
      </c>
      <c r="F18" s="38" t="s">
        <v>25</v>
      </c>
      <c r="G18" s="32" t="s">
        <v>76</v>
      </c>
      <c r="H18" s="32" t="s">
        <v>72</v>
      </c>
      <c r="I18" s="32">
        <f>'MERCADO TE'!$U$15</f>
        <v>0</v>
      </c>
      <c r="J18" s="17"/>
      <c r="L18" s="30">
        <f>'TE BE'!$L$18*'TE BF'!$L$49</f>
        <v>0</v>
      </c>
      <c r="M18" s="30">
        <f>'TE BE'!$M$18*'TE BF'!$M$49</f>
        <v>0</v>
      </c>
      <c r="N18" s="30">
        <f>'TE BE'!$N$18*'TE BF'!$N$49</f>
        <v>0</v>
      </c>
      <c r="O18" s="30">
        <f>'TE BE'!$O$18*'TE BF'!$O$49</f>
        <v>0</v>
      </c>
      <c r="P18" s="30">
        <f>SUM($L$18:$O$18)</f>
        <v>0</v>
      </c>
      <c r="Q18" s="30">
        <f>'TE BE'!$Q$18*'TE BF'!$Q$49</f>
        <v>0</v>
      </c>
      <c r="R18" s="30">
        <f>SUM($Q$18:$Q$18)</f>
        <v>0</v>
      </c>
      <c r="S18" s="30">
        <f>'TE BE'!$S$18*'TE BF'!$S$49</f>
        <v>0</v>
      </c>
      <c r="T18" s="30">
        <f>'TE BE'!$T$18*'TE BF'!$T$49</f>
        <v>0</v>
      </c>
      <c r="U18" s="30">
        <f>'TE BE'!$U$18*'TE BF'!$U$49</f>
        <v>0</v>
      </c>
      <c r="V18" s="30">
        <f>SUM($S$18:$U$18)</f>
        <v>0</v>
      </c>
      <c r="W18" s="30">
        <f>'TE BE'!$AA$18*'TE BF'!$W$49</f>
        <v>0</v>
      </c>
      <c r="X18" s="30">
        <f>SUM($W$18:$W$18)</f>
        <v>0</v>
      </c>
      <c r="Y18" s="30">
        <f>'TE BE'!$Y$18*'TE BF'!$Y$49</f>
        <v>0</v>
      </c>
      <c r="Z18" s="30">
        <f>SUM($Y$18:$Y$18)</f>
        <v>0</v>
      </c>
      <c r="AA18" s="30">
        <f>SUMIF($L$4:$Z$4,"SUBTOTAL",$L$18:$Z$18)</f>
        <v>0</v>
      </c>
    </row>
    <row r="19" spans="1:27" ht="11.25" customHeight="1" x14ac:dyDescent="0.3">
      <c r="A19" s="131"/>
      <c r="B19" s="131"/>
      <c r="C19" s="131"/>
      <c r="D19" s="38" t="s">
        <v>31</v>
      </c>
      <c r="E19" s="38" t="s">
        <v>25</v>
      </c>
      <c r="F19" s="38" t="s">
        <v>25</v>
      </c>
      <c r="G19" s="32" t="s">
        <v>76</v>
      </c>
      <c r="H19" s="32" t="s">
        <v>72</v>
      </c>
      <c r="I19" s="32">
        <f>'MERCADO TE'!$U$16</f>
        <v>0</v>
      </c>
      <c r="J19" s="17"/>
      <c r="L19" s="30">
        <f>'TE BE'!$L$19*'TE BF'!$L$49</f>
        <v>0</v>
      </c>
      <c r="M19" s="30">
        <f>'TE BE'!$M$19*'TE BF'!$M$49</f>
        <v>0</v>
      </c>
      <c r="N19" s="30">
        <f>'TE BE'!$N$19*'TE BF'!$N$49</f>
        <v>0</v>
      </c>
      <c r="O19" s="30">
        <f>'TE BE'!$O$19*'TE BF'!$O$49</f>
        <v>0</v>
      </c>
      <c r="P19" s="30">
        <f>SUM($L$19:$O$19)</f>
        <v>0</v>
      </c>
      <c r="Q19" s="30">
        <f>'TE BE'!$Q$19*'TE BF'!$Q$49</f>
        <v>0</v>
      </c>
      <c r="R19" s="30">
        <f>SUM($Q$19:$Q$19)</f>
        <v>0</v>
      </c>
      <c r="S19" s="30">
        <f>'TE BE'!$S$19*'TE BF'!$S$49</f>
        <v>0</v>
      </c>
      <c r="T19" s="30">
        <f>'TE BE'!$T$19*'TE BF'!$T$49</f>
        <v>0</v>
      </c>
      <c r="U19" s="30">
        <f>'TE BE'!$U$19*'TE BF'!$U$49</f>
        <v>0</v>
      </c>
      <c r="V19" s="30">
        <f>SUM($S$19:$U$19)</f>
        <v>0</v>
      </c>
      <c r="W19" s="30">
        <f>'TE BE'!$AA$19*'TE BF'!$W$49</f>
        <v>0</v>
      </c>
      <c r="X19" s="30">
        <f>SUM($W$19:$W$19)</f>
        <v>0</v>
      </c>
      <c r="Y19" s="30">
        <f>'TE BE'!$Y$19*'TE BF'!$Y$49</f>
        <v>0</v>
      </c>
      <c r="Z19" s="30">
        <f>SUM($Y$19:$Y$19)</f>
        <v>0</v>
      </c>
      <c r="AA19" s="30">
        <f>SUMIF($L$4:$Z$4,"SUBTOTAL",$L$19:$Z$19)</f>
        <v>0</v>
      </c>
    </row>
    <row r="20" spans="1:27" ht="11.25" customHeight="1" x14ac:dyDescent="0.3">
      <c r="A20" s="131"/>
      <c r="B20" s="131"/>
      <c r="C20" s="131"/>
      <c r="D20" s="38" t="s">
        <v>32</v>
      </c>
      <c r="E20" s="38" t="s">
        <v>25</v>
      </c>
      <c r="F20" s="38" t="s">
        <v>25</v>
      </c>
      <c r="G20" s="32" t="s">
        <v>76</v>
      </c>
      <c r="H20" s="32" t="s">
        <v>72</v>
      </c>
      <c r="I20" s="32">
        <f>'MERCADO TE'!$U$17</f>
        <v>0</v>
      </c>
      <c r="J20" s="17"/>
      <c r="L20" s="30">
        <f>'TE BE'!$L$20*'TE BF'!$L$49</f>
        <v>0</v>
      </c>
      <c r="M20" s="30">
        <f>'TE BE'!$M$20*'TE BF'!$M$49</f>
        <v>0</v>
      </c>
      <c r="N20" s="30">
        <f>'TE BE'!$N$20*'TE BF'!$N$49</f>
        <v>0</v>
      </c>
      <c r="O20" s="30">
        <f>'TE BE'!$O$20*'TE BF'!$O$49</f>
        <v>0</v>
      </c>
      <c r="P20" s="30">
        <f>SUM($L$20:$O$20)</f>
        <v>0</v>
      </c>
      <c r="Q20" s="30">
        <f>'TE BE'!$Q$20*'TE BF'!$Q$49</f>
        <v>0</v>
      </c>
      <c r="R20" s="30">
        <f>SUM($Q$20:$Q$20)</f>
        <v>0</v>
      </c>
      <c r="S20" s="30">
        <f>'TE BE'!$S$20*'TE BF'!$S$49</f>
        <v>0</v>
      </c>
      <c r="T20" s="30">
        <f>'TE BE'!$T$20*'TE BF'!$T$49</f>
        <v>0</v>
      </c>
      <c r="U20" s="30">
        <f>'TE BE'!$U$20*'TE BF'!$U$49</f>
        <v>0</v>
      </c>
      <c r="V20" s="30">
        <f>SUM($S$20:$U$20)</f>
        <v>0</v>
      </c>
      <c r="W20" s="30">
        <f>'TE BE'!$AA$20*'TE BF'!$W$49</f>
        <v>0</v>
      </c>
      <c r="X20" s="30">
        <f>SUM($W$20:$W$20)</f>
        <v>0</v>
      </c>
      <c r="Y20" s="30">
        <f>'TE BE'!$Y$20*'TE BF'!$Y$49</f>
        <v>0</v>
      </c>
      <c r="Z20" s="30">
        <f>SUM($Y$20:$Y$20)</f>
        <v>0</v>
      </c>
      <c r="AA20" s="30">
        <f>SUMIF($L$4:$Z$4,"SUBTOTAL",$L$20:$Z$20)</f>
        <v>0</v>
      </c>
    </row>
    <row r="21" spans="1:27" ht="11.25" customHeight="1" x14ac:dyDescent="0.3">
      <c r="A21" s="131" t="s">
        <v>43</v>
      </c>
      <c r="B21" s="131" t="s">
        <v>71</v>
      </c>
      <c r="C21" s="131" t="s">
        <v>44</v>
      </c>
      <c r="D21" s="131" t="s">
        <v>25</v>
      </c>
      <c r="E21" s="131" t="s">
        <v>25</v>
      </c>
      <c r="F21" s="131" t="s">
        <v>25</v>
      </c>
      <c r="G21" s="32" t="s">
        <v>73</v>
      </c>
      <c r="H21" s="32" t="s">
        <v>72</v>
      </c>
      <c r="I21" s="32">
        <f>'MERCADO TE'!$U$18</f>
        <v>0</v>
      </c>
      <c r="J21" s="17"/>
      <c r="L21" s="30">
        <f>'TE BE'!$L$21*'TE BF'!$L$49</f>
        <v>0</v>
      </c>
      <c r="M21" s="30">
        <f>'TE BE'!$M$21*'TE BF'!$M$49</f>
        <v>0</v>
      </c>
      <c r="N21" s="30">
        <f>'TE BE'!$N$21*'TE BF'!$N$49</f>
        <v>0</v>
      </c>
      <c r="O21" s="30">
        <f>'TE BE'!$O$21*'TE BF'!$O$49</f>
        <v>0</v>
      </c>
      <c r="P21" s="30">
        <f>SUM($L$21:$O$21)</f>
        <v>0</v>
      </c>
      <c r="Q21" s="30">
        <f>'TE BE'!$Q$21*'TE BF'!$Q$49</f>
        <v>0</v>
      </c>
      <c r="R21" s="30">
        <f>SUM($Q$21:$Q$21)</f>
        <v>0</v>
      </c>
      <c r="S21" s="30">
        <f>'TE BE'!$S$21*'TE BF'!$S$49</f>
        <v>0</v>
      </c>
      <c r="T21" s="30">
        <f>'TE BE'!$T$21*'TE BF'!$T$49</f>
        <v>0</v>
      </c>
      <c r="U21" s="30">
        <f>'TE BE'!$U$21*'TE BF'!$U$49</f>
        <v>0</v>
      </c>
      <c r="V21" s="30">
        <f>SUM($S$21:$U$21)</f>
        <v>0</v>
      </c>
      <c r="W21" s="30">
        <f>'TE BE'!$AA$21*'TE BF'!$W$49</f>
        <v>0</v>
      </c>
      <c r="X21" s="30">
        <f>SUM($W$21:$W$21)</f>
        <v>0</v>
      </c>
      <c r="Y21" s="30">
        <f>'TE BE'!$Y$21*'TE BF'!$Y$49</f>
        <v>0</v>
      </c>
      <c r="Z21" s="30">
        <f>SUM($Y$21:$Y$21)</f>
        <v>0</v>
      </c>
      <c r="AA21" s="30">
        <f>SUMIF($L$4:$Z$4,"SUBTOTAL",$L$21:$Z$21)</f>
        <v>0</v>
      </c>
    </row>
    <row r="22" spans="1:27" ht="11.25" customHeight="1" x14ac:dyDescent="0.3">
      <c r="A22" s="131"/>
      <c r="B22" s="131"/>
      <c r="C22" s="131"/>
      <c r="D22" s="131"/>
      <c r="E22" s="131"/>
      <c r="F22" s="131"/>
      <c r="G22" s="32" t="s">
        <v>85</v>
      </c>
      <c r="H22" s="32" t="s">
        <v>72</v>
      </c>
      <c r="I22" s="32">
        <f>'MERCADO TE'!$U$19</f>
        <v>0</v>
      </c>
      <c r="J22" s="17"/>
      <c r="L22" s="30">
        <f>'TE BE'!$L$22*'TE BF'!$L$49</f>
        <v>0</v>
      </c>
      <c r="M22" s="30">
        <f>'TE BE'!$M$22*'TE BF'!$M$49</f>
        <v>0</v>
      </c>
      <c r="N22" s="30">
        <f>'TE BE'!$N$22*'TE BF'!$N$49</f>
        <v>0</v>
      </c>
      <c r="O22" s="30">
        <f>'TE BE'!$O$22*'TE BF'!$O$49</f>
        <v>0</v>
      </c>
      <c r="P22" s="30">
        <f>SUM($L$22:$O$22)</f>
        <v>0</v>
      </c>
      <c r="Q22" s="30">
        <f>'TE BE'!$Q$22*'TE BF'!$Q$49</f>
        <v>0</v>
      </c>
      <c r="R22" s="30">
        <f>SUM($Q$22:$Q$22)</f>
        <v>0</v>
      </c>
      <c r="S22" s="30">
        <f>'TE BE'!$S$22*'TE BF'!$S$49</f>
        <v>0</v>
      </c>
      <c r="T22" s="30">
        <f>'TE BE'!$T$22*'TE BF'!$T$49</f>
        <v>0</v>
      </c>
      <c r="U22" s="30">
        <f>'TE BE'!$U$22*'TE BF'!$U$49</f>
        <v>0</v>
      </c>
      <c r="V22" s="30">
        <f>SUM($S$22:$U$22)</f>
        <v>0</v>
      </c>
      <c r="W22" s="30">
        <f>'TE BE'!$AA$22*'TE BF'!$W$49</f>
        <v>0</v>
      </c>
      <c r="X22" s="30">
        <f>SUM($W$22:$W$22)</f>
        <v>0</v>
      </c>
      <c r="Y22" s="30">
        <f>'TE BE'!$Y$22*'TE BF'!$Y$49</f>
        <v>0</v>
      </c>
      <c r="Z22" s="30">
        <f>SUM($Y$22:$Y$22)</f>
        <v>0</v>
      </c>
      <c r="AA22" s="30">
        <f>SUMIF($L$4:$Z$4,"SUBTOTAL",$L$22:$Z$22)</f>
        <v>0</v>
      </c>
    </row>
    <row r="23" spans="1:27" ht="11.25" customHeight="1" x14ac:dyDescent="0.3">
      <c r="A23" s="131"/>
      <c r="B23" s="131"/>
      <c r="C23" s="131"/>
      <c r="D23" s="131"/>
      <c r="E23" s="131"/>
      <c r="F23" s="131"/>
      <c r="G23" s="32" t="s">
        <v>74</v>
      </c>
      <c r="H23" s="32" t="s">
        <v>72</v>
      </c>
      <c r="I23" s="32">
        <f>'MERCADO TE'!$U$20</f>
        <v>0</v>
      </c>
      <c r="J23" s="17"/>
      <c r="L23" s="30">
        <f>'TE BE'!$L$23*'TE BF'!$L$49</f>
        <v>0</v>
      </c>
      <c r="M23" s="30">
        <f>'TE BE'!$M$23*'TE BF'!$M$49</f>
        <v>0</v>
      </c>
      <c r="N23" s="30">
        <f>'TE BE'!$N$23*'TE BF'!$N$49</f>
        <v>0</v>
      </c>
      <c r="O23" s="30">
        <f>'TE BE'!$O$23*'TE BF'!$O$49</f>
        <v>0</v>
      </c>
      <c r="P23" s="30">
        <f>SUM($L$23:$O$23)</f>
        <v>0</v>
      </c>
      <c r="Q23" s="30">
        <f>'TE BE'!$Q$23*'TE BF'!$Q$49</f>
        <v>0</v>
      </c>
      <c r="R23" s="30">
        <f>SUM($Q$23:$Q$23)</f>
        <v>0</v>
      </c>
      <c r="S23" s="30">
        <f>'TE BE'!$S$23*'TE BF'!$S$49</f>
        <v>0</v>
      </c>
      <c r="T23" s="30">
        <f>'TE BE'!$T$23*'TE BF'!$T$49</f>
        <v>0</v>
      </c>
      <c r="U23" s="30">
        <f>'TE BE'!$U$23*'TE BF'!$U$49</f>
        <v>0</v>
      </c>
      <c r="V23" s="30">
        <f>SUM($S$23:$U$23)</f>
        <v>0</v>
      </c>
      <c r="W23" s="30">
        <f>'TE BE'!$AA$23*'TE BF'!$W$49</f>
        <v>0</v>
      </c>
      <c r="X23" s="30">
        <f>SUM($W$23:$W$23)</f>
        <v>0</v>
      </c>
      <c r="Y23" s="30">
        <f>'TE BE'!$Y$23*'TE BF'!$Y$49</f>
        <v>0</v>
      </c>
      <c r="Z23" s="30">
        <f>SUM($Y$23:$Y$23)</f>
        <v>0</v>
      </c>
      <c r="AA23" s="30">
        <f>SUMIF($L$4:$Z$4,"SUBTOTAL",$L$23:$Z$23)</f>
        <v>0</v>
      </c>
    </row>
    <row r="24" spans="1:27" ht="11.25" customHeight="1" x14ac:dyDescent="0.3">
      <c r="A24" s="131"/>
      <c r="B24" s="38" t="s">
        <v>75</v>
      </c>
      <c r="C24" s="38" t="s">
        <v>44</v>
      </c>
      <c r="D24" s="38" t="s">
        <v>25</v>
      </c>
      <c r="E24" s="38" t="s">
        <v>25</v>
      </c>
      <c r="F24" s="38" t="s">
        <v>25</v>
      </c>
      <c r="G24" s="32" t="s">
        <v>76</v>
      </c>
      <c r="H24" s="32" t="s">
        <v>72</v>
      </c>
      <c r="I24" s="32">
        <f>'MERCADO TE'!$U$21</f>
        <v>600.24900000000002</v>
      </c>
      <c r="J24" s="17"/>
      <c r="L24" s="30">
        <f>'TE BE'!$L$24*'TE BF'!$L$49</f>
        <v>0</v>
      </c>
      <c r="M24" s="30">
        <f>'TE BE'!$M$24*'TE BF'!$M$49</f>
        <v>0</v>
      </c>
      <c r="N24" s="30">
        <f>'TE BE'!$N$24*'TE BF'!$N$49</f>
        <v>0</v>
      </c>
      <c r="O24" s="30">
        <f>'TE BE'!$O$24*'TE BF'!$O$49</f>
        <v>0</v>
      </c>
      <c r="P24" s="30">
        <f>SUM($L$24:$O$24)</f>
        <v>0</v>
      </c>
      <c r="Q24" s="30">
        <f>'TE BE'!$Q$24*'TE BF'!$Q$49</f>
        <v>0</v>
      </c>
      <c r="R24" s="30">
        <f>SUM($Q$24:$Q$24)</f>
        <v>0</v>
      </c>
      <c r="S24" s="30">
        <f>'TE BE'!$S$24*'TE BF'!$S$49</f>
        <v>0</v>
      </c>
      <c r="T24" s="30">
        <f>'TE BE'!$T$24*'TE BF'!$T$49</f>
        <v>0</v>
      </c>
      <c r="U24" s="30">
        <f>'TE BE'!$U$24*'TE BF'!$U$49</f>
        <v>0</v>
      </c>
      <c r="V24" s="30">
        <f>SUM($S$24:$U$24)</f>
        <v>0</v>
      </c>
      <c r="W24" s="30">
        <f>'TE BE'!$AA$24*'TE BF'!$W$49</f>
        <v>0</v>
      </c>
      <c r="X24" s="30">
        <f>SUM($W$24:$W$24)</f>
        <v>0</v>
      </c>
      <c r="Y24" s="30">
        <f>'TE BE'!$Y$24*'TE BF'!$Y$49</f>
        <v>0</v>
      </c>
      <c r="Z24" s="30">
        <f>SUM($Y$24:$Y$24)</f>
        <v>0</v>
      </c>
      <c r="AA24" s="30">
        <f>SUMIF($L$4:$Z$4,"SUBTOTAL",$L$24:$Z$24)</f>
        <v>0</v>
      </c>
    </row>
    <row r="25" spans="1:27" ht="11.25" customHeight="1" x14ac:dyDescent="0.3">
      <c r="A25" s="131"/>
      <c r="B25" s="131" t="s">
        <v>71</v>
      </c>
      <c r="C25" s="131" t="s">
        <v>44</v>
      </c>
      <c r="D25" s="131" t="s">
        <v>88</v>
      </c>
      <c r="E25" s="131" t="s">
        <v>25</v>
      </c>
      <c r="F25" s="131" t="s">
        <v>25</v>
      </c>
      <c r="G25" s="32" t="s">
        <v>73</v>
      </c>
      <c r="H25" s="32" t="s">
        <v>72</v>
      </c>
      <c r="I25" s="32">
        <f>'MERCADO TE'!$U$22</f>
        <v>0</v>
      </c>
      <c r="J25" s="17"/>
      <c r="L25" s="30">
        <f>'TE BE'!$L$25*'TE BF'!$L$49</f>
        <v>0</v>
      </c>
      <c r="M25" s="30">
        <f>'TE BE'!$M$25*'TE BF'!$M$49</f>
        <v>0</v>
      </c>
      <c r="N25" s="30">
        <f>'TE BE'!$N$25*'TE BF'!$N$49</f>
        <v>0</v>
      </c>
      <c r="O25" s="30">
        <f>'TE BE'!$O$25*'TE BF'!$O$49</f>
        <v>0</v>
      </c>
      <c r="P25" s="30">
        <f>SUM($L$25:$O$25)</f>
        <v>0</v>
      </c>
      <c r="Q25" s="30">
        <f>'TE BE'!$Q$25*'TE BF'!$Q$49</f>
        <v>0</v>
      </c>
      <c r="R25" s="30">
        <f>SUM($Q$25:$Q$25)</f>
        <v>0</v>
      </c>
      <c r="S25" s="30">
        <f>'TE BE'!$S$25*'TE BF'!$S$49</f>
        <v>0</v>
      </c>
      <c r="T25" s="30">
        <f>'TE BE'!$T$25*'TE BF'!$T$49</f>
        <v>0</v>
      </c>
      <c r="U25" s="30">
        <f>'TE BE'!$U$25*'TE BF'!$U$49</f>
        <v>0</v>
      </c>
      <c r="V25" s="30">
        <f>SUM($S$25:$U$25)</f>
        <v>0</v>
      </c>
      <c r="W25" s="30">
        <f>'TE BE'!$AA$25*'TE BF'!$W$49</f>
        <v>0</v>
      </c>
      <c r="X25" s="30">
        <f>SUM($W$25:$W$25)</f>
        <v>0</v>
      </c>
      <c r="Y25" s="30">
        <f>'TE BE'!$Y$25*'TE BF'!$Y$49</f>
        <v>0</v>
      </c>
      <c r="Z25" s="30">
        <f>SUM($Y$25:$Y$25)</f>
        <v>0</v>
      </c>
      <c r="AA25" s="30">
        <f>SUMIF($L$4:$Z$4,"SUBTOTAL",$L$25:$Z$25)</f>
        <v>0</v>
      </c>
    </row>
    <row r="26" spans="1:27" ht="11.25" customHeight="1" x14ac:dyDescent="0.3">
      <c r="A26" s="131"/>
      <c r="B26" s="131"/>
      <c r="C26" s="131"/>
      <c r="D26" s="131"/>
      <c r="E26" s="131"/>
      <c r="F26" s="131"/>
      <c r="G26" s="32" t="s">
        <v>85</v>
      </c>
      <c r="H26" s="32" t="s">
        <v>72</v>
      </c>
      <c r="I26" s="32">
        <f>'MERCADO TE'!$U$23</f>
        <v>0</v>
      </c>
      <c r="J26" s="17"/>
      <c r="L26" s="30">
        <f>'TE BE'!$L$26*'TE BF'!$L$49</f>
        <v>0</v>
      </c>
      <c r="M26" s="30">
        <f>'TE BE'!$M$26*'TE BF'!$M$49</f>
        <v>0</v>
      </c>
      <c r="N26" s="30">
        <f>'TE BE'!$N$26*'TE BF'!$N$49</f>
        <v>0</v>
      </c>
      <c r="O26" s="30">
        <f>'TE BE'!$O$26*'TE BF'!$O$49</f>
        <v>0</v>
      </c>
      <c r="P26" s="30">
        <f>SUM($L$26:$O$26)</f>
        <v>0</v>
      </c>
      <c r="Q26" s="30">
        <f>'TE BE'!$Q$26*'TE BF'!$Q$49</f>
        <v>0</v>
      </c>
      <c r="R26" s="30">
        <f>SUM($Q$26:$Q$26)</f>
        <v>0</v>
      </c>
      <c r="S26" s="30">
        <f>'TE BE'!$S$26*'TE BF'!$S$49</f>
        <v>0</v>
      </c>
      <c r="T26" s="30">
        <f>'TE BE'!$T$26*'TE BF'!$T$49</f>
        <v>0</v>
      </c>
      <c r="U26" s="30">
        <f>'TE BE'!$U$26*'TE BF'!$U$49</f>
        <v>0</v>
      </c>
      <c r="V26" s="30">
        <f>SUM($S$26:$U$26)</f>
        <v>0</v>
      </c>
      <c r="W26" s="30">
        <f>'TE BE'!$AA$26*'TE BF'!$W$49</f>
        <v>0</v>
      </c>
      <c r="X26" s="30">
        <f>SUM($W$26:$W$26)</f>
        <v>0</v>
      </c>
      <c r="Y26" s="30">
        <f>'TE BE'!$Y$26*'TE BF'!$Y$49</f>
        <v>0</v>
      </c>
      <c r="Z26" s="30">
        <f>SUM($Y$26:$Y$26)</f>
        <v>0</v>
      </c>
      <c r="AA26" s="30">
        <f>SUMIF($L$4:$Z$4,"SUBTOTAL",$L$26:$Z$26)</f>
        <v>0</v>
      </c>
    </row>
    <row r="27" spans="1:27" ht="11.25" customHeight="1" x14ac:dyDescent="0.3">
      <c r="A27" s="131"/>
      <c r="B27" s="131"/>
      <c r="C27" s="131"/>
      <c r="D27" s="131"/>
      <c r="E27" s="131"/>
      <c r="F27" s="131"/>
      <c r="G27" s="32" t="s">
        <v>74</v>
      </c>
      <c r="H27" s="32" t="s">
        <v>72</v>
      </c>
      <c r="I27" s="32">
        <f>'MERCADO TE'!$U$24</f>
        <v>0</v>
      </c>
      <c r="J27" s="17"/>
      <c r="L27" s="30">
        <f>'TE BE'!$L$27*'TE BF'!$L$49</f>
        <v>0</v>
      </c>
      <c r="M27" s="30">
        <f>'TE BE'!$M$27*'TE BF'!$M$49</f>
        <v>0</v>
      </c>
      <c r="N27" s="30">
        <f>'TE BE'!$N$27*'TE BF'!$N$49</f>
        <v>0</v>
      </c>
      <c r="O27" s="30">
        <f>'TE BE'!$O$27*'TE BF'!$O$49</f>
        <v>0</v>
      </c>
      <c r="P27" s="30">
        <f>SUM($L$27:$O$27)</f>
        <v>0</v>
      </c>
      <c r="Q27" s="30">
        <f>'TE BE'!$Q$27*'TE BF'!$Q$49</f>
        <v>0</v>
      </c>
      <c r="R27" s="30">
        <f>SUM($Q$27:$Q$27)</f>
        <v>0</v>
      </c>
      <c r="S27" s="30">
        <f>'TE BE'!$S$27*'TE BF'!$S$49</f>
        <v>0</v>
      </c>
      <c r="T27" s="30">
        <f>'TE BE'!$T$27*'TE BF'!$T$49</f>
        <v>0</v>
      </c>
      <c r="U27" s="30">
        <f>'TE BE'!$U$27*'TE BF'!$U$49</f>
        <v>0</v>
      </c>
      <c r="V27" s="30">
        <f>SUM($S$27:$U$27)</f>
        <v>0</v>
      </c>
      <c r="W27" s="30">
        <f>'TE BE'!$AA$27*'TE BF'!$W$49</f>
        <v>0</v>
      </c>
      <c r="X27" s="30">
        <f>SUM($W$27:$W$27)</f>
        <v>0</v>
      </c>
      <c r="Y27" s="30">
        <f>'TE BE'!$Y$27*'TE BF'!$Y$49</f>
        <v>0</v>
      </c>
      <c r="Z27" s="30">
        <f>SUM($Y$27:$Y$27)</f>
        <v>0</v>
      </c>
      <c r="AA27" s="30">
        <f>SUMIF($L$4:$Z$4,"SUBTOTAL",$L$27:$Z$27)</f>
        <v>0</v>
      </c>
    </row>
    <row r="28" spans="1:27" ht="11.25" customHeight="1" x14ac:dyDescent="0.3">
      <c r="A28" s="131"/>
      <c r="B28" s="38" t="s">
        <v>75</v>
      </c>
      <c r="C28" s="38" t="s">
        <v>44</v>
      </c>
      <c r="D28" s="38" t="s">
        <v>88</v>
      </c>
      <c r="E28" s="38" t="s">
        <v>25</v>
      </c>
      <c r="F28" s="38" t="s">
        <v>25</v>
      </c>
      <c r="G28" s="32" t="s">
        <v>76</v>
      </c>
      <c r="H28" s="32" t="s">
        <v>72</v>
      </c>
      <c r="I28" s="32">
        <f>'MERCADO TE'!$U$25</f>
        <v>0</v>
      </c>
      <c r="J28" s="17"/>
      <c r="L28" s="30">
        <f>'TE BE'!$L$28*'TE BF'!$L$49</f>
        <v>0</v>
      </c>
      <c r="M28" s="30">
        <f>'TE BE'!$M$28*'TE BF'!$M$49</f>
        <v>0</v>
      </c>
      <c r="N28" s="30">
        <f>'TE BE'!$N$28*'TE BF'!$N$49</f>
        <v>0</v>
      </c>
      <c r="O28" s="30">
        <f>'TE BE'!$O$28*'TE BF'!$O$49</f>
        <v>0</v>
      </c>
      <c r="P28" s="30">
        <f>SUM($L$28:$O$28)</f>
        <v>0</v>
      </c>
      <c r="Q28" s="30">
        <f>'TE BE'!$Q$28*'TE BF'!$Q$49</f>
        <v>0</v>
      </c>
      <c r="R28" s="30">
        <f>SUM($Q$28:$Q$28)</f>
        <v>0</v>
      </c>
      <c r="S28" s="30">
        <f>'TE BE'!$S$28*'TE BF'!$S$49</f>
        <v>0</v>
      </c>
      <c r="T28" s="30">
        <f>'TE BE'!$T$28*'TE BF'!$T$49</f>
        <v>0</v>
      </c>
      <c r="U28" s="30">
        <f>'TE BE'!$U$28*'TE BF'!$U$49</f>
        <v>0</v>
      </c>
      <c r="V28" s="30">
        <f>SUM($S$28:$U$28)</f>
        <v>0</v>
      </c>
      <c r="W28" s="30">
        <f>'TE BE'!$AA$28*'TE BF'!$W$49</f>
        <v>0</v>
      </c>
      <c r="X28" s="30">
        <f>SUM($W$28:$W$28)</f>
        <v>0</v>
      </c>
      <c r="Y28" s="30">
        <f>'TE BE'!$Y$28*'TE BF'!$Y$49</f>
        <v>0</v>
      </c>
      <c r="Z28" s="30">
        <f>SUM($Y$28:$Y$28)</f>
        <v>0</v>
      </c>
      <c r="AA28" s="30">
        <f>SUMIF($L$4:$Z$4,"SUBTOTAL",$L$28:$Z$28)</f>
        <v>0</v>
      </c>
    </row>
    <row r="29" spans="1:27" ht="11.25" customHeight="1" x14ac:dyDescent="0.3">
      <c r="A29" s="131"/>
      <c r="B29" s="131" t="s">
        <v>71</v>
      </c>
      <c r="C29" s="131" t="s">
        <v>44</v>
      </c>
      <c r="D29" s="131" t="s">
        <v>89</v>
      </c>
      <c r="E29" s="131" t="s">
        <v>25</v>
      </c>
      <c r="F29" s="131" t="s">
        <v>25</v>
      </c>
      <c r="G29" s="32" t="s">
        <v>73</v>
      </c>
      <c r="H29" s="32" t="s">
        <v>72</v>
      </c>
      <c r="I29" s="32">
        <f>'MERCADO TE'!$U$26</f>
        <v>0</v>
      </c>
      <c r="J29" s="17"/>
      <c r="L29" s="30">
        <f>'TE BE'!$L$29*'TE BF'!$L$49</f>
        <v>0</v>
      </c>
      <c r="M29" s="30">
        <f>'TE BE'!$M$29*'TE BF'!$M$49</f>
        <v>0</v>
      </c>
      <c r="N29" s="30">
        <f>'TE BE'!$N$29*'TE BF'!$N$49</f>
        <v>0</v>
      </c>
      <c r="O29" s="30">
        <f>'TE BE'!$O$29*'TE BF'!$O$49</f>
        <v>0</v>
      </c>
      <c r="P29" s="30">
        <f>SUM($L$29:$O$29)</f>
        <v>0</v>
      </c>
      <c r="Q29" s="30">
        <f>'TE BE'!$Q$29*'TE BF'!$Q$49</f>
        <v>0</v>
      </c>
      <c r="R29" s="30">
        <f>SUM($Q$29:$Q$29)</f>
        <v>0</v>
      </c>
      <c r="S29" s="30">
        <f>'TE BE'!$S$29*'TE BF'!$S$49</f>
        <v>0</v>
      </c>
      <c r="T29" s="30">
        <f>'TE BE'!$T$29*'TE BF'!$T$49</f>
        <v>0</v>
      </c>
      <c r="U29" s="30">
        <f>'TE BE'!$U$29*'TE BF'!$U$49</f>
        <v>0</v>
      </c>
      <c r="V29" s="30">
        <f>SUM($S$29:$U$29)</f>
        <v>0</v>
      </c>
      <c r="W29" s="30">
        <f>'TE BE'!$AA$29*'TE BF'!$W$49</f>
        <v>0</v>
      </c>
      <c r="X29" s="30">
        <f>SUM($W$29:$W$29)</f>
        <v>0</v>
      </c>
      <c r="Y29" s="30">
        <f>'TE BE'!$Y$29*'TE BF'!$Y$49</f>
        <v>0</v>
      </c>
      <c r="Z29" s="30">
        <f>SUM($Y$29:$Y$29)</f>
        <v>0</v>
      </c>
      <c r="AA29" s="30">
        <f>SUMIF($L$4:$Z$4,"SUBTOTAL",$L$29:$Z$29)</f>
        <v>0</v>
      </c>
    </row>
    <row r="30" spans="1:27" ht="11.25" customHeight="1" x14ac:dyDescent="0.3">
      <c r="A30" s="131"/>
      <c r="B30" s="131"/>
      <c r="C30" s="131"/>
      <c r="D30" s="131"/>
      <c r="E30" s="131"/>
      <c r="F30" s="131"/>
      <c r="G30" s="32" t="s">
        <v>85</v>
      </c>
      <c r="H30" s="32" t="s">
        <v>72</v>
      </c>
      <c r="I30" s="32">
        <f>'MERCADO TE'!$U$27</f>
        <v>0</v>
      </c>
      <c r="J30" s="17"/>
      <c r="L30" s="30">
        <f>'TE BE'!$L$30*'TE BF'!$L$49</f>
        <v>0</v>
      </c>
      <c r="M30" s="30">
        <f>'TE BE'!$M$30*'TE BF'!$M$49</f>
        <v>0</v>
      </c>
      <c r="N30" s="30">
        <f>'TE BE'!$N$30*'TE BF'!$N$49</f>
        <v>0</v>
      </c>
      <c r="O30" s="30">
        <f>'TE BE'!$O$30*'TE BF'!$O$49</f>
        <v>0</v>
      </c>
      <c r="P30" s="30">
        <f>SUM($L$30:$O$30)</f>
        <v>0</v>
      </c>
      <c r="Q30" s="30">
        <f>'TE BE'!$Q$30*'TE BF'!$Q$49</f>
        <v>0</v>
      </c>
      <c r="R30" s="30">
        <f>SUM($Q$30:$Q$30)</f>
        <v>0</v>
      </c>
      <c r="S30" s="30">
        <f>'TE BE'!$S$30*'TE BF'!$S$49</f>
        <v>0</v>
      </c>
      <c r="T30" s="30">
        <f>'TE BE'!$T$30*'TE BF'!$T$49</f>
        <v>0</v>
      </c>
      <c r="U30" s="30">
        <f>'TE BE'!$U$30*'TE BF'!$U$49</f>
        <v>0</v>
      </c>
      <c r="V30" s="30">
        <f>SUM($S$30:$U$30)</f>
        <v>0</v>
      </c>
      <c r="W30" s="30">
        <f>'TE BE'!$AA$30*'TE BF'!$W$49</f>
        <v>0</v>
      </c>
      <c r="X30" s="30">
        <f>SUM($W$30:$W$30)</f>
        <v>0</v>
      </c>
      <c r="Y30" s="30">
        <f>'TE BE'!$Y$30*'TE BF'!$Y$49</f>
        <v>0</v>
      </c>
      <c r="Z30" s="30">
        <f>SUM($Y$30:$Y$30)</f>
        <v>0</v>
      </c>
      <c r="AA30" s="30">
        <f>SUMIF($L$4:$Z$4,"SUBTOTAL",$L$30:$Z$30)</f>
        <v>0</v>
      </c>
    </row>
    <row r="31" spans="1:27" ht="11.25" customHeight="1" x14ac:dyDescent="0.3">
      <c r="A31" s="131"/>
      <c r="B31" s="131"/>
      <c r="C31" s="131"/>
      <c r="D31" s="131"/>
      <c r="E31" s="131"/>
      <c r="F31" s="131"/>
      <c r="G31" s="32" t="s">
        <v>74</v>
      </c>
      <c r="H31" s="32" t="s">
        <v>72</v>
      </c>
      <c r="I31" s="32">
        <f>'MERCADO TE'!$U$28</f>
        <v>0</v>
      </c>
      <c r="J31" s="17"/>
      <c r="L31" s="30">
        <f>'TE BE'!$L$31*'TE BF'!$L$49</f>
        <v>0</v>
      </c>
      <c r="M31" s="30">
        <f>'TE BE'!$M$31*'TE BF'!$M$49</f>
        <v>0</v>
      </c>
      <c r="N31" s="30">
        <f>'TE BE'!$N$31*'TE BF'!$N$49</f>
        <v>0</v>
      </c>
      <c r="O31" s="30">
        <f>'TE BE'!$O$31*'TE BF'!$O$49</f>
        <v>0</v>
      </c>
      <c r="P31" s="30">
        <f>SUM($L$31:$O$31)</f>
        <v>0</v>
      </c>
      <c r="Q31" s="30">
        <f>'TE BE'!$Q$31*'TE BF'!$Q$49</f>
        <v>0</v>
      </c>
      <c r="R31" s="30">
        <f>SUM($Q$31:$Q$31)</f>
        <v>0</v>
      </c>
      <c r="S31" s="30">
        <f>'TE BE'!$S$31*'TE BF'!$S$49</f>
        <v>0</v>
      </c>
      <c r="T31" s="30">
        <f>'TE BE'!$T$31*'TE BF'!$T$49</f>
        <v>0</v>
      </c>
      <c r="U31" s="30">
        <f>'TE BE'!$U$31*'TE BF'!$U$49</f>
        <v>0</v>
      </c>
      <c r="V31" s="30">
        <f>SUM($S$31:$U$31)</f>
        <v>0</v>
      </c>
      <c r="W31" s="30">
        <f>'TE BE'!$AA$31*'TE BF'!$W$49</f>
        <v>0</v>
      </c>
      <c r="X31" s="30">
        <f>SUM($W$31:$W$31)</f>
        <v>0</v>
      </c>
      <c r="Y31" s="30">
        <f>'TE BE'!$Y$31*'TE BF'!$Y$49</f>
        <v>0</v>
      </c>
      <c r="Z31" s="30">
        <f>SUM($Y$31:$Y$31)</f>
        <v>0</v>
      </c>
      <c r="AA31" s="30">
        <f>SUMIF($L$4:$Z$4,"SUBTOTAL",$L$31:$Z$31)</f>
        <v>0</v>
      </c>
    </row>
    <row r="32" spans="1:27" ht="11.25" customHeight="1" x14ac:dyDescent="0.3">
      <c r="A32" s="131"/>
      <c r="B32" s="38" t="s">
        <v>75</v>
      </c>
      <c r="C32" s="38" t="s">
        <v>44</v>
      </c>
      <c r="D32" s="38" t="s">
        <v>89</v>
      </c>
      <c r="E32" s="38" t="s">
        <v>25</v>
      </c>
      <c r="F32" s="38" t="s">
        <v>25</v>
      </c>
      <c r="G32" s="32" t="s">
        <v>76</v>
      </c>
      <c r="H32" s="32" t="s">
        <v>72</v>
      </c>
      <c r="I32" s="32">
        <f>'MERCADO TE'!$U$29</f>
        <v>0</v>
      </c>
      <c r="J32" s="17"/>
      <c r="L32" s="30">
        <f>'TE BE'!$L$32*'TE BF'!$L$49</f>
        <v>0</v>
      </c>
      <c r="M32" s="30">
        <f>'TE BE'!$M$32*'TE BF'!$M$49</f>
        <v>0</v>
      </c>
      <c r="N32" s="30">
        <f>'TE BE'!$N$32*'TE BF'!$N$49</f>
        <v>0</v>
      </c>
      <c r="O32" s="30">
        <f>'TE BE'!$O$32*'TE BF'!$O$49</f>
        <v>0</v>
      </c>
      <c r="P32" s="30">
        <f>SUM($L$32:$O$32)</f>
        <v>0</v>
      </c>
      <c r="Q32" s="30">
        <f>'TE BE'!$Q$32*'TE BF'!$Q$49</f>
        <v>0</v>
      </c>
      <c r="R32" s="30">
        <f>SUM($Q$32:$Q$32)</f>
        <v>0</v>
      </c>
      <c r="S32" s="30">
        <f>'TE BE'!$S$32*'TE BF'!$S$49</f>
        <v>0</v>
      </c>
      <c r="T32" s="30">
        <f>'TE BE'!$T$32*'TE BF'!$T$49</f>
        <v>0</v>
      </c>
      <c r="U32" s="30">
        <f>'TE BE'!$U$32*'TE BF'!$U$49</f>
        <v>0</v>
      </c>
      <c r="V32" s="30">
        <f>SUM($S$32:$U$32)</f>
        <v>0</v>
      </c>
      <c r="W32" s="30">
        <f>'TE BE'!$AA$32*'TE BF'!$W$49</f>
        <v>0</v>
      </c>
      <c r="X32" s="30">
        <f>SUM($W$32:$W$32)</f>
        <v>0</v>
      </c>
      <c r="Y32" s="30">
        <f>'TE BE'!$Y$32*'TE BF'!$Y$49</f>
        <v>0</v>
      </c>
      <c r="Z32" s="30">
        <f>SUM($Y$32:$Y$32)</f>
        <v>0</v>
      </c>
      <c r="AA32" s="30">
        <f>SUMIF($L$4:$Z$4,"SUBTOTAL",$L$32:$Z$32)</f>
        <v>0</v>
      </c>
    </row>
    <row r="33" spans="1:27" ht="11.25" customHeight="1" x14ac:dyDescent="0.3">
      <c r="A33" s="131"/>
      <c r="B33" s="131" t="s">
        <v>86</v>
      </c>
      <c r="C33" s="131" t="s">
        <v>44</v>
      </c>
      <c r="D33" s="38" t="s">
        <v>25</v>
      </c>
      <c r="E33" s="38" t="s">
        <v>25</v>
      </c>
      <c r="F33" s="38" t="s">
        <v>25</v>
      </c>
      <c r="G33" s="32" t="s">
        <v>76</v>
      </c>
      <c r="H33" s="32" t="s">
        <v>72</v>
      </c>
      <c r="I33" s="32">
        <f>'MERCADO TE'!$U$30</f>
        <v>0</v>
      </c>
      <c r="J33" s="17"/>
      <c r="L33" s="30">
        <f>'TE BE'!$L$33*'TE BF'!$L$49</f>
        <v>0</v>
      </c>
      <c r="M33" s="30">
        <f>'TE BE'!$M$33*'TE BF'!$M$49</f>
        <v>0</v>
      </c>
      <c r="N33" s="30">
        <f>'TE BE'!$N$33*'TE BF'!$N$49</f>
        <v>0</v>
      </c>
      <c r="O33" s="30">
        <f>'TE BE'!$O$33*'TE BF'!$O$49</f>
        <v>0</v>
      </c>
      <c r="P33" s="30">
        <f>SUM($L$33:$O$33)</f>
        <v>0</v>
      </c>
      <c r="Q33" s="30">
        <f>'TE BE'!$Q$33*'TE BF'!$Q$49</f>
        <v>0</v>
      </c>
      <c r="R33" s="30">
        <f>SUM($Q$33:$Q$33)</f>
        <v>0</v>
      </c>
      <c r="S33" s="30">
        <f>'TE BE'!$S$33*'TE BF'!$S$49</f>
        <v>0</v>
      </c>
      <c r="T33" s="30">
        <f>'TE BE'!$T$33*'TE BF'!$T$49</f>
        <v>0</v>
      </c>
      <c r="U33" s="30">
        <f>'TE BE'!$U$33*'TE BF'!$U$49</f>
        <v>0</v>
      </c>
      <c r="V33" s="30">
        <f>SUM($S$33:$U$33)</f>
        <v>0</v>
      </c>
      <c r="W33" s="30">
        <f>'TE BE'!$AA$33*'TE BF'!$W$49</f>
        <v>0</v>
      </c>
      <c r="X33" s="30">
        <f>SUM($W$33:$W$33)</f>
        <v>0</v>
      </c>
      <c r="Y33" s="30">
        <f>'TE BE'!$Y$33*'TE BF'!$Y$49</f>
        <v>0</v>
      </c>
      <c r="Z33" s="30">
        <f>SUM($Y$33:$Y$33)</f>
        <v>0</v>
      </c>
      <c r="AA33" s="30">
        <f>SUMIF($L$4:$Z$4,"SUBTOTAL",$L$33:$Z$33)</f>
        <v>0</v>
      </c>
    </row>
    <row r="34" spans="1:27" ht="11.25" customHeight="1" x14ac:dyDescent="0.3">
      <c r="A34" s="131"/>
      <c r="B34" s="131"/>
      <c r="C34" s="131"/>
      <c r="D34" s="38" t="s">
        <v>88</v>
      </c>
      <c r="E34" s="38" t="s">
        <v>25</v>
      </c>
      <c r="F34" s="38" t="s">
        <v>25</v>
      </c>
      <c r="G34" s="32" t="s">
        <v>76</v>
      </c>
      <c r="H34" s="32" t="s">
        <v>72</v>
      </c>
      <c r="I34" s="32">
        <f>'MERCADO TE'!$U$31</f>
        <v>0</v>
      </c>
      <c r="J34" s="17"/>
      <c r="L34" s="30">
        <f>'TE BE'!$L$34*'TE BF'!$L$49</f>
        <v>0</v>
      </c>
      <c r="M34" s="30">
        <f>'TE BE'!$M$34*'TE BF'!$M$49</f>
        <v>0</v>
      </c>
      <c r="N34" s="30">
        <f>'TE BE'!$N$34*'TE BF'!$N$49</f>
        <v>0</v>
      </c>
      <c r="O34" s="30">
        <f>'TE BE'!$O$34*'TE BF'!$O$49</f>
        <v>0</v>
      </c>
      <c r="P34" s="30">
        <f>SUM($L$34:$O$34)</f>
        <v>0</v>
      </c>
      <c r="Q34" s="30">
        <f>'TE BE'!$Q$34*'TE BF'!$Q$49</f>
        <v>0</v>
      </c>
      <c r="R34" s="30">
        <f>SUM($Q$34:$Q$34)</f>
        <v>0</v>
      </c>
      <c r="S34" s="30">
        <f>'TE BE'!$S$34*'TE BF'!$S$49</f>
        <v>0</v>
      </c>
      <c r="T34" s="30">
        <f>'TE BE'!$T$34*'TE BF'!$T$49</f>
        <v>0</v>
      </c>
      <c r="U34" s="30">
        <f>'TE BE'!$U$34*'TE BF'!$U$49</f>
        <v>0</v>
      </c>
      <c r="V34" s="30">
        <f>SUM($S$34:$U$34)</f>
        <v>0</v>
      </c>
      <c r="W34" s="30">
        <f>'TE BE'!$AA$34*'TE BF'!$W$49</f>
        <v>0</v>
      </c>
      <c r="X34" s="30">
        <f>SUM($W$34:$W$34)</f>
        <v>0</v>
      </c>
      <c r="Y34" s="30">
        <f>'TE BE'!$Y$34*'TE BF'!$Y$49</f>
        <v>0</v>
      </c>
      <c r="Z34" s="30">
        <f>SUM($Y$34:$Y$34)</f>
        <v>0</v>
      </c>
      <c r="AA34" s="30">
        <f>SUMIF($L$4:$Z$4,"SUBTOTAL",$L$34:$Z$34)</f>
        <v>0</v>
      </c>
    </row>
    <row r="35" spans="1:27" ht="11.25" customHeight="1" x14ac:dyDescent="0.3">
      <c r="A35" s="131"/>
      <c r="B35" s="131"/>
      <c r="C35" s="131"/>
      <c r="D35" s="38" t="s">
        <v>89</v>
      </c>
      <c r="E35" s="38" t="s">
        <v>25</v>
      </c>
      <c r="F35" s="38" t="s">
        <v>25</v>
      </c>
      <c r="G35" s="32" t="s">
        <v>76</v>
      </c>
      <c r="H35" s="32" t="s">
        <v>72</v>
      </c>
      <c r="I35" s="32">
        <f>'MERCADO TE'!$U$32</f>
        <v>0</v>
      </c>
      <c r="J35" s="17"/>
      <c r="L35" s="30">
        <f>'TE BE'!$L$35*'TE BF'!$L$49</f>
        <v>0</v>
      </c>
      <c r="M35" s="30">
        <f>'TE BE'!$M$35*'TE BF'!$M$49</f>
        <v>0</v>
      </c>
      <c r="N35" s="30">
        <f>'TE BE'!$N$35*'TE BF'!$N$49</f>
        <v>0</v>
      </c>
      <c r="O35" s="30">
        <f>'TE BE'!$O$35*'TE BF'!$O$49</f>
        <v>0</v>
      </c>
      <c r="P35" s="30">
        <f>SUM($L$35:$O$35)</f>
        <v>0</v>
      </c>
      <c r="Q35" s="30">
        <f>'TE BE'!$Q$35*'TE BF'!$Q$49</f>
        <v>0</v>
      </c>
      <c r="R35" s="30">
        <f>SUM($Q$35:$Q$35)</f>
        <v>0</v>
      </c>
      <c r="S35" s="30">
        <f>'TE BE'!$S$35*'TE BF'!$S$49</f>
        <v>0</v>
      </c>
      <c r="T35" s="30">
        <f>'TE BE'!$T$35*'TE BF'!$T$49</f>
        <v>0</v>
      </c>
      <c r="U35" s="30">
        <f>'TE BE'!$U$35*'TE BF'!$U$49</f>
        <v>0</v>
      </c>
      <c r="V35" s="30">
        <f>SUM($S$35:$U$35)</f>
        <v>0</v>
      </c>
      <c r="W35" s="30">
        <f>'TE BE'!$AA$35*'TE BF'!$W$49</f>
        <v>0</v>
      </c>
      <c r="X35" s="30">
        <f>SUM($W$35:$W$35)</f>
        <v>0</v>
      </c>
      <c r="Y35" s="30">
        <f>'TE BE'!$Y$35*'TE BF'!$Y$49</f>
        <v>0</v>
      </c>
      <c r="Z35" s="30">
        <f>SUM($Y$35:$Y$35)</f>
        <v>0</v>
      </c>
      <c r="AA35" s="30">
        <f>SUMIF($L$4:$Z$4,"SUBTOTAL",$L$35:$Z$35)</f>
        <v>0</v>
      </c>
    </row>
    <row r="36" spans="1:27" ht="11.25" customHeight="1" x14ac:dyDescent="0.3">
      <c r="A36" s="131" t="s">
        <v>35</v>
      </c>
      <c r="B36" s="131" t="s">
        <v>71</v>
      </c>
      <c r="C36" s="131" t="s">
        <v>25</v>
      </c>
      <c r="D36" s="131" t="s">
        <v>25</v>
      </c>
      <c r="E36" s="131" t="s">
        <v>25</v>
      </c>
      <c r="F36" s="131" t="s">
        <v>25</v>
      </c>
      <c r="G36" s="32" t="s">
        <v>73</v>
      </c>
      <c r="H36" s="32" t="s">
        <v>72</v>
      </c>
      <c r="I36" s="32">
        <f>'MERCADO TE'!$U$33</f>
        <v>0.38900000000000001</v>
      </c>
      <c r="J36" s="17"/>
      <c r="L36" s="30">
        <f>'TE BE'!$L$36*'TE BF'!$L$49</f>
        <v>0</v>
      </c>
      <c r="M36" s="30">
        <f>'TE BE'!$M$36*'TE BF'!$M$49</f>
        <v>0</v>
      </c>
      <c r="N36" s="30">
        <f>'TE BE'!$N$36*'TE BF'!$N$49</f>
        <v>0</v>
      </c>
      <c r="O36" s="30">
        <f>'TE BE'!$O$36*'TE BF'!$O$49</f>
        <v>0</v>
      </c>
      <c r="P36" s="30">
        <f>SUM($L$36:$O$36)</f>
        <v>0</v>
      </c>
      <c r="Q36" s="30">
        <f>'TE BE'!$Q$36*'TE BF'!$Q$49</f>
        <v>0</v>
      </c>
      <c r="R36" s="30">
        <f>SUM($Q$36:$Q$36)</f>
        <v>0</v>
      </c>
      <c r="S36" s="30">
        <f>'TE BE'!$S$36*'TE BF'!$S$49</f>
        <v>0</v>
      </c>
      <c r="T36" s="30">
        <f>'TE BE'!$T$36*'TE BF'!$T$49</f>
        <v>0</v>
      </c>
      <c r="U36" s="30">
        <f>'TE BE'!$U$36*'TE BF'!$U$49</f>
        <v>0</v>
      </c>
      <c r="V36" s="30">
        <f>SUM($S$36:$U$36)</f>
        <v>0</v>
      </c>
      <c r="W36" s="30">
        <f>'TE BE'!$AA$36*'TE BF'!$W$49</f>
        <v>0</v>
      </c>
      <c r="X36" s="30">
        <f>SUM($W$36:$W$36)</f>
        <v>0</v>
      </c>
      <c r="Y36" s="30">
        <f>'TE BE'!$Y$36*'TE BF'!$Y$49</f>
        <v>0</v>
      </c>
      <c r="Z36" s="30">
        <f>SUM($Y$36:$Y$36)</f>
        <v>0</v>
      </c>
      <c r="AA36" s="30">
        <f>SUMIF($L$4:$Z$4,"SUBTOTAL",$L$36:$Z$36)</f>
        <v>0</v>
      </c>
    </row>
    <row r="37" spans="1:27" ht="11.25" customHeight="1" x14ac:dyDescent="0.3">
      <c r="A37" s="131"/>
      <c r="B37" s="131"/>
      <c r="C37" s="131"/>
      <c r="D37" s="131"/>
      <c r="E37" s="131"/>
      <c r="F37" s="131"/>
      <c r="G37" s="32" t="s">
        <v>85</v>
      </c>
      <c r="H37" s="32" t="s">
        <v>72</v>
      </c>
      <c r="I37" s="32">
        <f>'MERCADO TE'!$U$34</f>
        <v>0.23799999999999999</v>
      </c>
      <c r="J37" s="17"/>
      <c r="L37" s="30">
        <f>'TE BE'!$L$37*'TE BF'!$L$49</f>
        <v>0</v>
      </c>
      <c r="M37" s="30">
        <f>'TE BE'!$M$37*'TE BF'!$M$49</f>
        <v>0</v>
      </c>
      <c r="N37" s="30">
        <f>'TE BE'!$N$37*'TE BF'!$N$49</f>
        <v>0</v>
      </c>
      <c r="O37" s="30">
        <f>'TE BE'!$O$37*'TE BF'!$O$49</f>
        <v>0</v>
      </c>
      <c r="P37" s="30">
        <f>SUM($L$37:$O$37)</f>
        <v>0</v>
      </c>
      <c r="Q37" s="30">
        <f>'TE BE'!$Q$37*'TE BF'!$Q$49</f>
        <v>0</v>
      </c>
      <c r="R37" s="30">
        <f>SUM($Q$37:$Q$37)</f>
        <v>0</v>
      </c>
      <c r="S37" s="30">
        <f>'TE BE'!$S$37*'TE BF'!$S$49</f>
        <v>0</v>
      </c>
      <c r="T37" s="30">
        <f>'TE BE'!$T$37*'TE BF'!$T$49</f>
        <v>0</v>
      </c>
      <c r="U37" s="30">
        <f>'TE BE'!$U$37*'TE BF'!$U$49</f>
        <v>0</v>
      </c>
      <c r="V37" s="30">
        <f>SUM($S$37:$U$37)</f>
        <v>0</v>
      </c>
      <c r="W37" s="30">
        <f>'TE BE'!$AA$37*'TE BF'!$W$49</f>
        <v>0</v>
      </c>
      <c r="X37" s="30">
        <f>SUM($W$37:$W$37)</f>
        <v>0</v>
      </c>
      <c r="Y37" s="30">
        <f>'TE BE'!$Y$37*'TE BF'!$Y$49</f>
        <v>0</v>
      </c>
      <c r="Z37" s="30">
        <f>SUM($Y$37:$Y$37)</f>
        <v>0</v>
      </c>
      <c r="AA37" s="30">
        <f>SUMIF($L$4:$Z$4,"SUBTOTAL",$L$37:$Z$37)</f>
        <v>0</v>
      </c>
    </row>
    <row r="38" spans="1:27" ht="11.25" customHeight="1" x14ac:dyDescent="0.3">
      <c r="A38" s="131"/>
      <c r="B38" s="131"/>
      <c r="C38" s="131"/>
      <c r="D38" s="131"/>
      <c r="E38" s="131"/>
      <c r="F38" s="131"/>
      <c r="G38" s="32" t="s">
        <v>74</v>
      </c>
      <c r="H38" s="32" t="s">
        <v>72</v>
      </c>
      <c r="I38" s="32">
        <f>'MERCADO TE'!$U$35</f>
        <v>2.8279999999999998</v>
      </c>
      <c r="J38" s="17"/>
      <c r="L38" s="30">
        <f>'TE BE'!$L$38*'TE BF'!$L$49</f>
        <v>0</v>
      </c>
      <c r="M38" s="30">
        <f>'TE BE'!$M$38*'TE BF'!$M$49</f>
        <v>0</v>
      </c>
      <c r="N38" s="30">
        <f>'TE BE'!$N$38*'TE BF'!$N$49</f>
        <v>0</v>
      </c>
      <c r="O38" s="30">
        <f>'TE BE'!$O$38*'TE BF'!$O$49</f>
        <v>0</v>
      </c>
      <c r="P38" s="30">
        <f>SUM($L$38:$O$38)</f>
        <v>0</v>
      </c>
      <c r="Q38" s="30">
        <f>'TE BE'!$Q$38*'TE BF'!$Q$49</f>
        <v>0</v>
      </c>
      <c r="R38" s="30">
        <f>SUM($Q$38:$Q$38)</f>
        <v>0</v>
      </c>
      <c r="S38" s="30">
        <f>'TE BE'!$S$38*'TE BF'!$S$49</f>
        <v>0</v>
      </c>
      <c r="T38" s="30">
        <f>'TE BE'!$T$38*'TE BF'!$T$49</f>
        <v>0</v>
      </c>
      <c r="U38" s="30">
        <f>'TE BE'!$U$38*'TE BF'!$U$49</f>
        <v>0</v>
      </c>
      <c r="V38" s="30">
        <f>SUM($S$38:$U$38)</f>
        <v>0</v>
      </c>
      <c r="W38" s="30">
        <f>'TE BE'!$AA$38*'TE BF'!$W$49</f>
        <v>0</v>
      </c>
      <c r="X38" s="30">
        <f>SUM($W$38:$W$38)</f>
        <v>0</v>
      </c>
      <c r="Y38" s="30">
        <f>'TE BE'!$Y$38*'TE BF'!$Y$49</f>
        <v>0</v>
      </c>
      <c r="Z38" s="30">
        <f>SUM($Y$38:$Y$38)</f>
        <v>0</v>
      </c>
      <c r="AA38" s="30">
        <f>SUMIF($L$4:$Z$4,"SUBTOTAL",$L$38:$Z$38)</f>
        <v>0</v>
      </c>
    </row>
    <row r="39" spans="1:27" ht="11.25" customHeight="1" x14ac:dyDescent="0.3">
      <c r="A39" s="131"/>
      <c r="B39" s="38" t="s">
        <v>75</v>
      </c>
      <c r="C39" s="38" t="s">
        <v>25</v>
      </c>
      <c r="D39" s="38" t="s">
        <v>25</v>
      </c>
      <c r="E39" s="38" t="s">
        <v>25</v>
      </c>
      <c r="F39" s="38" t="s">
        <v>25</v>
      </c>
      <c r="G39" s="32" t="s">
        <v>76</v>
      </c>
      <c r="H39" s="32" t="s">
        <v>72</v>
      </c>
      <c r="I39" s="32">
        <f>'MERCADO TE'!$U$36</f>
        <v>1798.9960000000001</v>
      </c>
      <c r="J39" s="17"/>
      <c r="L39" s="30">
        <f>'TE BE'!$L$39*'TE BF'!$L$49</f>
        <v>0</v>
      </c>
      <c r="M39" s="30">
        <f>'TE BE'!$M$39*'TE BF'!$M$49</f>
        <v>0</v>
      </c>
      <c r="N39" s="30">
        <f>'TE BE'!$N$39*'TE BF'!$N$49</f>
        <v>0</v>
      </c>
      <c r="O39" s="30">
        <f>'TE BE'!$O$39*'TE BF'!$O$49</f>
        <v>0</v>
      </c>
      <c r="P39" s="30">
        <f>SUM($L$39:$O$39)</f>
        <v>0</v>
      </c>
      <c r="Q39" s="30">
        <f>'TE BE'!$Q$39*'TE BF'!$Q$49</f>
        <v>0</v>
      </c>
      <c r="R39" s="30">
        <f>SUM($Q$39:$Q$39)</f>
        <v>0</v>
      </c>
      <c r="S39" s="30">
        <f>'TE BE'!$S$39*'TE BF'!$S$49</f>
        <v>0</v>
      </c>
      <c r="T39" s="30">
        <f>'TE BE'!$T$39*'TE BF'!$T$49</f>
        <v>0</v>
      </c>
      <c r="U39" s="30">
        <f>'TE BE'!$U$39*'TE BF'!$U$49</f>
        <v>0</v>
      </c>
      <c r="V39" s="30">
        <f>SUM($S$39:$U$39)</f>
        <v>0</v>
      </c>
      <c r="W39" s="30">
        <f>'TE BE'!$AA$39*'TE BF'!$W$49</f>
        <v>0</v>
      </c>
      <c r="X39" s="30">
        <f>SUM($W$39:$W$39)</f>
        <v>0</v>
      </c>
      <c r="Y39" s="30">
        <f>'TE BE'!$Y$39*'TE BF'!$Y$49</f>
        <v>0</v>
      </c>
      <c r="Z39" s="30">
        <f>SUM($Y$39:$Y$39)</f>
        <v>0</v>
      </c>
      <c r="AA39" s="30">
        <f>SUMIF($L$4:$Z$4,"SUBTOTAL",$L$39:$Z$39)</f>
        <v>0</v>
      </c>
    </row>
    <row r="40" spans="1:27" ht="11.25" customHeight="1" x14ac:dyDescent="0.3">
      <c r="A40" s="131"/>
      <c r="B40" s="38" t="s">
        <v>86</v>
      </c>
      <c r="C40" s="38" t="s">
        <v>25</v>
      </c>
      <c r="D40" s="38" t="s">
        <v>25</v>
      </c>
      <c r="E40" s="38" t="s">
        <v>25</v>
      </c>
      <c r="F40" s="38" t="s">
        <v>25</v>
      </c>
      <c r="G40" s="32" t="s">
        <v>76</v>
      </c>
      <c r="H40" s="32" t="s">
        <v>72</v>
      </c>
      <c r="I40" s="32">
        <f>'MERCADO TE'!$U$37</f>
        <v>0</v>
      </c>
      <c r="J40" s="17"/>
      <c r="L40" s="30">
        <f>'TE BE'!$L$40*'TE BF'!$L$49</f>
        <v>0</v>
      </c>
      <c r="M40" s="30">
        <f>'TE BE'!$M$40*'TE BF'!$M$49</f>
        <v>0</v>
      </c>
      <c r="N40" s="30">
        <f>'TE BE'!$N$40*'TE BF'!$N$49</f>
        <v>0</v>
      </c>
      <c r="O40" s="30">
        <f>'TE BE'!$O$40*'TE BF'!$O$49</f>
        <v>0</v>
      </c>
      <c r="P40" s="30">
        <f>SUM($L$40:$O$40)</f>
        <v>0</v>
      </c>
      <c r="Q40" s="30">
        <f>'TE BE'!$Q$40*'TE BF'!$Q$49</f>
        <v>0</v>
      </c>
      <c r="R40" s="30">
        <f>SUM($Q$40:$Q$40)</f>
        <v>0</v>
      </c>
      <c r="S40" s="30">
        <f>'TE BE'!$S$40*'TE BF'!$S$49</f>
        <v>0</v>
      </c>
      <c r="T40" s="30">
        <f>'TE BE'!$T$40*'TE BF'!$T$49</f>
        <v>0</v>
      </c>
      <c r="U40" s="30">
        <f>'TE BE'!$U$40*'TE BF'!$U$49</f>
        <v>0</v>
      </c>
      <c r="V40" s="30">
        <f>SUM($S$40:$U$40)</f>
        <v>0</v>
      </c>
      <c r="W40" s="30">
        <f>'TE BE'!$AA$40*'TE BF'!$W$49</f>
        <v>0</v>
      </c>
      <c r="X40" s="30">
        <f>SUM($W$40:$W$40)</f>
        <v>0</v>
      </c>
      <c r="Y40" s="30">
        <f>'TE BE'!$Y$40*'TE BF'!$Y$49</f>
        <v>0</v>
      </c>
      <c r="Z40" s="30">
        <f>SUM($Y$40:$Y$40)</f>
        <v>0</v>
      </c>
      <c r="AA40" s="30">
        <f>SUMIF($L$4:$Z$4,"SUBTOTAL",$L$40:$Z$40)</f>
        <v>0</v>
      </c>
    </row>
    <row r="41" spans="1:27" ht="11.25" customHeight="1" x14ac:dyDescent="0.3">
      <c r="A41" s="131" t="s">
        <v>46</v>
      </c>
      <c r="B41" s="131" t="s">
        <v>75</v>
      </c>
      <c r="C41" s="131" t="s">
        <v>47</v>
      </c>
      <c r="D41" s="38" t="s">
        <v>48</v>
      </c>
      <c r="E41" s="38" t="s">
        <v>25</v>
      </c>
      <c r="F41" s="38" t="s">
        <v>25</v>
      </c>
      <c r="G41" s="32" t="s">
        <v>76</v>
      </c>
      <c r="H41" s="32" t="s">
        <v>72</v>
      </c>
      <c r="I41" s="32">
        <f>'MERCADO TE'!$U$38</f>
        <v>3164.4159999999997</v>
      </c>
      <c r="J41" s="17"/>
      <c r="L41" s="30">
        <f>'TE BE'!$L$41*'TE BF'!$L$49</f>
        <v>0</v>
      </c>
      <c r="M41" s="30">
        <f>'TE BE'!$M$41*'TE BF'!$M$49</f>
        <v>0</v>
      </c>
      <c r="N41" s="30">
        <f>'TE BE'!$N$41*'TE BF'!$N$49</f>
        <v>0</v>
      </c>
      <c r="O41" s="30">
        <f>'TE BE'!$O$41*'TE BF'!$O$49</f>
        <v>0</v>
      </c>
      <c r="P41" s="30">
        <f>SUM($L$41:$O$41)</f>
        <v>0</v>
      </c>
      <c r="Q41" s="30">
        <f>'TE BE'!$Q$41*'TE BF'!$Q$49</f>
        <v>0</v>
      </c>
      <c r="R41" s="30">
        <f>SUM($Q$41:$Q$41)</f>
        <v>0</v>
      </c>
      <c r="S41" s="30">
        <f>'TE BE'!$S$41*'TE BF'!$S$49</f>
        <v>0</v>
      </c>
      <c r="T41" s="30">
        <f>'TE BE'!$T$41*'TE BF'!$T$49</f>
        <v>0</v>
      </c>
      <c r="U41" s="30">
        <f>'TE BE'!$U$41*'TE BF'!$U$49</f>
        <v>0</v>
      </c>
      <c r="V41" s="30">
        <f>SUM($S$41:$U$41)</f>
        <v>0</v>
      </c>
      <c r="W41" s="30">
        <f>'TE BE'!$AA$41*'TE BF'!$W$49</f>
        <v>0</v>
      </c>
      <c r="X41" s="30">
        <f>SUM($W$41:$W$41)</f>
        <v>0</v>
      </c>
      <c r="Y41" s="30">
        <f>'TE BE'!$Y$41*'TE BF'!$Y$49</f>
        <v>0</v>
      </c>
      <c r="Z41" s="30">
        <f>SUM($Y$41:$Y$41)</f>
        <v>0</v>
      </c>
      <c r="AA41" s="30">
        <f>SUMIF($L$4:$Z$4,"SUBTOTAL",$L$41:$Z$41)</f>
        <v>0</v>
      </c>
    </row>
    <row r="42" spans="1:27" ht="11.25" customHeight="1" x14ac:dyDescent="0.3">
      <c r="A42" s="131"/>
      <c r="B42" s="131"/>
      <c r="C42" s="131"/>
      <c r="D42" s="32" t="s">
        <v>90</v>
      </c>
      <c r="E42" s="32" t="s">
        <v>25</v>
      </c>
      <c r="F42" s="32" t="s">
        <v>25</v>
      </c>
      <c r="G42" s="32" t="s">
        <v>76</v>
      </c>
      <c r="H42" s="32" t="s">
        <v>72</v>
      </c>
      <c r="I42" s="32">
        <f>'MERCADO TE'!$U$39</f>
        <v>0</v>
      </c>
      <c r="J42" s="17"/>
      <c r="L42" s="30">
        <f>'TE BE'!$L$42*'TE BF'!$L$49</f>
        <v>0</v>
      </c>
      <c r="M42" s="30">
        <f>'TE BE'!$M$42*'TE BF'!$M$49</f>
        <v>0</v>
      </c>
      <c r="N42" s="30">
        <f>'TE BE'!$N$42*'TE BF'!$N$49</f>
        <v>0</v>
      </c>
      <c r="O42" s="30">
        <f>'TE BE'!$O$42*'TE BF'!$O$49</f>
        <v>0</v>
      </c>
      <c r="P42" s="30">
        <f>SUM($L$42:$O$42)</f>
        <v>0</v>
      </c>
      <c r="Q42" s="30">
        <f>'TE BE'!$Q$42*'TE BF'!$Q$49</f>
        <v>0</v>
      </c>
      <c r="R42" s="30">
        <f>SUM($Q$42:$Q$42)</f>
        <v>0</v>
      </c>
      <c r="S42" s="30">
        <f>'TE BE'!$S$42*'TE BF'!$S$49</f>
        <v>0</v>
      </c>
      <c r="T42" s="30">
        <f>'TE BE'!$T$42*'TE BF'!$T$49</f>
        <v>0</v>
      </c>
      <c r="U42" s="30">
        <f>'TE BE'!$U$42*'TE BF'!$U$49</f>
        <v>0</v>
      </c>
      <c r="V42" s="30">
        <f>SUM($S$42:$U$42)</f>
        <v>0</v>
      </c>
      <c r="W42" s="30">
        <f>'TE BE'!$AA$42*'TE BF'!$W$49</f>
        <v>0</v>
      </c>
      <c r="X42" s="30">
        <f>SUM($W$42:$W$42)</f>
        <v>0</v>
      </c>
      <c r="Y42" s="30">
        <f>'TE BE'!$Y$42*'TE BF'!$Y$49</f>
        <v>0</v>
      </c>
      <c r="Z42" s="30">
        <f>SUM($Y$42:$Y$42)</f>
        <v>0</v>
      </c>
      <c r="AA42" s="30">
        <f>SUMIF($L$4:$Z$4,"SUBTOTAL",$L$42:$Z$42)</f>
        <v>0</v>
      </c>
    </row>
    <row r="44" spans="1:27" ht="11.25" customHeight="1" x14ac:dyDescent="0.3">
      <c r="K44" s="37" t="s">
        <v>592</v>
      </c>
      <c r="L44" s="30">
        <f t="shared" ref="L44:AA44" si="0">SUMPRODUCT($I$5:$I$42,L$5:L$42)</f>
        <v>0</v>
      </c>
      <c r="M44" s="30">
        <f t="shared" si="0"/>
        <v>0</v>
      </c>
      <c r="N44" s="30">
        <f t="shared" si="0"/>
        <v>0</v>
      </c>
      <c r="O44" s="30">
        <f t="shared" si="0"/>
        <v>0</v>
      </c>
      <c r="P44" s="30">
        <f t="shared" si="0"/>
        <v>0</v>
      </c>
      <c r="Q44" s="30">
        <f t="shared" si="0"/>
        <v>0</v>
      </c>
      <c r="R44" s="30">
        <f t="shared" si="0"/>
        <v>0</v>
      </c>
      <c r="S44" s="30">
        <f t="shared" si="0"/>
        <v>0</v>
      </c>
      <c r="T44" s="30">
        <f t="shared" si="0"/>
        <v>0</v>
      </c>
      <c r="U44" s="30">
        <f t="shared" si="0"/>
        <v>0</v>
      </c>
      <c r="V44" s="30">
        <f t="shared" si="0"/>
        <v>0</v>
      </c>
      <c r="W44" s="30">
        <f t="shared" si="0"/>
        <v>0</v>
      </c>
      <c r="X44" s="30">
        <f t="shared" si="0"/>
        <v>0</v>
      </c>
      <c r="Y44" s="30">
        <f t="shared" si="0"/>
        <v>0</v>
      </c>
      <c r="Z44" s="30">
        <f t="shared" si="0"/>
        <v>0</v>
      </c>
      <c r="AA44" s="30">
        <f t="shared" si="0"/>
        <v>0</v>
      </c>
    </row>
    <row r="45" spans="1:27" ht="11.25" customHeight="1" x14ac:dyDescent="0.3">
      <c r="K45" s="37" t="s">
        <v>511</v>
      </c>
      <c r="L45" s="30">
        <f>CUSTOS!$D$30</f>
        <v>0</v>
      </c>
      <c r="M45" s="30">
        <f>CUSTOS!$D$31</f>
        <v>0</v>
      </c>
      <c r="N45" s="30">
        <f>CUSTOS!$D$32</f>
        <v>0</v>
      </c>
      <c r="O45" s="30">
        <f>CUSTOS!$D$33</f>
        <v>0</v>
      </c>
      <c r="P45" s="30">
        <f>CUSTOS!$D$34</f>
        <v>0</v>
      </c>
      <c r="Q45" s="30">
        <f>CUSTOS!$D$35</f>
        <v>4449489.0916342959</v>
      </c>
      <c r="R45" s="30">
        <f>CUSTOS!$D$36</f>
        <v>4449489.0916342959</v>
      </c>
      <c r="S45" s="30">
        <f>CUSTOS!$D$37</f>
        <v>0</v>
      </c>
      <c r="T45" s="30">
        <f>CUSTOS!$D$38</f>
        <v>0</v>
      </c>
      <c r="U45" s="30">
        <f>CUSTOS!$D$39</f>
        <v>0</v>
      </c>
      <c r="V45" s="30">
        <f>CUSTOS!$D$40</f>
        <v>0</v>
      </c>
      <c r="W45" s="30">
        <f>CUSTOS!$D$41</f>
        <v>0</v>
      </c>
      <c r="X45" s="30">
        <f>CUSTOS!$D$42</f>
        <v>0</v>
      </c>
      <c r="Y45" s="30">
        <f>CUSTOS!$D$43</f>
        <v>0</v>
      </c>
      <c r="Z45" s="30">
        <f>CUSTOS!$D$44</f>
        <v>0</v>
      </c>
      <c r="AA45" s="30">
        <f>CUSTOS!$D$45</f>
        <v>4449489.0916342959</v>
      </c>
    </row>
    <row r="46" spans="1:27" ht="11.25" customHeight="1" x14ac:dyDescent="0.3">
      <c r="K46" s="37" t="s">
        <v>512</v>
      </c>
      <c r="L46" s="30">
        <f>CUSTOS!$E$30</f>
        <v>0</v>
      </c>
      <c r="M46" s="30">
        <f>CUSTOS!$E$31</f>
        <v>0</v>
      </c>
      <c r="N46" s="30">
        <f>CUSTOS!$E$32</f>
        <v>0</v>
      </c>
      <c r="O46" s="30">
        <f>CUSTOS!$E$33</f>
        <v>0</v>
      </c>
      <c r="P46" s="30">
        <f>CUSTOS!$E$34</f>
        <v>0</v>
      </c>
      <c r="Q46" s="30">
        <f>CUSTOS!$E$35</f>
        <v>1353676.9560117545</v>
      </c>
      <c r="R46" s="30">
        <f>CUSTOS!$E$36</f>
        <v>1353676.9560117545</v>
      </c>
      <c r="S46" s="30">
        <f>CUSTOS!$E$37</f>
        <v>0</v>
      </c>
      <c r="T46" s="30">
        <f>CUSTOS!$E$38</f>
        <v>0</v>
      </c>
      <c r="U46" s="30">
        <f>CUSTOS!$E$39</f>
        <v>0</v>
      </c>
      <c r="V46" s="30">
        <f>CUSTOS!$E$40</f>
        <v>0</v>
      </c>
      <c r="W46" s="30">
        <f>CUSTOS!$E$41</f>
        <v>0</v>
      </c>
      <c r="X46" s="30">
        <f>CUSTOS!$E$42</f>
        <v>0</v>
      </c>
      <c r="Y46" s="30">
        <f>CUSTOS!$E$43</f>
        <v>0</v>
      </c>
      <c r="Z46" s="30">
        <f>CUSTOS!$E$44</f>
        <v>0</v>
      </c>
      <c r="AA46" s="30">
        <f>CUSTOS!$E$45</f>
        <v>1353676.9560117545</v>
      </c>
    </row>
    <row r="47" spans="1:27" ht="11.25" customHeight="1" x14ac:dyDescent="0.3">
      <c r="K47" s="37" t="s">
        <v>513</v>
      </c>
      <c r="L47" s="30">
        <f>CUSTOS!$F$30</f>
        <v>0</v>
      </c>
      <c r="M47" s="30">
        <f>CUSTOS!$F$31</f>
        <v>0</v>
      </c>
      <c r="N47" s="30">
        <f>CUSTOS!$F$32</f>
        <v>0</v>
      </c>
      <c r="O47" s="30">
        <f>CUSTOS!$F$33</f>
        <v>0</v>
      </c>
      <c r="P47" s="30">
        <f>CUSTOS!$F$34</f>
        <v>0</v>
      </c>
      <c r="Q47" s="30">
        <f>CUSTOS!$F$35</f>
        <v>0</v>
      </c>
      <c r="R47" s="30">
        <f>CUSTOS!$F$36</f>
        <v>0</v>
      </c>
      <c r="S47" s="30">
        <f>CUSTOS!$F$37</f>
        <v>0</v>
      </c>
      <c r="T47" s="30">
        <f>CUSTOS!$F$38</f>
        <v>0</v>
      </c>
      <c r="U47" s="30">
        <f>CUSTOS!$F$39</f>
        <v>0</v>
      </c>
      <c r="V47" s="30">
        <f>CUSTOS!$F$40</f>
        <v>0</v>
      </c>
      <c r="W47" s="30">
        <f>CUSTOS!$F$41</f>
        <v>0</v>
      </c>
      <c r="X47" s="30">
        <f>CUSTOS!$F$42</f>
        <v>0</v>
      </c>
      <c r="Y47" s="30">
        <f>CUSTOS!$F$43</f>
        <v>0</v>
      </c>
      <c r="Z47" s="30">
        <f>CUSTOS!$F$44</f>
        <v>0</v>
      </c>
      <c r="AA47" s="30">
        <f>CUSTOS!$F$45</f>
        <v>0</v>
      </c>
    </row>
    <row r="48" spans="1:27" ht="11.25" customHeight="1" x14ac:dyDescent="0.3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1:27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1:27" ht="11.25" customHeight="1" x14ac:dyDescent="0.3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</sheetData>
  <mergeCells count="61">
    <mergeCell ref="S3:V3"/>
    <mergeCell ref="W3:X3"/>
    <mergeCell ref="A1:A4"/>
    <mergeCell ref="B1:B4"/>
    <mergeCell ref="C1:C4"/>
    <mergeCell ref="D1:D4"/>
    <mergeCell ref="E1:E4"/>
    <mergeCell ref="F1:F4"/>
    <mergeCell ref="Y3:Z3"/>
    <mergeCell ref="AA3:AA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A1"/>
    <mergeCell ref="L2:AA2"/>
    <mergeCell ref="L3:P3"/>
    <mergeCell ref="Q3:R3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E36:E38"/>
    <mergeCell ref="F36:F38"/>
    <mergeCell ref="A41:A42"/>
    <mergeCell ref="B41:B42"/>
    <mergeCell ref="C41:C42"/>
    <mergeCell ref="D36:D38"/>
  </mergeCells>
  <conditionalFormatting sqref="L44">
    <cfRule type="cellIs" dxfId="719" priority="31" operator="notEqual">
      <formula>$L$47</formula>
    </cfRule>
    <cfRule type="cellIs" dxfId="718" priority="32" operator="equal">
      <formula>$L$47</formula>
    </cfRule>
  </conditionalFormatting>
  <conditionalFormatting sqref="M44">
    <cfRule type="cellIs" dxfId="717" priority="29" operator="notEqual">
      <formula>$M$47</formula>
    </cfRule>
    <cfRule type="cellIs" dxfId="716" priority="30" operator="equal">
      <formula>$M$47</formula>
    </cfRule>
  </conditionalFormatting>
  <conditionalFormatting sqref="N44">
    <cfRule type="cellIs" dxfId="715" priority="27" operator="notEqual">
      <formula>$N$47</formula>
    </cfRule>
    <cfRule type="cellIs" dxfId="714" priority="28" operator="equal">
      <formula>$N$47</formula>
    </cfRule>
  </conditionalFormatting>
  <conditionalFormatting sqref="O44">
    <cfRule type="cellIs" dxfId="713" priority="25" operator="notEqual">
      <formula>$O$47</formula>
    </cfRule>
    <cfRule type="cellIs" dxfId="712" priority="26" operator="equal">
      <formula>$O$47</formula>
    </cfRule>
  </conditionalFormatting>
  <conditionalFormatting sqref="P44">
    <cfRule type="cellIs" dxfId="711" priority="23" operator="notEqual">
      <formula>$P$47</formula>
    </cfRule>
    <cfRule type="cellIs" dxfId="710" priority="24" operator="equal">
      <formula>$P$47</formula>
    </cfRule>
  </conditionalFormatting>
  <conditionalFormatting sqref="Q44">
    <cfRule type="cellIs" dxfId="709" priority="21" operator="notEqual">
      <formula>$Q$47</formula>
    </cfRule>
    <cfRule type="cellIs" dxfId="708" priority="22" operator="equal">
      <formula>$Q$47</formula>
    </cfRule>
  </conditionalFormatting>
  <conditionalFormatting sqref="R44">
    <cfRule type="cellIs" dxfId="707" priority="19" operator="notEqual">
      <formula>$R$47</formula>
    </cfRule>
    <cfRule type="cellIs" dxfId="706" priority="20" operator="equal">
      <formula>$R$47</formula>
    </cfRule>
  </conditionalFormatting>
  <conditionalFormatting sqref="S44">
    <cfRule type="cellIs" dxfId="705" priority="17" operator="notEqual">
      <formula>$S$47</formula>
    </cfRule>
    <cfRule type="cellIs" dxfId="704" priority="18" operator="equal">
      <formula>$S$47</formula>
    </cfRule>
  </conditionalFormatting>
  <conditionalFormatting sqref="T44">
    <cfRule type="cellIs" dxfId="703" priority="15" operator="notEqual">
      <formula>$T$47</formula>
    </cfRule>
    <cfRule type="cellIs" dxfId="702" priority="16" operator="equal">
      <formula>$T$47</formula>
    </cfRule>
  </conditionalFormatting>
  <conditionalFormatting sqref="U44">
    <cfRule type="cellIs" dxfId="701" priority="13" operator="notEqual">
      <formula>$U$47</formula>
    </cfRule>
    <cfRule type="cellIs" dxfId="700" priority="14" operator="equal">
      <formula>$U$47</formula>
    </cfRule>
  </conditionalFormatting>
  <conditionalFormatting sqref="V44">
    <cfRule type="cellIs" dxfId="699" priority="11" operator="notEqual">
      <formula>$V$47</formula>
    </cfRule>
    <cfRule type="cellIs" dxfId="698" priority="12" operator="equal">
      <formula>$V$47</formula>
    </cfRule>
  </conditionalFormatting>
  <conditionalFormatting sqref="W44">
    <cfRule type="cellIs" dxfId="697" priority="9" operator="notEqual">
      <formula>$W$47</formula>
    </cfRule>
    <cfRule type="cellIs" dxfId="696" priority="10" operator="equal">
      <formula>$W$47</formula>
    </cfRule>
  </conditionalFormatting>
  <conditionalFormatting sqref="X44">
    <cfRule type="cellIs" dxfId="695" priority="7" operator="notEqual">
      <formula>$X$47</formula>
    </cfRule>
    <cfRule type="cellIs" dxfId="694" priority="8" operator="equal">
      <formula>$X$47</formula>
    </cfRule>
  </conditionalFormatting>
  <conditionalFormatting sqref="Y44">
    <cfRule type="cellIs" dxfId="693" priority="5" operator="notEqual">
      <formula>$Y$47</formula>
    </cfRule>
    <cfRule type="cellIs" dxfId="692" priority="6" operator="equal">
      <formula>$Y$47</formula>
    </cfRule>
  </conditionalFormatting>
  <conditionalFormatting sqref="Z44">
    <cfRule type="cellIs" dxfId="691" priority="3" operator="notEqual">
      <formula>$Z$47</formula>
    </cfRule>
    <cfRule type="cellIs" dxfId="690" priority="4" operator="equal">
      <formula>$Z$47</formula>
    </cfRule>
  </conditionalFormatting>
  <conditionalFormatting sqref="AA44">
    <cfRule type="cellIs" dxfId="689" priority="1" operator="notEqual">
      <formula>$AA$47</formula>
    </cfRule>
    <cfRule type="cellIs" dxfId="688" priority="2" operator="equal">
      <formula>$AA$47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BEDB-BC09-4775-830B-BCBA3DA4B238}">
  <dimension ref="A1:AV475"/>
  <sheetViews>
    <sheetView showGridLines="0" topLeftCell="AF1" workbookViewId="0">
      <selection activeCell="AU16" sqref="AU16"/>
    </sheetView>
  </sheetViews>
  <sheetFormatPr defaultColWidth="9.109375" defaultRowHeight="11.25" customHeight="1" x14ac:dyDescent="0.3"/>
  <cols>
    <col min="1" max="1" width="19.109375" style="4" bestFit="1" customWidth="1"/>
    <col min="2" max="2" width="13.33203125" style="4" bestFit="1" customWidth="1"/>
    <col min="3" max="3" width="14.5546875" style="4" bestFit="1" customWidth="1"/>
    <col min="4" max="4" width="13.5546875" style="4" bestFit="1" customWidth="1"/>
    <col min="5" max="5" width="25.109375" style="4" bestFit="1" customWidth="1"/>
    <col min="6" max="6" width="12.88671875" style="4" bestFit="1" customWidth="1"/>
    <col min="7" max="7" width="11.33203125" style="4" bestFit="1" customWidth="1"/>
    <col min="8" max="8" width="10.33203125" style="4" bestFit="1" customWidth="1"/>
    <col min="9" max="9" width="12.109375" style="5" bestFit="1" customWidth="1"/>
    <col min="10" max="10" width="7" style="6" bestFit="1" customWidth="1"/>
    <col min="11" max="11" width="7.88671875" style="6" bestFit="1" customWidth="1"/>
    <col min="12" max="12" width="11.33203125" style="6" bestFit="1" customWidth="1"/>
    <col min="13" max="13" width="12.5546875" style="6" bestFit="1" customWidth="1"/>
    <col min="14" max="14" width="9.109375" style="6" bestFit="1" customWidth="1"/>
    <col min="15" max="15" width="10.44140625" style="6" bestFit="1" customWidth="1"/>
    <col min="16" max="16" width="7.6640625" style="6" bestFit="1" customWidth="1"/>
    <col min="17" max="17" width="11.109375" style="4" bestFit="1" customWidth="1"/>
    <col min="18" max="18" width="13.109375" style="4" bestFit="1" customWidth="1"/>
    <col min="19" max="19" width="23" style="4" bestFit="1" customWidth="1"/>
    <col min="20" max="20" width="24.44140625" style="4" bestFit="1" customWidth="1"/>
    <col min="21" max="21" width="22.33203125" style="4" bestFit="1" customWidth="1"/>
    <col min="22" max="22" width="15.88671875" style="4" bestFit="1" customWidth="1"/>
    <col min="23" max="23" width="17.33203125" style="4" bestFit="1" customWidth="1"/>
    <col min="24" max="24" width="15.109375" style="4" bestFit="1" customWidth="1"/>
    <col min="25" max="25" width="20.88671875" style="4" bestFit="1" customWidth="1"/>
    <col min="26" max="26" width="22.44140625" style="4" bestFit="1" customWidth="1"/>
    <col min="27" max="27" width="20.109375" style="4" bestFit="1" customWidth="1"/>
    <col min="28" max="28" width="23.33203125" style="4" bestFit="1" customWidth="1"/>
    <col min="29" max="29" width="24.6640625" style="4" bestFit="1" customWidth="1"/>
    <col min="30" max="30" width="22.5546875" style="4" bestFit="1" customWidth="1"/>
    <col min="31" max="31" width="24.109375" style="4" bestFit="1" customWidth="1"/>
    <col min="32" max="32" width="25.5546875" style="4" bestFit="1" customWidth="1"/>
    <col min="33" max="33" width="23.44140625" style="4" bestFit="1" customWidth="1"/>
    <col min="34" max="34" width="9.109375" style="4"/>
    <col min="35" max="35" width="9.33203125" style="4" bestFit="1" customWidth="1"/>
    <col min="36" max="36" width="14.5546875" style="4" bestFit="1" customWidth="1"/>
    <col min="37" max="37" width="15.44140625" style="4" bestFit="1" customWidth="1"/>
    <col min="38" max="38" width="9.33203125" style="4" bestFit="1" customWidth="1"/>
    <col min="39" max="39" width="9.109375" style="4"/>
    <col min="40" max="40" width="9.33203125" style="4" bestFit="1" customWidth="1"/>
    <col min="41" max="41" width="12.33203125" style="4" bestFit="1" customWidth="1"/>
    <col min="42" max="42" width="13.33203125" style="4" bestFit="1" customWidth="1"/>
    <col min="43" max="43" width="9.33203125" style="4" bestFit="1" customWidth="1"/>
    <col min="44" max="44" width="9.109375" style="4"/>
    <col min="45" max="45" width="9.33203125" style="4" bestFit="1" customWidth="1"/>
    <col min="46" max="47" width="10.88671875" style="4" bestFit="1" customWidth="1"/>
    <col min="48" max="48" width="9.33203125" style="4" bestFit="1" customWidth="1"/>
    <col min="49" max="16384" width="9.109375" style="4"/>
  </cols>
  <sheetData>
    <row r="1" spans="1:48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I1" s="52" t="s">
        <v>62</v>
      </c>
      <c r="AJ1" s="52" t="s">
        <v>642</v>
      </c>
      <c r="AK1" s="52" t="s">
        <v>643</v>
      </c>
      <c r="AL1" s="52" t="s">
        <v>644</v>
      </c>
      <c r="AN1" s="52" t="s">
        <v>62</v>
      </c>
      <c r="AO1" s="52" t="s">
        <v>645</v>
      </c>
      <c r="AP1" s="52" t="s">
        <v>646</v>
      </c>
      <c r="AQ1" s="52" t="s">
        <v>644</v>
      </c>
      <c r="AS1" s="52" t="s">
        <v>62</v>
      </c>
      <c r="AT1" s="52" t="s">
        <v>647</v>
      </c>
      <c r="AU1" s="52" t="s">
        <v>648</v>
      </c>
      <c r="AV1" s="52" t="s">
        <v>644</v>
      </c>
    </row>
    <row r="2" spans="1:48" ht="11.25" customHeight="1" x14ac:dyDescent="0.3">
      <c r="A2" s="4" t="s">
        <v>21</v>
      </c>
      <c r="B2" s="4" t="s">
        <v>37</v>
      </c>
      <c r="C2" s="4" t="s">
        <v>41</v>
      </c>
      <c r="D2" s="4" t="s">
        <v>40</v>
      </c>
      <c r="E2" s="4" t="s">
        <v>25</v>
      </c>
      <c r="F2" s="4" t="s">
        <v>25</v>
      </c>
      <c r="G2" s="4" t="s">
        <v>25</v>
      </c>
      <c r="H2" s="4" t="s">
        <v>34</v>
      </c>
      <c r="I2" s="5">
        <v>44287</v>
      </c>
      <c r="J2" s="6">
        <v>100</v>
      </c>
      <c r="K2" s="6">
        <v>100</v>
      </c>
      <c r="L2" s="6">
        <v>32.619</v>
      </c>
      <c r="M2" s="6">
        <v>32.619</v>
      </c>
      <c r="N2" s="6">
        <v>32.619</v>
      </c>
      <c r="O2" s="6">
        <v>32.619</v>
      </c>
      <c r="P2" s="6">
        <v>0</v>
      </c>
      <c r="Q2" s="4" t="s">
        <v>26</v>
      </c>
      <c r="R2" s="4">
        <v>0</v>
      </c>
      <c r="S2" s="6">
        <v>84</v>
      </c>
      <c r="T2" s="6">
        <v>80</v>
      </c>
      <c r="U2" s="6">
        <v>74</v>
      </c>
      <c r="V2" s="6">
        <f>IF(ISERROR(VLOOKUP($S$2,'TAR FIN'!$A$1:$O$85,15,0)),0,VLOOKUP($S$2,'TAR FIN'!$A$1:$O$85,15,0))</f>
        <v>74.41</v>
      </c>
      <c r="W2" s="6">
        <f>IF(ISERROR(VLOOKUP($T$2,'TAR FIN'!$A$1:$O$85,15,0)),0,VLOOKUP($T$2,'TAR FIN'!$A$1:$O$85,15,0))</f>
        <v>93.48</v>
      </c>
      <c r="X2" s="6">
        <f>IF(ISERROR(VLOOKUP($U$2,'TAR FIN'!$A$1:$O$85,15,0)),0,VLOOKUP($U$2,'TAR FIN'!$A$1:$O$85,15,0))</f>
        <v>240.29</v>
      </c>
      <c r="Y2" s="6">
        <f ca="1">('TUSD BE'!$AM$6+'TUSD BF'!$AM$6+'TUSD CVA'!$AM$6)*1</f>
        <v>81.040976339510664</v>
      </c>
      <c r="Z2" s="6">
        <f ca="1">('TUSD BE'!$AM$7+'TUSD BF'!$AM$7+'TUSD CVA'!$AM$7)*1</f>
        <v>133.17611987332398</v>
      </c>
      <c r="AA2" s="6">
        <f>('TE BE'!$AA$6+'TE BF'!$AA$6+'TE CVA'!$AA$6)*1</f>
        <v>330.73086315618451</v>
      </c>
      <c r="AB2" s="6">
        <f>$K$2*$V$2</f>
        <v>7441</v>
      </c>
      <c r="AC2" s="6">
        <f>$M$2*$W$2</f>
        <v>3049.2241200000003</v>
      </c>
      <c r="AD2" s="6">
        <f>$O$2*$X$2</f>
        <v>7838.0195100000001</v>
      </c>
      <c r="AE2" s="6">
        <f ca="1">$K$2*$Y$2</f>
        <v>8104.0976339510662</v>
      </c>
      <c r="AF2" s="6">
        <f ca="1">$M$2*$Z$2</f>
        <v>4344.0718541479546</v>
      </c>
      <c r="AG2" s="6">
        <f>$O$2*$AA$2</f>
        <v>10788.110025291582</v>
      </c>
      <c r="AI2" s="53" t="s">
        <v>37</v>
      </c>
      <c r="AJ2" s="54">
        <f>SUMIF($B$2:$B$475,AI2,$AB$2:$AB$475)+SUMIF($B$2:$B$475,AI2,$AC$2:$AC$475)</f>
        <v>2254990.0124687999</v>
      </c>
      <c r="AK2" s="54">
        <f ca="1">SUMIF($B$2:$B$475,AI2,$AE$2:$AE$475)+SUMIF($B$2:$B$475,AI2,$AF$2:$AF$475)</f>
        <v>2570633.5712135001</v>
      </c>
      <c r="AL2" s="55">
        <f t="shared" ref="AL2:AL9" ca="1" si="0">IF(AJ2&lt;&gt;0,AK2/AJ2-1,0)</f>
        <v>0.13997559057883735</v>
      </c>
      <c r="AN2" s="53" t="s">
        <v>37</v>
      </c>
      <c r="AO2" s="54">
        <f>SUMIF($B$2:$B$475,AN2,$AD$2:$AD$475)</f>
        <v>777907.09905039973</v>
      </c>
      <c r="AP2" s="54">
        <f>SUMIF($B$2:$B$475,AN2,$AG$2:$AG$475)</f>
        <v>1074217.4749561648</v>
      </c>
      <c r="AQ2" s="55">
        <f t="shared" ref="AQ2:AQ9" si="1">IF(AO2&lt;&gt;0,AP2/AO2-1,0)</f>
        <v>0.38090714979651774</v>
      </c>
      <c r="AS2" s="53" t="s">
        <v>37</v>
      </c>
      <c r="AT2" s="54">
        <f>SUMIF($B$2:$B$475,AS2,$AB$2:$AB$475)+SUMIF($B$2:$B$475,AS2,$AC$2:$AC$475)+SUMIF($B$2:$B$475,AS2,$AD$2:$AD$475)</f>
        <v>3032897.1115191998</v>
      </c>
      <c r="AU2" s="54">
        <f ca="1">SUMIF($B$2:$B$475,AS2,$AE$2:$AE$475)+SUMIF($B$2:$B$475,AS2,$AF$2:$AF$475)+SUMIF($B$2:$B$475,AS2,$AG$2:$AG$475)</f>
        <v>3644851.0461696647</v>
      </c>
      <c r="AV2" s="55">
        <f t="shared" ref="AV2:AV9" ca="1" si="2">IF(AT2&lt;&gt;0,AU2/AT2-1,0)</f>
        <v>0.20177207209773518</v>
      </c>
    </row>
    <row r="3" spans="1:48" ht="11.25" customHeight="1" x14ac:dyDescent="0.3">
      <c r="A3" s="4" t="s">
        <v>21</v>
      </c>
      <c r="B3" s="4" t="s">
        <v>37</v>
      </c>
      <c r="C3" s="4" t="s">
        <v>41</v>
      </c>
      <c r="D3" s="4" t="s">
        <v>40</v>
      </c>
      <c r="E3" s="4" t="s">
        <v>25</v>
      </c>
      <c r="F3" s="4" t="s">
        <v>25</v>
      </c>
      <c r="G3" s="4" t="s">
        <v>25</v>
      </c>
      <c r="H3" s="4" t="s">
        <v>34</v>
      </c>
      <c r="I3" s="5">
        <v>44317</v>
      </c>
      <c r="J3" s="6">
        <v>100</v>
      </c>
      <c r="K3" s="6">
        <v>100</v>
      </c>
      <c r="L3" s="6">
        <v>30.492000000000001</v>
      </c>
      <c r="M3" s="6">
        <v>30.492000000000001</v>
      </c>
      <c r="N3" s="6">
        <v>30.492000000000001</v>
      </c>
      <c r="O3" s="6">
        <v>30.492000000000001</v>
      </c>
      <c r="P3" s="6">
        <v>0</v>
      </c>
      <c r="Q3" s="4" t="s">
        <v>26</v>
      </c>
      <c r="R3" s="4">
        <v>0</v>
      </c>
      <c r="S3" s="6">
        <v>84</v>
      </c>
      <c r="T3" s="6">
        <v>80</v>
      </c>
      <c r="U3" s="6">
        <v>74</v>
      </c>
      <c r="V3" s="6">
        <f>IF(ISERROR(VLOOKUP($S$3,'TAR FIN'!$A$1:$O$85,15,0)),0,VLOOKUP($S$3,'TAR FIN'!$A$1:$O$85,15,0))</f>
        <v>74.41</v>
      </c>
      <c r="W3" s="6">
        <f>IF(ISERROR(VLOOKUP($T$3,'TAR FIN'!$A$1:$O$85,15,0)),0,VLOOKUP($T$3,'TAR FIN'!$A$1:$O$85,15,0))</f>
        <v>93.48</v>
      </c>
      <c r="X3" s="6">
        <f>IF(ISERROR(VLOOKUP($U$3,'TAR FIN'!$A$1:$O$85,15,0)),0,VLOOKUP($U$3,'TAR FIN'!$A$1:$O$85,15,0))</f>
        <v>240.29</v>
      </c>
      <c r="Y3" s="6">
        <f ca="1">('TUSD BE'!$AM$6+'TUSD BF'!$AM$6+'TUSD CVA'!$AM$6)*1</f>
        <v>81.040976339510664</v>
      </c>
      <c r="Z3" s="6">
        <f ca="1">('TUSD BE'!$AM$7+'TUSD BF'!$AM$7+'TUSD CVA'!$AM$7)*1</f>
        <v>133.17611987332398</v>
      </c>
      <c r="AA3" s="6">
        <f>('TE BE'!$AA$6+'TE BF'!$AA$6+'TE CVA'!$AA$6)*1</f>
        <v>330.73086315618451</v>
      </c>
      <c r="AB3" s="6">
        <f>$K$3*$V$3</f>
        <v>7441</v>
      </c>
      <c r="AC3" s="6">
        <f>$M$3*$W$3</f>
        <v>2850.3921600000003</v>
      </c>
      <c r="AD3" s="6">
        <f>$O$3*$X$3</f>
        <v>7326.9226799999997</v>
      </c>
      <c r="AE3" s="6">
        <f ca="1">$K$3*$Y$3</f>
        <v>8104.0976339510662</v>
      </c>
      <c r="AF3" s="6">
        <f ca="1">$M$3*$Z$3</f>
        <v>4060.8062471773951</v>
      </c>
      <c r="AG3" s="6">
        <f>$O$3*$AA$3</f>
        <v>10084.645479358378</v>
      </c>
      <c r="AI3" s="53" t="s">
        <v>22</v>
      </c>
      <c r="AJ3" s="54">
        <f>SUMIF($B$2:$B$475,AI3,$AB$2:$AB$475)+SUMIF($B$2:$B$475,AI3,$AC$2:$AC$475)</f>
        <v>8659226.4616800062</v>
      </c>
      <c r="AK3" s="54">
        <f ca="1">SUMIF($B$2:$B$475,AI3,$AE$2:$AE$475)+SUMIF($B$2:$B$475,AI3,$AF$2:$AF$475)</f>
        <v>9801171.3040376194</v>
      </c>
      <c r="AL3" s="55">
        <f t="shared" ca="1" si="0"/>
        <v>0.13187608008765039</v>
      </c>
      <c r="AN3" s="53" t="s">
        <v>22</v>
      </c>
      <c r="AO3" s="54">
        <f>SUMIF($B$2:$B$475,AN3,$AD$2:$AD$475)</f>
        <v>2401710.5784800001</v>
      </c>
      <c r="AP3" s="54">
        <f>SUMIF($B$2:$B$475,AN3,$AG$2:$AG$475)</f>
        <v>3305671.0507660136</v>
      </c>
      <c r="AQ3" s="55">
        <f t="shared" si="1"/>
        <v>0.37638193393731645</v>
      </c>
      <c r="AS3" s="53" t="s">
        <v>22</v>
      </c>
      <c r="AT3" s="54">
        <f>SUMIF($B$2:$B$475,AS3,$AB$2:$AB$475)+SUMIF($B$2:$B$475,AS3,$AC$2:$AC$475)+SUMIF($B$2:$B$475,AS3,$AD$2:$AD$475)</f>
        <v>11060937.040160006</v>
      </c>
      <c r="AU3" s="54">
        <f ca="1">SUMIF($B$2:$B$475,AS3,$AE$2:$AE$475)+SUMIF($B$2:$B$475,AS3,$AF$2:$AF$475)+SUMIF($B$2:$B$475,AS3,$AG$2:$AG$475)</f>
        <v>13106842.354803633</v>
      </c>
      <c r="AV3" s="55">
        <f t="shared" ca="1" si="2"/>
        <v>0.18496672634654399</v>
      </c>
    </row>
    <row r="4" spans="1:48" ht="11.25" customHeight="1" x14ac:dyDescent="0.3">
      <c r="A4" s="4" t="s">
        <v>21</v>
      </c>
      <c r="B4" s="4" t="s">
        <v>37</v>
      </c>
      <c r="C4" s="4" t="s">
        <v>41</v>
      </c>
      <c r="D4" s="4" t="s">
        <v>40</v>
      </c>
      <c r="E4" s="4" t="s">
        <v>25</v>
      </c>
      <c r="F4" s="4" t="s">
        <v>25</v>
      </c>
      <c r="G4" s="4" t="s">
        <v>25</v>
      </c>
      <c r="H4" s="4" t="s">
        <v>34</v>
      </c>
      <c r="I4" s="5">
        <v>44348</v>
      </c>
      <c r="J4" s="6">
        <v>100</v>
      </c>
      <c r="K4" s="6">
        <v>100</v>
      </c>
      <c r="L4" s="6">
        <v>26.829000000000001</v>
      </c>
      <c r="M4" s="6">
        <v>26.829000000000001</v>
      </c>
      <c r="N4" s="6">
        <v>26.829000000000001</v>
      </c>
      <c r="O4" s="6">
        <v>26.829000000000001</v>
      </c>
      <c r="P4" s="6">
        <v>0</v>
      </c>
      <c r="Q4" s="4" t="s">
        <v>26</v>
      </c>
      <c r="R4" s="4">
        <v>0</v>
      </c>
      <c r="S4" s="6">
        <v>84</v>
      </c>
      <c r="T4" s="6">
        <v>80</v>
      </c>
      <c r="U4" s="6">
        <v>74</v>
      </c>
      <c r="V4" s="6">
        <f>IF(ISERROR(VLOOKUP($S$4,'TAR FIN'!$A$1:$O$85,15,0)),0,VLOOKUP($S$4,'TAR FIN'!$A$1:$O$85,15,0))</f>
        <v>74.41</v>
      </c>
      <c r="W4" s="6">
        <f>IF(ISERROR(VLOOKUP($T$4,'TAR FIN'!$A$1:$O$85,15,0)),0,VLOOKUP($T$4,'TAR FIN'!$A$1:$O$85,15,0))</f>
        <v>93.48</v>
      </c>
      <c r="X4" s="6">
        <f>IF(ISERROR(VLOOKUP($U$4,'TAR FIN'!$A$1:$O$85,15,0)),0,VLOOKUP($U$4,'TAR FIN'!$A$1:$O$85,15,0))</f>
        <v>240.29</v>
      </c>
      <c r="Y4" s="6">
        <f ca="1">('TUSD BE'!$AM$6+'TUSD BF'!$AM$6+'TUSD CVA'!$AM$6)*1</f>
        <v>81.040976339510664</v>
      </c>
      <c r="Z4" s="6">
        <f ca="1">('TUSD BE'!$AM$7+'TUSD BF'!$AM$7+'TUSD CVA'!$AM$7)*1</f>
        <v>133.17611987332398</v>
      </c>
      <c r="AA4" s="6">
        <f>('TE BE'!$AA$6+'TE BF'!$AA$6+'TE CVA'!$AA$6)*1</f>
        <v>330.73086315618451</v>
      </c>
      <c r="AB4" s="6">
        <f>$K$4*$V$4</f>
        <v>7441</v>
      </c>
      <c r="AC4" s="6">
        <f>$M$4*$W$4</f>
        <v>2507.9749200000001</v>
      </c>
      <c r="AD4" s="6">
        <f>$O$4*$X$4</f>
        <v>6446.7404100000003</v>
      </c>
      <c r="AE4" s="6">
        <f ca="1">$K$4*$Y$4</f>
        <v>8104.0976339510662</v>
      </c>
      <c r="AF4" s="6">
        <f ca="1">$M$4*$Z$4</f>
        <v>3572.9821200814094</v>
      </c>
      <c r="AG4" s="6">
        <f>$O$4*$AA$4</f>
        <v>8873.1783276172737</v>
      </c>
      <c r="AI4" s="53" t="s">
        <v>43</v>
      </c>
      <c r="AJ4" s="54">
        <f>SUMIF($B$2:$B$475,AI4,$AB$2:$AB$475)+SUMIF($B$2:$B$475,AI4,$AC$2:$AC$475)</f>
        <v>454182.43325399997</v>
      </c>
      <c r="AK4" s="54">
        <f ca="1">SUMIF($B$2:$B$475,AI4,$AE$2:$AE$475)+SUMIF($B$2:$B$475,AI4,$AF$2:$AF$475)</f>
        <v>549294.76371210942</v>
      </c>
      <c r="AL4" s="55">
        <f t="shared" ca="1" si="0"/>
        <v>0.20941437513704586</v>
      </c>
      <c r="AN4" s="53" t="s">
        <v>43</v>
      </c>
      <c r="AO4" s="54">
        <f>SUMIF($B$2:$B$475,AN4,$AD$2:$AD$475)</f>
        <v>125825.59359599999</v>
      </c>
      <c r="AP4" s="54">
        <f>SUMIF($B$2:$B$475,AN4,$AG$2:$AG$475)</f>
        <v>184987.90667982455</v>
      </c>
      <c r="AQ4" s="55">
        <f t="shared" si="1"/>
        <v>0.47019299804602976</v>
      </c>
      <c r="AS4" s="53" t="s">
        <v>43</v>
      </c>
      <c r="AT4" s="54">
        <f>SUMIF($B$2:$B$475,AS4,$AB$2:$AB$475)+SUMIF($B$2:$B$475,AS4,$AC$2:$AC$475)+SUMIF($B$2:$B$475,AS4,$AD$2:$AD$475)</f>
        <v>580008.02685000002</v>
      </c>
      <c r="AU4" s="54">
        <f ca="1">SUMIF($B$2:$B$475,AS4,$AE$2:$AE$475)+SUMIF($B$2:$B$475,AS4,$AF$2:$AF$475)+SUMIF($B$2:$B$475,AS4,$AG$2:$AG$475)</f>
        <v>734282.67039193399</v>
      </c>
      <c r="AV4" s="55">
        <f t="shared" ca="1" si="2"/>
        <v>0.26598708362674439</v>
      </c>
    </row>
    <row r="5" spans="1:48" ht="11.25" customHeight="1" x14ac:dyDescent="0.3">
      <c r="A5" s="4" t="s">
        <v>21</v>
      </c>
      <c r="B5" s="4" t="s">
        <v>37</v>
      </c>
      <c r="C5" s="4" t="s">
        <v>41</v>
      </c>
      <c r="D5" s="4" t="s">
        <v>40</v>
      </c>
      <c r="E5" s="4" t="s">
        <v>25</v>
      </c>
      <c r="F5" s="4" t="s">
        <v>25</v>
      </c>
      <c r="G5" s="4" t="s">
        <v>25</v>
      </c>
      <c r="H5" s="4" t="s">
        <v>34</v>
      </c>
      <c r="I5" s="5">
        <v>44378</v>
      </c>
      <c r="J5" s="6">
        <v>100</v>
      </c>
      <c r="K5" s="6">
        <v>100</v>
      </c>
      <c r="L5" s="6">
        <v>25.114000000000001</v>
      </c>
      <c r="M5" s="6">
        <v>25.114000000000001</v>
      </c>
      <c r="N5" s="6">
        <v>25.114000000000001</v>
      </c>
      <c r="O5" s="6">
        <v>25.114000000000001</v>
      </c>
      <c r="P5" s="6">
        <v>0</v>
      </c>
      <c r="Q5" s="4" t="s">
        <v>26</v>
      </c>
      <c r="R5" s="4">
        <v>0</v>
      </c>
      <c r="S5" s="6">
        <v>84</v>
      </c>
      <c r="T5" s="6">
        <v>80</v>
      </c>
      <c r="U5" s="6">
        <v>74</v>
      </c>
      <c r="V5" s="6">
        <f>IF(ISERROR(VLOOKUP($S$5,'TAR FIN'!$A$1:$O$85,15,0)),0,VLOOKUP($S$5,'TAR FIN'!$A$1:$O$85,15,0))</f>
        <v>74.41</v>
      </c>
      <c r="W5" s="6">
        <f>IF(ISERROR(VLOOKUP($T$5,'TAR FIN'!$A$1:$O$85,15,0)),0,VLOOKUP($T$5,'TAR FIN'!$A$1:$O$85,15,0))</f>
        <v>93.48</v>
      </c>
      <c r="X5" s="6">
        <f>IF(ISERROR(VLOOKUP($U$5,'TAR FIN'!$A$1:$O$85,15,0)),0,VLOOKUP($U$5,'TAR FIN'!$A$1:$O$85,15,0))</f>
        <v>240.29</v>
      </c>
      <c r="Y5" s="6">
        <f ca="1">('TUSD BE'!$AM$6+'TUSD BF'!$AM$6+'TUSD CVA'!$AM$6)*1</f>
        <v>81.040976339510664</v>
      </c>
      <c r="Z5" s="6">
        <f ca="1">('TUSD BE'!$AM$7+'TUSD BF'!$AM$7+'TUSD CVA'!$AM$7)*1</f>
        <v>133.17611987332398</v>
      </c>
      <c r="AA5" s="6">
        <f>('TE BE'!$AA$6+'TE BF'!$AA$6+'TE CVA'!$AA$6)*1</f>
        <v>330.73086315618451</v>
      </c>
      <c r="AB5" s="6">
        <f>$K$5*$V$5</f>
        <v>7441</v>
      </c>
      <c r="AC5" s="6">
        <f>$M$5*$W$5</f>
        <v>2347.65672</v>
      </c>
      <c r="AD5" s="6">
        <f>$O$5*$X$5</f>
        <v>6034.6430600000003</v>
      </c>
      <c r="AE5" s="6">
        <f ca="1">$K$5*$Y$5</f>
        <v>8104.0976339510662</v>
      </c>
      <c r="AF5" s="6">
        <f ca="1">$M$5*$Z$5</f>
        <v>3344.5850744986587</v>
      </c>
      <c r="AG5" s="6">
        <f>$O$5*$AA$5</f>
        <v>8305.9748973044188</v>
      </c>
      <c r="AI5" s="53" t="s">
        <v>35</v>
      </c>
      <c r="AJ5" s="54">
        <f>SUMIF($B$2:$B$475,AI5,$AB$2:$AB$475)+SUMIF($B$2:$B$475,AI5,$AC$2:$AC$475)</f>
        <v>1553855.3216287997</v>
      </c>
      <c r="AK5" s="54">
        <f ca="1">SUMIF($B$2:$B$475,AI5,$AE$2:$AE$475)+SUMIF($B$2:$B$475,AI5,$AF$2:$AF$475)</f>
        <v>1764659.1057174259</v>
      </c>
      <c r="AL5" s="55">
        <f t="shared" ca="1" si="0"/>
        <v>0.13566500120980063</v>
      </c>
      <c r="AN5" s="53" t="s">
        <v>35</v>
      </c>
      <c r="AO5" s="54">
        <f>SUMIF($B$2:$B$475,AN5,$AD$2:$AD$475)</f>
        <v>430486.20545039984</v>
      </c>
      <c r="AP5" s="54">
        <f>SUMIF($B$2:$B$475,AN5,$AG$2:$AG$475)</f>
        <v>594319.84872989671</v>
      </c>
      <c r="AQ5" s="55">
        <f t="shared" si="1"/>
        <v>0.38057814909094367</v>
      </c>
      <c r="AS5" s="53" t="s">
        <v>35</v>
      </c>
      <c r="AT5" s="54">
        <f>SUMIF($B$2:$B$475,AS5,$AB$2:$AB$475)+SUMIF($B$2:$B$475,AS5,$AC$2:$AC$475)+SUMIF($B$2:$B$475,AS5,$AD$2:$AD$475)</f>
        <v>1984341.5270791994</v>
      </c>
      <c r="AU5" s="54">
        <f ca="1">SUMIF($B$2:$B$475,AS5,$AE$2:$AE$475)+SUMIF($B$2:$B$475,AS5,$AF$2:$AF$475)+SUMIF($B$2:$B$475,AS5,$AG$2:$AG$475)</f>
        <v>2358978.9544473225</v>
      </c>
      <c r="AV5" s="55">
        <f t="shared" ca="1" si="2"/>
        <v>0.18879684885673931</v>
      </c>
    </row>
    <row r="6" spans="1:48" ht="11.25" customHeight="1" x14ac:dyDescent="0.3">
      <c r="A6" s="4" t="s">
        <v>21</v>
      </c>
      <c r="B6" s="4" t="s">
        <v>37</v>
      </c>
      <c r="C6" s="4" t="s">
        <v>41</v>
      </c>
      <c r="D6" s="4" t="s">
        <v>40</v>
      </c>
      <c r="E6" s="4" t="s">
        <v>25</v>
      </c>
      <c r="F6" s="4" t="s">
        <v>25</v>
      </c>
      <c r="G6" s="4" t="s">
        <v>25</v>
      </c>
      <c r="H6" s="4" t="s">
        <v>34</v>
      </c>
      <c r="I6" s="5">
        <v>44409</v>
      </c>
      <c r="J6" s="6">
        <v>100</v>
      </c>
      <c r="K6" s="6">
        <v>100</v>
      </c>
      <c r="L6" s="6">
        <v>27.245000000000001</v>
      </c>
      <c r="M6" s="6">
        <v>27.245000000000001</v>
      </c>
      <c r="N6" s="6">
        <v>27.245000000000001</v>
      </c>
      <c r="O6" s="6">
        <v>27.245000000000001</v>
      </c>
      <c r="P6" s="6">
        <v>0</v>
      </c>
      <c r="Q6" s="4" t="s">
        <v>26</v>
      </c>
      <c r="R6" s="4">
        <v>0</v>
      </c>
      <c r="S6" s="6">
        <v>84</v>
      </c>
      <c r="T6" s="6">
        <v>80</v>
      </c>
      <c r="U6" s="6">
        <v>74</v>
      </c>
      <c r="V6" s="6">
        <f>IF(ISERROR(VLOOKUP($S$6,'TAR FIN'!$A$1:$O$85,15,0)),0,VLOOKUP($S$6,'TAR FIN'!$A$1:$O$85,15,0))</f>
        <v>74.41</v>
      </c>
      <c r="W6" s="6">
        <f>IF(ISERROR(VLOOKUP($T$6,'TAR FIN'!$A$1:$O$85,15,0)),0,VLOOKUP($T$6,'TAR FIN'!$A$1:$O$85,15,0))</f>
        <v>93.48</v>
      </c>
      <c r="X6" s="6">
        <f>IF(ISERROR(VLOOKUP($U$6,'TAR FIN'!$A$1:$O$85,15,0)),0,VLOOKUP($U$6,'TAR FIN'!$A$1:$O$85,15,0))</f>
        <v>240.29</v>
      </c>
      <c r="Y6" s="6">
        <f ca="1">('TUSD BE'!$AM$6+'TUSD BF'!$AM$6+'TUSD CVA'!$AM$6)*1</f>
        <v>81.040976339510664</v>
      </c>
      <c r="Z6" s="6">
        <f ca="1">('TUSD BE'!$AM$7+'TUSD BF'!$AM$7+'TUSD CVA'!$AM$7)*1</f>
        <v>133.17611987332398</v>
      </c>
      <c r="AA6" s="6">
        <f>('TE BE'!$AA$6+'TE BF'!$AA$6+'TE CVA'!$AA$6)*1</f>
        <v>330.73086315618451</v>
      </c>
      <c r="AB6" s="6">
        <f>$K$6*$V$6</f>
        <v>7441</v>
      </c>
      <c r="AC6" s="6">
        <f>$M$6*$W$6</f>
        <v>2546.8626000000004</v>
      </c>
      <c r="AD6" s="6">
        <f>$O$6*$X$6</f>
        <v>6546.7010499999997</v>
      </c>
      <c r="AE6" s="6">
        <f ca="1">$K$6*$Y$6</f>
        <v>8104.0976339510662</v>
      </c>
      <c r="AF6" s="6">
        <f ca="1">$M$6*$Z$6</f>
        <v>3628.3833859487122</v>
      </c>
      <c r="AG6" s="6">
        <f>$O$6*$AA$6</f>
        <v>9010.7623666902473</v>
      </c>
      <c r="AI6" s="53" t="s">
        <v>46</v>
      </c>
      <c r="AJ6" s="54">
        <f>SUMIF($B$2:$B$475,AI6,$AB$2:$AB$475)+SUMIF($B$2:$B$475,AI6,$AC$2:$AC$475)</f>
        <v>1509616.2969599999</v>
      </c>
      <c r="AK6" s="54">
        <f ca="1">SUMIF($B$2:$B$475,AI6,$AE$2:$AE$475)+SUMIF($B$2:$B$475,AI6,$AF$2:$AF$475)</f>
        <v>1709200.875562524</v>
      </c>
      <c r="AL6" s="55">
        <f t="shared" ca="1" si="0"/>
        <v>0.13220881293109965</v>
      </c>
      <c r="AN6" s="53" t="s">
        <v>46</v>
      </c>
      <c r="AO6" s="54">
        <f>SUMIF($B$2:$B$475,AN6,$AD$2:$AD$475)</f>
        <v>418209.21856000001</v>
      </c>
      <c r="AP6" s="54">
        <f>SUMIF($B$2:$B$475,AN6,$AG$2:$AG$475)</f>
        <v>575613.51928588247</v>
      </c>
      <c r="AQ6" s="55">
        <f t="shared" si="1"/>
        <v>0.37637692748109486</v>
      </c>
      <c r="AS6" s="53" t="s">
        <v>46</v>
      </c>
      <c r="AT6" s="54">
        <f>SUMIF($B$2:$B$475,AS6,$AB$2:$AB$475)+SUMIF($B$2:$B$475,AS6,$AC$2:$AC$475)+SUMIF($B$2:$B$475,AS6,$AD$2:$AD$475)</f>
        <v>1927825.5155199999</v>
      </c>
      <c r="AU6" s="54">
        <f ca="1">SUMIF($B$2:$B$475,AS6,$AE$2:$AE$475)+SUMIF($B$2:$B$475,AS6,$AF$2:$AF$475)+SUMIF($B$2:$B$475,AS6,$AG$2:$AG$475)</f>
        <v>2284814.3948484063</v>
      </c>
      <c r="AV6" s="55">
        <f t="shared" ca="1" si="2"/>
        <v>0.18517696568203923</v>
      </c>
    </row>
    <row r="7" spans="1:48" ht="11.25" customHeight="1" x14ac:dyDescent="0.3">
      <c r="A7" s="4" t="s">
        <v>21</v>
      </c>
      <c r="B7" s="4" t="s">
        <v>37</v>
      </c>
      <c r="C7" s="4" t="s">
        <v>41</v>
      </c>
      <c r="D7" s="4" t="s">
        <v>40</v>
      </c>
      <c r="E7" s="4" t="s">
        <v>25</v>
      </c>
      <c r="F7" s="4" t="s">
        <v>25</v>
      </c>
      <c r="G7" s="4" t="s">
        <v>25</v>
      </c>
      <c r="H7" s="4" t="s">
        <v>34</v>
      </c>
      <c r="I7" s="5">
        <v>44440</v>
      </c>
      <c r="J7" s="6">
        <v>100</v>
      </c>
      <c r="K7" s="6">
        <v>100</v>
      </c>
      <c r="L7" s="6">
        <v>30.143999999999998</v>
      </c>
      <c r="M7" s="6">
        <v>30.143999999999998</v>
      </c>
      <c r="N7" s="6">
        <v>30.143999999999998</v>
      </c>
      <c r="O7" s="6">
        <v>30.143999999999998</v>
      </c>
      <c r="P7" s="6">
        <v>0</v>
      </c>
      <c r="Q7" s="4" t="s">
        <v>26</v>
      </c>
      <c r="R7" s="4">
        <v>0</v>
      </c>
      <c r="S7" s="6">
        <v>84</v>
      </c>
      <c r="T7" s="6">
        <v>80</v>
      </c>
      <c r="U7" s="6">
        <v>74</v>
      </c>
      <c r="V7" s="6">
        <f>IF(ISERROR(VLOOKUP($S$7,'TAR FIN'!$A$1:$O$85,15,0)),0,VLOOKUP($S$7,'TAR FIN'!$A$1:$O$85,15,0))</f>
        <v>74.41</v>
      </c>
      <c r="W7" s="6">
        <f>IF(ISERROR(VLOOKUP($T$7,'TAR FIN'!$A$1:$O$85,15,0)),0,VLOOKUP($T$7,'TAR FIN'!$A$1:$O$85,15,0))</f>
        <v>93.48</v>
      </c>
      <c r="X7" s="6">
        <f>IF(ISERROR(VLOOKUP($U$7,'TAR FIN'!$A$1:$O$85,15,0)),0,VLOOKUP($U$7,'TAR FIN'!$A$1:$O$85,15,0))</f>
        <v>240.29</v>
      </c>
      <c r="Y7" s="6">
        <f ca="1">('TUSD BE'!$AM$6+'TUSD BF'!$AM$6+'TUSD CVA'!$AM$6)*1</f>
        <v>81.040976339510664</v>
      </c>
      <c r="Z7" s="6">
        <f ca="1">('TUSD BE'!$AM$7+'TUSD BF'!$AM$7+'TUSD CVA'!$AM$7)*1</f>
        <v>133.17611987332398</v>
      </c>
      <c r="AA7" s="6">
        <f>('TE BE'!$AA$6+'TE BF'!$AA$6+'TE CVA'!$AA$6)*1</f>
        <v>330.73086315618451</v>
      </c>
      <c r="AB7" s="6">
        <f>$K$7*$V$7</f>
        <v>7441</v>
      </c>
      <c r="AC7" s="6">
        <f>$M$7*$W$7</f>
        <v>2817.86112</v>
      </c>
      <c r="AD7" s="6">
        <f>$O$7*$X$7</f>
        <v>7243.3017599999994</v>
      </c>
      <c r="AE7" s="6">
        <f ca="1">$K$7*$Y$7</f>
        <v>8104.0976339510662</v>
      </c>
      <c r="AF7" s="6">
        <f ca="1">$M$7*$Z$7</f>
        <v>4014.4609574614778</v>
      </c>
      <c r="AG7" s="6">
        <f>$O$7*$AA$7</f>
        <v>9969.5511389800249</v>
      </c>
      <c r="AI7" s="53" t="s">
        <v>649</v>
      </c>
      <c r="AJ7" s="54">
        <f>+$AJ$2</f>
        <v>2254990.0124687999</v>
      </c>
      <c r="AK7" s="54">
        <f ca="1">+$AK$2</f>
        <v>2570633.5712135001</v>
      </c>
      <c r="AL7" s="55">
        <f t="shared" ca="1" si="0"/>
        <v>0.13997559057883735</v>
      </c>
      <c r="AN7" s="53" t="s">
        <v>649</v>
      </c>
      <c r="AO7" s="54">
        <f>+$AO$2</f>
        <v>777907.09905039973</v>
      </c>
      <c r="AP7" s="54">
        <f>+$AP$2</f>
        <v>1074217.4749561648</v>
      </c>
      <c r="AQ7" s="55">
        <f t="shared" si="1"/>
        <v>0.38090714979651774</v>
      </c>
      <c r="AS7" s="53" t="s">
        <v>649</v>
      </c>
      <c r="AT7" s="54">
        <f>+$AT$2</f>
        <v>3032897.1115191998</v>
      </c>
      <c r="AU7" s="54">
        <f ca="1">+$AU$2</f>
        <v>3644851.0461696647</v>
      </c>
      <c r="AV7" s="55">
        <f t="shared" ca="1" si="2"/>
        <v>0.20177207209773518</v>
      </c>
    </row>
    <row r="8" spans="1:48" ht="11.25" customHeight="1" x14ac:dyDescent="0.3">
      <c r="A8" s="4" t="s">
        <v>21</v>
      </c>
      <c r="B8" s="4" t="s">
        <v>37</v>
      </c>
      <c r="C8" s="4" t="s">
        <v>41</v>
      </c>
      <c r="D8" s="4" t="s">
        <v>40</v>
      </c>
      <c r="E8" s="4" t="s">
        <v>25</v>
      </c>
      <c r="F8" s="4" t="s">
        <v>25</v>
      </c>
      <c r="G8" s="4" t="s">
        <v>25</v>
      </c>
      <c r="H8" s="4" t="s">
        <v>34</v>
      </c>
      <c r="I8" s="5">
        <v>44470</v>
      </c>
      <c r="J8" s="6">
        <v>100</v>
      </c>
      <c r="K8" s="6">
        <v>100</v>
      </c>
      <c r="L8" s="6">
        <v>30.068999999999999</v>
      </c>
      <c r="M8" s="6">
        <v>30.068999999999999</v>
      </c>
      <c r="N8" s="6">
        <v>30.068999999999999</v>
      </c>
      <c r="O8" s="6">
        <v>30.068999999999999</v>
      </c>
      <c r="P8" s="6">
        <v>0</v>
      </c>
      <c r="Q8" s="4" t="s">
        <v>26</v>
      </c>
      <c r="R8" s="4">
        <v>0</v>
      </c>
      <c r="S8" s="6">
        <v>84</v>
      </c>
      <c r="T8" s="6">
        <v>80</v>
      </c>
      <c r="U8" s="6">
        <v>74</v>
      </c>
      <c r="V8" s="6">
        <f>IF(ISERROR(VLOOKUP($S$8,'TAR FIN'!$A$1:$O$85,15,0)),0,VLOOKUP($S$8,'TAR FIN'!$A$1:$O$85,15,0))</f>
        <v>74.41</v>
      </c>
      <c r="W8" s="6">
        <f>IF(ISERROR(VLOOKUP($T$8,'TAR FIN'!$A$1:$O$85,15,0)),0,VLOOKUP($T$8,'TAR FIN'!$A$1:$O$85,15,0))</f>
        <v>93.48</v>
      </c>
      <c r="X8" s="6">
        <f>IF(ISERROR(VLOOKUP($U$8,'TAR FIN'!$A$1:$O$85,15,0)),0,VLOOKUP($U$8,'TAR FIN'!$A$1:$O$85,15,0))</f>
        <v>240.29</v>
      </c>
      <c r="Y8" s="6">
        <f ca="1">('TUSD BE'!$AM$6+'TUSD BF'!$AM$6+'TUSD CVA'!$AM$6)*1</f>
        <v>81.040976339510664</v>
      </c>
      <c r="Z8" s="6">
        <f ca="1">('TUSD BE'!$AM$7+'TUSD BF'!$AM$7+'TUSD CVA'!$AM$7)*1</f>
        <v>133.17611987332398</v>
      </c>
      <c r="AA8" s="6">
        <f>('TE BE'!$AA$6+'TE BF'!$AA$6+'TE CVA'!$AA$6)*1</f>
        <v>330.73086315618451</v>
      </c>
      <c r="AB8" s="6">
        <f>$K$8*$V$8</f>
        <v>7441</v>
      </c>
      <c r="AC8" s="6">
        <f>$M$8*$W$8</f>
        <v>2810.8501200000001</v>
      </c>
      <c r="AD8" s="6">
        <f>$O$8*$X$8</f>
        <v>7225.2800099999995</v>
      </c>
      <c r="AE8" s="6">
        <f ca="1">$K$8*$Y$8</f>
        <v>8104.0976339510662</v>
      </c>
      <c r="AF8" s="6">
        <f ca="1">$M$8*$Z$8</f>
        <v>4004.4727484709788</v>
      </c>
      <c r="AG8" s="6">
        <f>$O$8*$AA$8</f>
        <v>9944.7463242433114</v>
      </c>
      <c r="AI8" s="53" t="s">
        <v>82</v>
      </c>
      <c r="AJ8" s="54">
        <f>+$AJ$3+$AJ$4+$AJ$5+$AJ$6</f>
        <v>12176880.513522806</v>
      </c>
      <c r="AK8" s="54">
        <f ca="1">+$AK$3+$AK$4+$AK$5+$AK$6</f>
        <v>13824326.04902968</v>
      </c>
      <c r="AL8" s="55">
        <f t="shared" ca="1" si="0"/>
        <v>0.13529290475317834</v>
      </c>
      <c r="AN8" s="53" t="s">
        <v>82</v>
      </c>
      <c r="AO8" s="54">
        <f>+$AO$3+$AO$4+$AO$5+$AO$6</f>
        <v>3376231.5960863996</v>
      </c>
      <c r="AP8" s="54">
        <f>+$AP$3+$AP$4+$AP$5+$AP$6</f>
        <v>4660592.3254616177</v>
      </c>
      <c r="AQ8" s="55">
        <f t="shared" si="1"/>
        <v>0.38041250809452776</v>
      </c>
      <c r="AS8" s="53" t="s">
        <v>82</v>
      </c>
      <c r="AT8" s="54">
        <f>+$AT$3+$AT$4+$AT$5+$AT$6</f>
        <v>15553112.109609205</v>
      </c>
      <c r="AU8" s="54">
        <f ca="1">+$AU$3+$AU$4+$AU$5+$AU$6</f>
        <v>18484918.374491297</v>
      </c>
      <c r="AV8" s="55">
        <f t="shared" ca="1" si="2"/>
        <v>0.18850286966495466</v>
      </c>
    </row>
    <row r="9" spans="1:48" ht="11.25" customHeight="1" x14ac:dyDescent="0.3">
      <c r="A9" s="4" t="s">
        <v>21</v>
      </c>
      <c r="B9" s="4" t="s">
        <v>37</v>
      </c>
      <c r="C9" s="4" t="s">
        <v>41</v>
      </c>
      <c r="D9" s="4" t="s">
        <v>40</v>
      </c>
      <c r="E9" s="4" t="s">
        <v>25</v>
      </c>
      <c r="F9" s="4" t="s">
        <v>25</v>
      </c>
      <c r="G9" s="4" t="s">
        <v>25</v>
      </c>
      <c r="H9" s="4" t="s">
        <v>34</v>
      </c>
      <c r="I9" s="5">
        <v>44501</v>
      </c>
      <c r="J9" s="6">
        <v>100</v>
      </c>
      <c r="K9" s="6">
        <v>100</v>
      </c>
      <c r="L9" s="6">
        <v>31.263000000000002</v>
      </c>
      <c r="M9" s="6">
        <v>31.263000000000002</v>
      </c>
      <c r="N9" s="6">
        <v>31.263000000000002</v>
      </c>
      <c r="O9" s="6">
        <v>31.263000000000002</v>
      </c>
      <c r="P9" s="6">
        <v>0</v>
      </c>
      <c r="Q9" s="4" t="s">
        <v>26</v>
      </c>
      <c r="R9" s="4">
        <v>0</v>
      </c>
      <c r="S9" s="6">
        <v>84</v>
      </c>
      <c r="T9" s="6">
        <v>80</v>
      </c>
      <c r="U9" s="6">
        <v>74</v>
      </c>
      <c r="V9" s="6">
        <f>IF(ISERROR(VLOOKUP($S$9,'TAR FIN'!$A$1:$O$85,15,0)),0,VLOOKUP($S$9,'TAR FIN'!$A$1:$O$85,15,0))</f>
        <v>74.41</v>
      </c>
      <c r="W9" s="6">
        <f>IF(ISERROR(VLOOKUP($T$9,'TAR FIN'!$A$1:$O$85,15,0)),0,VLOOKUP($T$9,'TAR FIN'!$A$1:$O$85,15,0))</f>
        <v>93.48</v>
      </c>
      <c r="X9" s="6">
        <f>IF(ISERROR(VLOOKUP($U$9,'TAR FIN'!$A$1:$O$85,15,0)),0,VLOOKUP($U$9,'TAR FIN'!$A$1:$O$85,15,0))</f>
        <v>240.29</v>
      </c>
      <c r="Y9" s="6">
        <f ca="1">('TUSD BE'!$AM$6+'TUSD BF'!$AM$6+'TUSD CVA'!$AM$6)*1</f>
        <v>81.040976339510664</v>
      </c>
      <c r="Z9" s="6">
        <f ca="1">('TUSD BE'!$AM$7+'TUSD BF'!$AM$7+'TUSD CVA'!$AM$7)*1</f>
        <v>133.17611987332398</v>
      </c>
      <c r="AA9" s="6">
        <f>('TE BE'!$AA$6+'TE BF'!$AA$6+'TE CVA'!$AA$6)*1</f>
        <v>330.73086315618451</v>
      </c>
      <c r="AB9" s="6">
        <f>$K$9*$V$9</f>
        <v>7441</v>
      </c>
      <c r="AC9" s="6">
        <f>$M$9*$W$9</f>
        <v>2922.4652400000004</v>
      </c>
      <c r="AD9" s="6">
        <f>$O$9*$X$9</f>
        <v>7512.1862700000001</v>
      </c>
      <c r="AE9" s="6">
        <f ca="1">$K$9*$Y$9</f>
        <v>8104.0976339510662</v>
      </c>
      <c r="AF9" s="6">
        <f ca="1">$M$9*$Z$9</f>
        <v>4163.4850355997278</v>
      </c>
      <c r="AG9" s="6">
        <f>$O$9*$AA$9</f>
        <v>10339.638974851798</v>
      </c>
      <c r="AI9" s="53" t="s">
        <v>650</v>
      </c>
      <c r="AJ9" s="54">
        <f>AJ8+AJ7</f>
        <v>14431870.525991606</v>
      </c>
      <c r="AK9" s="54">
        <f ca="1">AK8+AK7</f>
        <v>16394959.620243181</v>
      </c>
      <c r="AL9" s="55">
        <f t="shared" ca="1" si="0"/>
        <v>0.13602457773689691</v>
      </c>
      <c r="AN9" s="53" t="s">
        <v>650</v>
      </c>
      <c r="AO9" s="54">
        <f>AO8+AO7</f>
        <v>4154138.6951367995</v>
      </c>
      <c r="AP9" s="54">
        <f>AP8+AP7</f>
        <v>5734809.8004177827</v>
      </c>
      <c r="AQ9" s="55">
        <f t="shared" si="1"/>
        <v>0.38050513506721773</v>
      </c>
      <c r="AS9" s="53" t="s">
        <v>650</v>
      </c>
      <c r="AT9" s="54">
        <f>AT8+AT7</f>
        <v>18586009.221128404</v>
      </c>
      <c r="AU9" s="54">
        <f ca="1">AU8+AU7</f>
        <v>22129769.420660961</v>
      </c>
      <c r="AV9" s="55">
        <f t="shared" ca="1" si="2"/>
        <v>0.19066816105439366</v>
      </c>
    </row>
    <row r="10" spans="1:48" ht="11.25" customHeight="1" x14ac:dyDescent="0.3">
      <c r="A10" s="4" t="s">
        <v>21</v>
      </c>
      <c r="B10" s="4" t="s">
        <v>37</v>
      </c>
      <c r="C10" s="4" t="s">
        <v>41</v>
      </c>
      <c r="D10" s="4" t="s">
        <v>40</v>
      </c>
      <c r="E10" s="4" t="s">
        <v>25</v>
      </c>
      <c r="F10" s="4" t="s">
        <v>25</v>
      </c>
      <c r="G10" s="4" t="s">
        <v>25</v>
      </c>
      <c r="H10" s="4" t="s">
        <v>34</v>
      </c>
      <c r="I10" s="5">
        <v>44531</v>
      </c>
      <c r="J10" s="6">
        <v>100</v>
      </c>
      <c r="K10" s="6">
        <v>100</v>
      </c>
      <c r="L10" s="6">
        <v>36.128999999999998</v>
      </c>
      <c r="M10" s="6">
        <v>36.128999999999998</v>
      </c>
      <c r="N10" s="6">
        <v>36.128999999999998</v>
      </c>
      <c r="O10" s="6">
        <v>36.128999999999998</v>
      </c>
      <c r="P10" s="6">
        <v>0</v>
      </c>
      <c r="Q10" s="4" t="s">
        <v>26</v>
      </c>
      <c r="R10" s="4">
        <v>0</v>
      </c>
      <c r="S10" s="6">
        <v>84</v>
      </c>
      <c r="T10" s="6">
        <v>80</v>
      </c>
      <c r="U10" s="6">
        <v>74</v>
      </c>
      <c r="V10" s="6">
        <f>IF(ISERROR(VLOOKUP($S$10,'TAR FIN'!$A$1:$O$85,15,0)),0,VLOOKUP($S$10,'TAR FIN'!$A$1:$O$85,15,0))</f>
        <v>74.41</v>
      </c>
      <c r="W10" s="6">
        <f>IF(ISERROR(VLOOKUP($T$10,'TAR FIN'!$A$1:$O$85,15,0)),0,VLOOKUP($T$10,'TAR FIN'!$A$1:$O$85,15,0))</f>
        <v>93.48</v>
      </c>
      <c r="X10" s="6">
        <f>IF(ISERROR(VLOOKUP($U$10,'TAR FIN'!$A$1:$O$85,15,0)),0,VLOOKUP($U$10,'TAR FIN'!$A$1:$O$85,15,0))</f>
        <v>240.29</v>
      </c>
      <c r="Y10" s="6">
        <f ca="1">('TUSD BE'!$AM$6+'TUSD BF'!$AM$6+'TUSD CVA'!$AM$6)*1</f>
        <v>81.040976339510664</v>
      </c>
      <c r="Z10" s="6">
        <f ca="1">('TUSD BE'!$AM$7+'TUSD BF'!$AM$7+'TUSD CVA'!$AM$7)*1</f>
        <v>133.17611987332398</v>
      </c>
      <c r="AA10" s="6">
        <f>('TE BE'!$AA$6+'TE BF'!$AA$6+'TE CVA'!$AA$6)*1</f>
        <v>330.73086315618451</v>
      </c>
      <c r="AB10" s="6">
        <f>$K$10*$V$10</f>
        <v>7441</v>
      </c>
      <c r="AC10" s="6">
        <f>$M$10*$W$10</f>
        <v>3377.3389200000001</v>
      </c>
      <c r="AD10" s="6">
        <f>$O$10*$X$10</f>
        <v>8681.4374099999986</v>
      </c>
      <c r="AE10" s="6">
        <f ca="1">$K$10*$Y$10</f>
        <v>8104.0976339510662</v>
      </c>
      <c r="AF10" s="6">
        <f ca="1">$M$10*$Z$10</f>
        <v>4811.5200349033221</v>
      </c>
      <c r="AG10" s="6">
        <f>$O$10*$AA$10</f>
        <v>11948.975354969789</v>
      </c>
    </row>
    <row r="11" spans="1:48" ht="11.25" customHeight="1" x14ac:dyDescent="0.3">
      <c r="A11" s="4" t="s">
        <v>21</v>
      </c>
      <c r="B11" s="4" t="s">
        <v>37</v>
      </c>
      <c r="C11" s="4" t="s">
        <v>41</v>
      </c>
      <c r="D11" s="4" t="s">
        <v>40</v>
      </c>
      <c r="E11" s="4" t="s">
        <v>25</v>
      </c>
      <c r="F11" s="4" t="s">
        <v>25</v>
      </c>
      <c r="G11" s="4" t="s">
        <v>25</v>
      </c>
      <c r="H11" s="4" t="s">
        <v>34</v>
      </c>
      <c r="I11" s="5">
        <v>44562</v>
      </c>
      <c r="J11" s="6">
        <v>104</v>
      </c>
      <c r="K11" s="6">
        <v>104</v>
      </c>
      <c r="L11" s="6">
        <v>40.896999999999998</v>
      </c>
      <c r="M11" s="6">
        <v>40.896999999999998</v>
      </c>
      <c r="N11" s="6">
        <v>40.896999999999998</v>
      </c>
      <c r="O11" s="6">
        <v>40.896999999999998</v>
      </c>
      <c r="P11" s="6">
        <v>0</v>
      </c>
      <c r="Q11" s="4" t="s">
        <v>26</v>
      </c>
      <c r="R11" s="4">
        <v>0</v>
      </c>
      <c r="S11" s="6">
        <v>84</v>
      </c>
      <c r="T11" s="6">
        <v>80</v>
      </c>
      <c r="U11" s="6">
        <v>74</v>
      </c>
      <c r="V11" s="6">
        <f>IF(ISERROR(VLOOKUP($S$11,'TAR FIN'!$A$1:$O$85,15,0)),0,VLOOKUP($S$11,'TAR FIN'!$A$1:$O$85,15,0))</f>
        <v>74.41</v>
      </c>
      <c r="W11" s="6">
        <f>IF(ISERROR(VLOOKUP($T$11,'TAR FIN'!$A$1:$O$85,15,0)),0,VLOOKUP($T$11,'TAR FIN'!$A$1:$O$85,15,0))</f>
        <v>93.48</v>
      </c>
      <c r="X11" s="6">
        <f>IF(ISERROR(VLOOKUP($U$11,'TAR FIN'!$A$1:$O$85,15,0)),0,VLOOKUP($U$11,'TAR FIN'!$A$1:$O$85,15,0))</f>
        <v>240.29</v>
      </c>
      <c r="Y11" s="6">
        <f ca="1">('TUSD BE'!$AM$6+'TUSD BF'!$AM$6+'TUSD CVA'!$AM$6)*1</f>
        <v>81.040976339510664</v>
      </c>
      <c r="Z11" s="6">
        <f ca="1">('TUSD BE'!$AM$7+'TUSD BF'!$AM$7+'TUSD CVA'!$AM$7)*1</f>
        <v>133.17611987332398</v>
      </c>
      <c r="AA11" s="6">
        <f>('TE BE'!$AA$6+'TE BF'!$AA$6+'TE CVA'!$AA$6)*1</f>
        <v>330.73086315618451</v>
      </c>
      <c r="AB11" s="6">
        <f>$K$11*$V$11</f>
        <v>7738.6399999999994</v>
      </c>
      <c r="AC11" s="6">
        <f>$M$11*$W$11</f>
        <v>3823.0515599999999</v>
      </c>
      <c r="AD11" s="6">
        <f>$O$11*$X$11</f>
        <v>9827.1401299999998</v>
      </c>
      <c r="AE11" s="6">
        <f ca="1">$K$11*$Y$11</f>
        <v>8428.2615393091091</v>
      </c>
      <c r="AF11" s="6">
        <f ca="1">$M$11*$Z$11</f>
        <v>5446.503774459331</v>
      </c>
      <c r="AG11" s="6">
        <f>$O$11*$AA$11</f>
        <v>13525.900110498478</v>
      </c>
    </row>
    <row r="12" spans="1:48" ht="11.25" customHeight="1" x14ac:dyDescent="0.3">
      <c r="A12" s="4" t="s">
        <v>21</v>
      </c>
      <c r="B12" s="4" t="s">
        <v>37</v>
      </c>
      <c r="C12" s="4" t="s">
        <v>41</v>
      </c>
      <c r="D12" s="4" t="s">
        <v>40</v>
      </c>
      <c r="E12" s="4" t="s">
        <v>25</v>
      </c>
      <c r="F12" s="4" t="s">
        <v>25</v>
      </c>
      <c r="G12" s="4" t="s">
        <v>25</v>
      </c>
      <c r="H12" s="4" t="s">
        <v>34</v>
      </c>
      <c r="I12" s="5">
        <v>44593</v>
      </c>
      <c r="J12" s="6">
        <v>101</v>
      </c>
      <c r="K12" s="6">
        <v>101</v>
      </c>
      <c r="L12" s="6">
        <v>35.027999999999999</v>
      </c>
      <c r="M12" s="6">
        <v>35.027999999999999</v>
      </c>
      <c r="N12" s="6">
        <v>35.027999999999999</v>
      </c>
      <c r="O12" s="6">
        <v>35.027999999999999</v>
      </c>
      <c r="P12" s="6">
        <v>0</v>
      </c>
      <c r="Q12" s="4" t="s">
        <v>26</v>
      </c>
      <c r="R12" s="4">
        <v>0</v>
      </c>
      <c r="S12" s="6">
        <v>84</v>
      </c>
      <c r="T12" s="6">
        <v>80</v>
      </c>
      <c r="U12" s="6">
        <v>74</v>
      </c>
      <c r="V12" s="6">
        <f>IF(ISERROR(VLOOKUP($S$12,'TAR FIN'!$A$1:$O$85,15,0)),0,VLOOKUP($S$12,'TAR FIN'!$A$1:$O$85,15,0))</f>
        <v>74.41</v>
      </c>
      <c r="W12" s="6">
        <f>IF(ISERROR(VLOOKUP($T$12,'TAR FIN'!$A$1:$O$85,15,0)),0,VLOOKUP($T$12,'TAR FIN'!$A$1:$O$85,15,0))</f>
        <v>93.48</v>
      </c>
      <c r="X12" s="6">
        <f>IF(ISERROR(VLOOKUP($U$12,'TAR FIN'!$A$1:$O$85,15,0)),0,VLOOKUP($U$12,'TAR FIN'!$A$1:$O$85,15,0))</f>
        <v>240.29</v>
      </c>
      <c r="Y12" s="6">
        <f ca="1">('TUSD BE'!$AM$6+'TUSD BF'!$AM$6+'TUSD CVA'!$AM$6)*1</f>
        <v>81.040976339510664</v>
      </c>
      <c r="Z12" s="6">
        <f ca="1">('TUSD BE'!$AM$7+'TUSD BF'!$AM$7+'TUSD CVA'!$AM$7)*1</f>
        <v>133.17611987332398</v>
      </c>
      <c r="AA12" s="6">
        <f>('TE BE'!$AA$6+'TE BF'!$AA$6+'TE CVA'!$AA$6)*1</f>
        <v>330.73086315618451</v>
      </c>
      <c r="AB12" s="6">
        <f>$K$12*$V$12</f>
        <v>7515.41</v>
      </c>
      <c r="AC12" s="6">
        <f>$M$12*$W$12</f>
        <v>3274.4174400000002</v>
      </c>
      <c r="AD12" s="6">
        <f>$O$12*$X$12</f>
        <v>8416.8781199999994</v>
      </c>
      <c r="AE12" s="6">
        <f ca="1">$K$12*$Y$12</f>
        <v>8185.1386102905772</v>
      </c>
      <c r="AF12" s="6">
        <f ca="1">$M$12*$Z$12</f>
        <v>4664.8931269227924</v>
      </c>
      <c r="AG12" s="6">
        <f>$O$12*$AA$12</f>
        <v>11584.84067463483</v>
      </c>
    </row>
    <row r="13" spans="1:48" ht="11.25" customHeight="1" x14ac:dyDescent="0.3">
      <c r="A13" s="4" t="s">
        <v>21</v>
      </c>
      <c r="B13" s="4" t="s">
        <v>37</v>
      </c>
      <c r="C13" s="4" t="s">
        <v>41</v>
      </c>
      <c r="D13" s="4" t="s">
        <v>40</v>
      </c>
      <c r="E13" s="4" t="s">
        <v>25</v>
      </c>
      <c r="F13" s="4" t="s">
        <v>25</v>
      </c>
      <c r="G13" s="4" t="s">
        <v>25</v>
      </c>
      <c r="H13" s="4" t="s">
        <v>34</v>
      </c>
      <c r="I13" s="5">
        <v>44621</v>
      </c>
      <c r="J13" s="6">
        <v>104</v>
      </c>
      <c r="K13" s="6">
        <v>104</v>
      </c>
      <c r="L13" s="6">
        <v>42.872999999999998</v>
      </c>
      <c r="M13" s="6">
        <v>42.872999999999998</v>
      </c>
      <c r="N13" s="6">
        <v>42.872999999999998</v>
      </c>
      <c r="O13" s="6">
        <v>42.872999999999998</v>
      </c>
      <c r="P13" s="6">
        <v>0</v>
      </c>
      <c r="Q13" s="4" t="s">
        <v>26</v>
      </c>
      <c r="R13" s="4">
        <v>0</v>
      </c>
      <c r="S13" s="6">
        <v>84</v>
      </c>
      <c r="T13" s="6">
        <v>80</v>
      </c>
      <c r="U13" s="6">
        <v>74</v>
      </c>
      <c r="V13" s="6">
        <f>IF(ISERROR(VLOOKUP($S$13,'TAR FIN'!$A$1:$O$85,15,0)),0,VLOOKUP($S$13,'TAR FIN'!$A$1:$O$85,15,0))</f>
        <v>74.41</v>
      </c>
      <c r="W13" s="6">
        <f>IF(ISERROR(VLOOKUP($T$13,'TAR FIN'!$A$1:$O$85,15,0)),0,VLOOKUP($T$13,'TAR FIN'!$A$1:$O$85,15,0))</f>
        <v>93.48</v>
      </c>
      <c r="X13" s="6">
        <f>IF(ISERROR(VLOOKUP($U$13,'TAR FIN'!$A$1:$O$85,15,0)),0,VLOOKUP($U$13,'TAR FIN'!$A$1:$O$85,15,0))</f>
        <v>240.29</v>
      </c>
      <c r="Y13" s="6">
        <f ca="1">('TUSD BE'!$AM$6+'TUSD BF'!$AM$6+'TUSD CVA'!$AM$6)*1</f>
        <v>81.040976339510664</v>
      </c>
      <c r="Z13" s="6">
        <f ca="1">('TUSD BE'!$AM$7+'TUSD BF'!$AM$7+'TUSD CVA'!$AM$7)*1</f>
        <v>133.17611987332398</v>
      </c>
      <c r="AA13" s="6">
        <f>('TE BE'!$AA$6+'TE BF'!$AA$6+'TE CVA'!$AA$6)*1</f>
        <v>330.73086315618451</v>
      </c>
      <c r="AB13" s="6">
        <f>$K$13*$V$13</f>
        <v>7738.6399999999994</v>
      </c>
      <c r="AC13" s="6">
        <f>$M$13*$W$13</f>
        <v>4007.7680399999999</v>
      </c>
      <c r="AD13" s="6">
        <f>$O$13*$X$13</f>
        <v>10301.953169999999</v>
      </c>
      <c r="AE13" s="6">
        <f ca="1">$K$13*$Y$13</f>
        <v>8428.2615393091091</v>
      </c>
      <c r="AF13" s="6">
        <f ca="1">$M$13*$Z$13</f>
        <v>5709.6597873290184</v>
      </c>
      <c r="AG13" s="6">
        <f>$O$13*$AA$13</f>
        <v>14179.424296095098</v>
      </c>
    </row>
    <row r="14" spans="1:48" ht="11.25" customHeight="1" x14ac:dyDescent="0.3">
      <c r="A14" s="4" t="s">
        <v>21</v>
      </c>
      <c r="B14" s="4" t="s">
        <v>37</v>
      </c>
      <c r="C14" s="4" t="s">
        <v>41</v>
      </c>
      <c r="D14" s="4" t="s">
        <v>40</v>
      </c>
      <c r="E14" s="4" t="s">
        <v>25</v>
      </c>
      <c r="F14" s="4" t="s">
        <v>25</v>
      </c>
      <c r="G14" s="4" t="s">
        <v>25</v>
      </c>
      <c r="H14" s="4" t="s">
        <v>39</v>
      </c>
      <c r="I14" s="5">
        <v>44287</v>
      </c>
      <c r="J14" s="6">
        <v>100</v>
      </c>
      <c r="K14" s="6">
        <v>100</v>
      </c>
      <c r="L14" s="6">
        <v>3.4089999999999998</v>
      </c>
      <c r="M14" s="6">
        <v>3.4089999999999998</v>
      </c>
      <c r="N14" s="6">
        <v>3.4089999999999998</v>
      </c>
      <c r="O14" s="6">
        <v>3.4089999999999998</v>
      </c>
      <c r="P14" s="6">
        <v>0</v>
      </c>
      <c r="Q14" s="4" t="s">
        <v>26</v>
      </c>
      <c r="R14" s="4">
        <v>0</v>
      </c>
      <c r="S14" s="6">
        <v>83</v>
      </c>
      <c r="T14" s="6">
        <v>80</v>
      </c>
      <c r="U14" s="6">
        <v>73</v>
      </c>
      <c r="V14" s="6">
        <f>IF(ISERROR(VLOOKUP($S$14,'TAR FIN'!$A$1:$O$85,15,0)),0,VLOOKUP($S$14,'TAR FIN'!$A$1:$O$85,15,0))</f>
        <v>186.95</v>
      </c>
      <c r="W14" s="6">
        <f>IF(ISERROR(VLOOKUP($T$14,'TAR FIN'!$A$1:$O$85,15,0)),0,VLOOKUP($T$14,'TAR FIN'!$A$1:$O$85,15,0))</f>
        <v>93.48</v>
      </c>
      <c r="X14" s="6">
        <f>IF(ISERROR(VLOOKUP($U$14,'TAR FIN'!$A$1:$O$85,15,0)),0,VLOOKUP($U$14,'TAR FIN'!$A$1:$O$85,15,0))</f>
        <v>240.29</v>
      </c>
      <c r="Y14" s="6">
        <f ca="1">('TUSD BE'!$AM$5+'TUSD BF'!$AM$5+'TUSD CVA'!$AM$5)*1</f>
        <v>204.33499890736243</v>
      </c>
      <c r="Z14" s="6">
        <f ca="1">('TUSD BE'!$AM$7+'TUSD BF'!$AM$7+'TUSD CVA'!$AM$7)*1</f>
        <v>133.17611987332398</v>
      </c>
      <c r="AA14" s="6">
        <f>('TE BE'!$AA$5+'TE BF'!$AA$5+'TE CVA'!$AA$5)*1</f>
        <v>330.73086315618451</v>
      </c>
      <c r="AB14" s="6">
        <f>$K$14*$V$14</f>
        <v>18695</v>
      </c>
      <c r="AC14" s="6">
        <f>$M$14*$W$14</f>
        <v>318.67331999999999</v>
      </c>
      <c r="AD14" s="6">
        <f>$O$14*$X$14</f>
        <v>819.14860999999996</v>
      </c>
      <c r="AE14" s="6">
        <f ca="1">$K$14*$Y$14</f>
        <v>20433.499890736242</v>
      </c>
      <c r="AF14" s="6">
        <f ca="1">$M$14*$Z$14</f>
        <v>453.99739264816145</v>
      </c>
      <c r="AG14" s="6">
        <f>$O$14*$AA$14</f>
        <v>1127.461512499433</v>
      </c>
    </row>
    <row r="15" spans="1:48" ht="11.25" customHeight="1" x14ac:dyDescent="0.3">
      <c r="A15" s="4" t="s">
        <v>21</v>
      </c>
      <c r="B15" s="4" t="s">
        <v>37</v>
      </c>
      <c r="C15" s="4" t="s">
        <v>41</v>
      </c>
      <c r="D15" s="4" t="s">
        <v>40</v>
      </c>
      <c r="E15" s="4" t="s">
        <v>25</v>
      </c>
      <c r="F15" s="4" t="s">
        <v>25</v>
      </c>
      <c r="G15" s="4" t="s">
        <v>25</v>
      </c>
      <c r="H15" s="4" t="s">
        <v>39</v>
      </c>
      <c r="I15" s="5">
        <v>44317</v>
      </c>
      <c r="J15" s="6">
        <v>100</v>
      </c>
      <c r="K15" s="6">
        <v>100</v>
      </c>
      <c r="L15" s="6">
        <v>3.3570000000000002</v>
      </c>
      <c r="M15" s="6">
        <v>3.3570000000000002</v>
      </c>
      <c r="N15" s="6">
        <v>3.3570000000000002</v>
      </c>
      <c r="O15" s="6">
        <v>3.3570000000000002</v>
      </c>
      <c r="P15" s="6">
        <v>0</v>
      </c>
      <c r="Q15" s="4" t="s">
        <v>26</v>
      </c>
      <c r="R15" s="4">
        <v>0</v>
      </c>
      <c r="S15" s="6">
        <v>83</v>
      </c>
      <c r="T15" s="6">
        <v>80</v>
      </c>
      <c r="U15" s="6">
        <v>73</v>
      </c>
      <c r="V15" s="6">
        <f>IF(ISERROR(VLOOKUP($S$15,'TAR FIN'!$A$1:$O$85,15,0)),0,VLOOKUP($S$15,'TAR FIN'!$A$1:$O$85,15,0))</f>
        <v>186.95</v>
      </c>
      <c r="W15" s="6">
        <f>IF(ISERROR(VLOOKUP($T$15,'TAR FIN'!$A$1:$O$85,15,0)),0,VLOOKUP($T$15,'TAR FIN'!$A$1:$O$85,15,0))</f>
        <v>93.48</v>
      </c>
      <c r="X15" s="6">
        <f>IF(ISERROR(VLOOKUP($U$15,'TAR FIN'!$A$1:$O$85,15,0)),0,VLOOKUP($U$15,'TAR FIN'!$A$1:$O$85,15,0))</f>
        <v>240.29</v>
      </c>
      <c r="Y15" s="6">
        <f ca="1">('TUSD BE'!$AM$5+'TUSD BF'!$AM$5+'TUSD CVA'!$AM$5)*1</f>
        <v>204.33499890736243</v>
      </c>
      <c r="Z15" s="6">
        <f ca="1">('TUSD BE'!$AM$7+'TUSD BF'!$AM$7+'TUSD CVA'!$AM$7)*1</f>
        <v>133.17611987332398</v>
      </c>
      <c r="AA15" s="6">
        <f>('TE BE'!$AA$5+'TE BF'!$AA$5+'TE CVA'!$AA$5)*1</f>
        <v>330.73086315618451</v>
      </c>
      <c r="AB15" s="6">
        <f>$K$15*$V$15</f>
        <v>18695</v>
      </c>
      <c r="AC15" s="6">
        <f>$M$15*$W$15</f>
        <v>313.81236000000001</v>
      </c>
      <c r="AD15" s="6">
        <f>$O$15*$X$15</f>
        <v>806.65353000000005</v>
      </c>
      <c r="AE15" s="6">
        <f ca="1">$K$15*$Y$15</f>
        <v>20433.499890736242</v>
      </c>
      <c r="AF15" s="6">
        <f ca="1">$M$15*$Z$15</f>
        <v>447.07223441474866</v>
      </c>
      <c r="AG15" s="6">
        <f>$O$15*$AA$15</f>
        <v>1110.2635076153115</v>
      </c>
    </row>
    <row r="16" spans="1:48" ht="11.25" customHeight="1" x14ac:dyDescent="0.3">
      <c r="A16" s="4" t="s">
        <v>21</v>
      </c>
      <c r="B16" s="4" t="s">
        <v>37</v>
      </c>
      <c r="C16" s="4" t="s">
        <v>41</v>
      </c>
      <c r="D16" s="4" t="s">
        <v>40</v>
      </c>
      <c r="E16" s="4" t="s">
        <v>25</v>
      </c>
      <c r="F16" s="4" t="s">
        <v>25</v>
      </c>
      <c r="G16" s="4" t="s">
        <v>25</v>
      </c>
      <c r="H16" s="4" t="s">
        <v>39</v>
      </c>
      <c r="I16" s="5">
        <v>44348</v>
      </c>
      <c r="J16" s="6">
        <v>100</v>
      </c>
      <c r="K16" s="6">
        <v>100</v>
      </c>
      <c r="L16" s="6">
        <v>3.093</v>
      </c>
      <c r="M16" s="6">
        <v>3.093</v>
      </c>
      <c r="N16" s="6">
        <v>3.093</v>
      </c>
      <c r="O16" s="6">
        <v>3.093</v>
      </c>
      <c r="P16" s="6">
        <v>0</v>
      </c>
      <c r="Q16" s="4" t="s">
        <v>26</v>
      </c>
      <c r="R16" s="4">
        <v>0</v>
      </c>
      <c r="S16" s="6">
        <v>83</v>
      </c>
      <c r="T16" s="6">
        <v>80</v>
      </c>
      <c r="U16" s="6">
        <v>73</v>
      </c>
      <c r="V16" s="6">
        <f>IF(ISERROR(VLOOKUP($S$16,'TAR FIN'!$A$1:$O$85,15,0)),0,VLOOKUP($S$16,'TAR FIN'!$A$1:$O$85,15,0))</f>
        <v>186.95</v>
      </c>
      <c r="W16" s="6">
        <f>IF(ISERROR(VLOOKUP($T$16,'TAR FIN'!$A$1:$O$85,15,0)),0,VLOOKUP($T$16,'TAR FIN'!$A$1:$O$85,15,0))</f>
        <v>93.48</v>
      </c>
      <c r="X16" s="6">
        <f>IF(ISERROR(VLOOKUP($U$16,'TAR FIN'!$A$1:$O$85,15,0)),0,VLOOKUP($U$16,'TAR FIN'!$A$1:$O$85,15,0))</f>
        <v>240.29</v>
      </c>
      <c r="Y16" s="6">
        <f ca="1">('TUSD BE'!$AM$5+'TUSD BF'!$AM$5+'TUSD CVA'!$AM$5)*1</f>
        <v>204.33499890736243</v>
      </c>
      <c r="Z16" s="6">
        <f ca="1">('TUSD BE'!$AM$7+'TUSD BF'!$AM$7+'TUSD CVA'!$AM$7)*1</f>
        <v>133.17611987332398</v>
      </c>
      <c r="AA16" s="6">
        <f>('TE BE'!$AA$5+'TE BF'!$AA$5+'TE CVA'!$AA$5)*1</f>
        <v>330.73086315618451</v>
      </c>
      <c r="AB16" s="6">
        <f>$K$16*$V$16</f>
        <v>18695</v>
      </c>
      <c r="AC16" s="6">
        <f>$M$16*$W$16</f>
        <v>289.13364000000001</v>
      </c>
      <c r="AD16" s="6">
        <f>$O$16*$X$16</f>
        <v>743.21696999999995</v>
      </c>
      <c r="AE16" s="6">
        <f ca="1">$K$16*$Y$16</f>
        <v>20433.499890736242</v>
      </c>
      <c r="AF16" s="6">
        <f ca="1">$M$16*$Z$16</f>
        <v>411.91373876819108</v>
      </c>
      <c r="AG16" s="6">
        <f>$O$16*$AA$16</f>
        <v>1022.9505597420787</v>
      </c>
    </row>
    <row r="17" spans="1:33" ht="11.25" customHeight="1" x14ac:dyDescent="0.3">
      <c r="A17" s="4" t="s">
        <v>21</v>
      </c>
      <c r="B17" s="4" t="s">
        <v>37</v>
      </c>
      <c r="C17" s="4" t="s">
        <v>41</v>
      </c>
      <c r="D17" s="4" t="s">
        <v>40</v>
      </c>
      <c r="E17" s="4" t="s">
        <v>25</v>
      </c>
      <c r="F17" s="4" t="s">
        <v>25</v>
      </c>
      <c r="G17" s="4" t="s">
        <v>25</v>
      </c>
      <c r="H17" s="4" t="s">
        <v>39</v>
      </c>
      <c r="I17" s="5">
        <v>44378</v>
      </c>
      <c r="J17" s="6">
        <v>100</v>
      </c>
      <c r="K17" s="6">
        <v>100</v>
      </c>
      <c r="L17" s="6">
        <v>3.032</v>
      </c>
      <c r="M17" s="6">
        <v>3.032</v>
      </c>
      <c r="N17" s="6">
        <v>3.032</v>
      </c>
      <c r="O17" s="6">
        <v>3.032</v>
      </c>
      <c r="P17" s="6">
        <v>0</v>
      </c>
      <c r="Q17" s="4" t="s">
        <v>26</v>
      </c>
      <c r="R17" s="4">
        <v>0</v>
      </c>
      <c r="S17" s="6">
        <v>83</v>
      </c>
      <c r="T17" s="6">
        <v>80</v>
      </c>
      <c r="U17" s="6">
        <v>73</v>
      </c>
      <c r="V17" s="6">
        <f>IF(ISERROR(VLOOKUP($S$17,'TAR FIN'!$A$1:$O$85,15,0)),0,VLOOKUP($S$17,'TAR FIN'!$A$1:$O$85,15,0))</f>
        <v>186.95</v>
      </c>
      <c r="W17" s="6">
        <f>IF(ISERROR(VLOOKUP($T$17,'TAR FIN'!$A$1:$O$85,15,0)),0,VLOOKUP($T$17,'TAR FIN'!$A$1:$O$85,15,0))</f>
        <v>93.48</v>
      </c>
      <c r="X17" s="6">
        <f>IF(ISERROR(VLOOKUP($U$17,'TAR FIN'!$A$1:$O$85,15,0)),0,VLOOKUP($U$17,'TAR FIN'!$A$1:$O$85,15,0))</f>
        <v>240.29</v>
      </c>
      <c r="Y17" s="6">
        <f ca="1">('TUSD BE'!$AM$5+'TUSD BF'!$AM$5+'TUSD CVA'!$AM$5)*1</f>
        <v>204.33499890736243</v>
      </c>
      <c r="Z17" s="6">
        <f ca="1">('TUSD BE'!$AM$7+'TUSD BF'!$AM$7+'TUSD CVA'!$AM$7)*1</f>
        <v>133.17611987332398</v>
      </c>
      <c r="AA17" s="6">
        <f>('TE BE'!$AA$5+'TE BF'!$AA$5+'TE CVA'!$AA$5)*1</f>
        <v>330.73086315618451</v>
      </c>
      <c r="AB17" s="6">
        <f>$K$17*$V$17</f>
        <v>18695</v>
      </c>
      <c r="AC17" s="6">
        <f>$M$17*$W$17</f>
        <v>283.43136000000004</v>
      </c>
      <c r="AD17" s="6">
        <f>$O$17*$X$17</f>
        <v>728.55927999999994</v>
      </c>
      <c r="AE17" s="6">
        <f ca="1">$K$17*$Y$17</f>
        <v>20433.499890736242</v>
      </c>
      <c r="AF17" s="6">
        <f ca="1">$M$17*$Z$17</f>
        <v>403.7899954559183</v>
      </c>
      <c r="AG17" s="6">
        <f>$O$17*$AA$17</f>
        <v>1002.7759770895515</v>
      </c>
    </row>
    <row r="18" spans="1:33" ht="11.25" customHeight="1" x14ac:dyDescent="0.3">
      <c r="A18" s="4" t="s">
        <v>21</v>
      </c>
      <c r="B18" s="4" t="s">
        <v>37</v>
      </c>
      <c r="C18" s="4" t="s">
        <v>41</v>
      </c>
      <c r="D18" s="4" t="s">
        <v>40</v>
      </c>
      <c r="E18" s="4" t="s">
        <v>25</v>
      </c>
      <c r="F18" s="4" t="s">
        <v>25</v>
      </c>
      <c r="G18" s="4" t="s">
        <v>25</v>
      </c>
      <c r="H18" s="4" t="s">
        <v>39</v>
      </c>
      <c r="I18" s="5">
        <v>44409</v>
      </c>
      <c r="J18" s="6">
        <v>100</v>
      </c>
      <c r="K18" s="6">
        <v>100</v>
      </c>
      <c r="L18" s="6">
        <v>3.165</v>
      </c>
      <c r="M18" s="6">
        <v>3.165</v>
      </c>
      <c r="N18" s="6">
        <v>3.165</v>
      </c>
      <c r="O18" s="6">
        <v>3.165</v>
      </c>
      <c r="P18" s="6">
        <v>0</v>
      </c>
      <c r="Q18" s="4" t="s">
        <v>26</v>
      </c>
      <c r="R18" s="4">
        <v>0</v>
      </c>
      <c r="S18" s="6">
        <v>83</v>
      </c>
      <c r="T18" s="6">
        <v>80</v>
      </c>
      <c r="U18" s="6">
        <v>73</v>
      </c>
      <c r="V18" s="6">
        <f>IF(ISERROR(VLOOKUP($S$18,'TAR FIN'!$A$1:$O$85,15,0)),0,VLOOKUP($S$18,'TAR FIN'!$A$1:$O$85,15,0))</f>
        <v>186.95</v>
      </c>
      <c r="W18" s="6">
        <f>IF(ISERROR(VLOOKUP($T$18,'TAR FIN'!$A$1:$O$85,15,0)),0,VLOOKUP($T$18,'TAR FIN'!$A$1:$O$85,15,0))</f>
        <v>93.48</v>
      </c>
      <c r="X18" s="6">
        <f>IF(ISERROR(VLOOKUP($U$18,'TAR FIN'!$A$1:$O$85,15,0)),0,VLOOKUP($U$18,'TAR FIN'!$A$1:$O$85,15,0))</f>
        <v>240.29</v>
      </c>
      <c r="Y18" s="6">
        <f ca="1">('TUSD BE'!$AM$5+'TUSD BF'!$AM$5+'TUSD CVA'!$AM$5)*1</f>
        <v>204.33499890736243</v>
      </c>
      <c r="Z18" s="6">
        <f ca="1">('TUSD BE'!$AM$7+'TUSD BF'!$AM$7+'TUSD CVA'!$AM$7)*1</f>
        <v>133.17611987332398</v>
      </c>
      <c r="AA18" s="6">
        <f>('TE BE'!$AA$5+'TE BF'!$AA$5+'TE CVA'!$AA$5)*1</f>
        <v>330.73086315618451</v>
      </c>
      <c r="AB18" s="6">
        <f>$K$18*$V$18</f>
        <v>18695</v>
      </c>
      <c r="AC18" s="6">
        <f>$M$18*$W$18</f>
        <v>295.86420000000004</v>
      </c>
      <c r="AD18" s="6">
        <f>$O$18*$X$18</f>
        <v>760.51784999999995</v>
      </c>
      <c r="AE18" s="6">
        <f ca="1">$K$18*$Y$18</f>
        <v>20433.499890736242</v>
      </c>
      <c r="AF18" s="6">
        <f ca="1">$M$18*$Z$18</f>
        <v>421.50241939907039</v>
      </c>
      <c r="AG18" s="6">
        <f>$O$18*$AA$18</f>
        <v>1046.763181889324</v>
      </c>
    </row>
    <row r="19" spans="1:33" ht="11.25" customHeight="1" x14ac:dyDescent="0.3">
      <c r="A19" s="4" t="s">
        <v>21</v>
      </c>
      <c r="B19" s="4" t="s">
        <v>37</v>
      </c>
      <c r="C19" s="4" t="s">
        <v>41</v>
      </c>
      <c r="D19" s="4" t="s">
        <v>40</v>
      </c>
      <c r="E19" s="4" t="s">
        <v>25</v>
      </c>
      <c r="F19" s="4" t="s">
        <v>25</v>
      </c>
      <c r="G19" s="4" t="s">
        <v>25</v>
      </c>
      <c r="H19" s="4" t="s">
        <v>39</v>
      </c>
      <c r="I19" s="5">
        <v>44440</v>
      </c>
      <c r="J19" s="6">
        <v>100</v>
      </c>
      <c r="K19" s="6">
        <v>100</v>
      </c>
      <c r="L19" s="6">
        <v>3.4049999999999998</v>
      </c>
      <c r="M19" s="6">
        <v>3.4049999999999998</v>
      </c>
      <c r="N19" s="6">
        <v>3.4049999999999998</v>
      </c>
      <c r="O19" s="6">
        <v>3.4049999999999998</v>
      </c>
      <c r="P19" s="6">
        <v>0</v>
      </c>
      <c r="Q19" s="4" t="s">
        <v>26</v>
      </c>
      <c r="R19" s="4">
        <v>0</v>
      </c>
      <c r="S19" s="6">
        <v>83</v>
      </c>
      <c r="T19" s="6">
        <v>80</v>
      </c>
      <c r="U19" s="6">
        <v>73</v>
      </c>
      <c r="V19" s="6">
        <f>IF(ISERROR(VLOOKUP($S$19,'TAR FIN'!$A$1:$O$85,15,0)),0,VLOOKUP($S$19,'TAR FIN'!$A$1:$O$85,15,0))</f>
        <v>186.95</v>
      </c>
      <c r="W19" s="6">
        <f>IF(ISERROR(VLOOKUP($T$19,'TAR FIN'!$A$1:$O$85,15,0)),0,VLOOKUP($T$19,'TAR FIN'!$A$1:$O$85,15,0))</f>
        <v>93.48</v>
      </c>
      <c r="X19" s="6">
        <f>IF(ISERROR(VLOOKUP($U$19,'TAR FIN'!$A$1:$O$85,15,0)),0,VLOOKUP($U$19,'TAR FIN'!$A$1:$O$85,15,0))</f>
        <v>240.29</v>
      </c>
      <c r="Y19" s="6">
        <f ca="1">('TUSD BE'!$AM$5+'TUSD BF'!$AM$5+'TUSD CVA'!$AM$5)*1</f>
        <v>204.33499890736243</v>
      </c>
      <c r="Z19" s="6">
        <f ca="1">('TUSD BE'!$AM$7+'TUSD BF'!$AM$7+'TUSD CVA'!$AM$7)*1</f>
        <v>133.17611987332398</v>
      </c>
      <c r="AA19" s="6">
        <f>('TE BE'!$AA$5+'TE BF'!$AA$5+'TE CVA'!$AA$5)*1</f>
        <v>330.73086315618451</v>
      </c>
      <c r="AB19" s="6">
        <f>$K$19*$V$19</f>
        <v>18695</v>
      </c>
      <c r="AC19" s="6">
        <f>$M$19*$W$19</f>
        <v>318.29939999999999</v>
      </c>
      <c r="AD19" s="6">
        <f>$O$19*$X$19</f>
        <v>818.1874499999999</v>
      </c>
      <c r="AE19" s="6">
        <f ca="1">$K$19*$Y$19</f>
        <v>20433.499890736242</v>
      </c>
      <c r="AF19" s="6">
        <f ca="1">$M$19*$Z$19</f>
        <v>453.46468816866815</v>
      </c>
      <c r="AG19" s="6">
        <f>$O$19*$AA$19</f>
        <v>1126.1385890468082</v>
      </c>
    </row>
    <row r="20" spans="1:33" ht="11.25" customHeight="1" x14ac:dyDescent="0.3">
      <c r="A20" s="4" t="s">
        <v>21</v>
      </c>
      <c r="B20" s="4" t="s">
        <v>37</v>
      </c>
      <c r="C20" s="4" t="s">
        <v>41</v>
      </c>
      <c r="D20" s="4" t="s">
        <v>40</v>
      </c>
      <c r="E20" s="4" t="s">
        <v>25</v>
      </c>
      <c r="F20" s="4" t="s">
        <v>25</v>
      </c>
      <c r="G20" s="4" t="s">
        <v>25</v>
      </c>
      <c r="H20" s="4" t="s">
        <v>39</v>
      </c>
      <c r="I20" s="5">
        <v>44470</v>
      </c>
      <c r="J20" s="6">
        <v>100</v>
      </c>
      <c r="K20" s="6">
        <v>100</v>
      </c>
      <c r="L20" s="6">
        <v>3.105</v>
      </c>
      <c r="M20" s="6">
        <v>3.105</v>
      </c>
      <c r="N20" s="6">
        <v>3.105</v>
      </c>
      <c r="O20" s="6">
        <v>3.105</v>
      </c>
      <c r="P20" s="6">
        <v>0</v>
      </c>
      <c r="Q20" s="4" t="s">
        <v>26</v>
      </c>
      <c r="R20" s="4">
        <v>0</v>
      </c>
      <c r="S20" s="6">
        <v>83</v>
      </c>
      <c r="T20" s="6">
        <v>80</v>
      </c>
      <c r="U20" s="6">
        <v>73</v>
      </c>
      <c r="V20" s="6">
        <f>IF(ISERROR(VLOOKUP($S$20,'TAR FIN'!$A$1:$O$85,15,0)),0,VLOOKUP($S$20,'TAR FIN'!$A$1:$O$85,15,0))</f>
        <v>186.95</v>
      </c>
      <c r="W20" s="6">
        <f>IF(ISERROR(VLOOKUP($T$20,'TAR FIN'!$A$1:$O$85,15,0)),0,VLOOKUP($T$20,'TAR FIN'!$A$1:$O$85,15,0))</f>
        <v>93.48</v>
      </c>
      <c r="X20" s="6">
        <f>IF(ISERROR(VLOOKUP($U$20,'TAR FIN'!$A$1:$O$85,15,0)),0,VLOOKUP($U$20,'TAR FIN'!$A$1:$O$85,15,0))</f>
        <v>240.29</v>
      </c>
      <c r="Y20" s="6">
        <f ca="1">('TUSD BE'!$AM$5+'TUSD BF'!$AM$5+'TUSD CVA'!$AM$5)*1</f>
        <v>204.33499890736243</v>
      </c>
      <c r="Z20" s="6">
        <f ca="1">('TUSD BE'!$AM$7+'TUSD BF'!$AM$7+'TUSD CVA'!$AM$7)*1</f>
        <v>133.17611987332398</v>
      </c>
      <c r="AA20" s="6">
        <f>('TE BE'!$AA$5+'TE BF'!$AA$5+'TE CVA'!$AA$5)*1</f>
        <v>330.73086315618451</v>
      </c>
      <c r="AB20" s="6">
        <f>$K$20*$V$20</f>
        <v>18695</v>
      </c>
      <c r="AC20" s="6">
        <f>$M$20*$W$20</f>
        <v>290.25540000000001</v>
      </c>
      <c r="AD20" s="6">
        <f>$O$20*$X$20</f>
        <v>746.10045000000002</v>
      </c>
      <c r="AE20" s="6">
        <f ca="1">$K$20*$Y$20</f>
        <v>20433.499890736242</v>
      </c>
      <c r="AF20" s="6">
        <f ca="1">$M$20*$Z$20</f>
        <v>413.51185220667099</v>
      </c>
      <c r="AG20" s="6">
        <f>$O$20*$AA$20</f>
        <v>1026.919330099953</v>
      </c>
    </row>
    <row r="21" spans="1:33" ht="11.25" customHeight="1" x14ac:dyDescent="0.3">
      <c r="A21" s="4" t="s">
        <v>21</v>
      </c>
      <c r="B21" s="4" t="s">
        <v>37</v>
      </c>
      <c r="C21" s="4" t="s">
        <v>41</v>
      </c>
      <c r="D21" s="4" t="s">
        <v>40</v>
      </c>
      <c r="E21" s="4" t="s">
        <v>25</v>
      </c>
      <c r="F21" s="4" t="s">
        <v>25</v>
      </c>
      <c r="G21" s="4" t="s">
        <v>25</v>
      </c>
      <c r="H21" s="4" t="s">
        <v>39</v>
      </c>
      <c r="I21" s="5">
        <v>44501</v>
      </c>
      <c r="J21" s="6">
        <v>100</v>
      </c>
      <c r="K21" s="6">
        <v>100</v>
      </c>
      <c r="L21" s="6">
        <v>3.3519999999999999</v>
      </c>
      <c r="M21" s="6">
        <v>3.3519999999999999</v>
      </c>
      <c r="N21" s="6">
        <v>3.3519999999999999</v>
      </c>
      <c r="O21" s="6">
        <v>3.3519999999999999</v>
      </c>
      <c r="P21" s="6">
        <v>0</v>
      </c>
      <c r="Q21" s="4" t="s">
        <v>26</v>
      </c>
      <c r="R21" s="4">
        <v>0</v>
      </c>
      <c r="S21" s="6">
        <v>83</v>
      </c>
      <c r="T21" s="6">
        <v>80</v>
      </c>
      <c r="U21" s="6">
        <v>73</v>
      </c>
      <c r="V21" s="6">
        <f>IF(ISERROR(VLOOKUP($S$21,'TAR FIN'!$A$1:$O$85,15,0)),0,VLOOKUP($S$21,'TAR FIN'!$A$1:$O$85,15,0))</f>
        <v>186.95</v>
      </c>
      <c r="W21" s="6">
        <f>IF(ISERROR(VLOOKUP($T$21,'TAR FIN'!$A$1:$O$85,15,0)),0,VLOOKUP($T$21,'TAR FIN'!$A$1:$O$85,15,0))</f>
        <v>93.48</v>
      </c>
      <c r="X21" s="6">
        <f>IF(ISERROR(VLOOKUP($U$21,'TAR FIN'!$A$1:$O$85,15,0)),0,VLOOKUP($U$21,'TAR FIN'!$A$1:$O$85,15,0))</f>
        <v>240.29</v>
      </c>
      <c r="Y21" s="6">
        <f ca="1">('TUSD BE'!$AM$5+'TUSD BF'!$AM$5+'TUSD CVA'!$AM$5)*1</f>
        <v>204.33499890736243</v>
      </c>
      <c r="Z21" s="6">
        <f ca="1">('TUSD BE'!$AM$7+'TUSD BF'!$AM$7+'TUSD CVA'!$AM$7)*1</f>
        <v>133.17611987332398</v>
      </c>
      <c r="AA21" s="6">
        <f>('TE BE'!$AA$5+'TE BF'!$AA$5+'TE CVA'!$AA$5)*1</f>
        <v>330.73086315618451</v>
      </c>
      <c r="AB21" s="6">
        <f>$K$21*$V$21</f>
        <v>18695</v>
      </c>
      <c r="AC21" s="6">
        <f>$M$21*$W$21</f>
        <v>313.34496000000001</v>
      </c>
      <c r="AD21" s="6">
        <f>$O$21*$X$21</f>
        <v>805.45207999999991</v>
      </c>
      <c r="AE21" s="6">
        <f ca="1">$K$21*$Y$21</f>
        <v>20433.499890736242</v>
      </c>
      <c r="AF21" s="6">
        <f ca="1">$M$21*$Z$21</f>
        <v>446.40635381538198</v>
      </c>
      <c r="AG21" s="6">
        <f>$O$21*$AA$21</f>
        <v>1108.6098532995304</v>
      </c>
    </row>
    <row r="22" spans="1:33" ht="11.25" customHeight="1" x14ac:dyDescent="0.3">
      <c r="A22" s="4" t="s">
        <v>21</v>
      </c>
      <c r="B22" s="4" t="s">
        <v>37</v>
      </c>
      <c r="C22" s="4" t="s">
        <v>41</v>
      </c>
      <c r="D22" s="4" t="s">
        <v>40</v>
      </c>
      <c r="E22" s="4" t="s">
        <v>25</v>
      </c>
      <c r="F22" s="4" t="s">
        <v>25</v>
      </c>
      <c r="G22" s="4" t="s">
        <v>25</v>
      </c>
      <c r="H22" s="4" t="s">
        <v>39</v>
      </c>
      <c r="I22" s="5">
        <v>44531</v>
      </c>
      <c r="J22" s="6">
        <v>100</v>
      </c>
      <c r="K22" s="6">
        <v>100</v>
      </c>
      <c r="L22" s="6">
        <v>3.9790000000000001</v>
      </c>
      <c r="M22" s="6">
        <v>3.9790000000000001</v>
      </c>
      <c r="N22" s="6">
        <v>3.9790000000000001</v>
      </c>
      <c r="O22" s="6">
        <v>3.9790000000000001</v>
      </c>
      <c r="P22" s="6">
        <v>0</v>
      </c>
      <c r="Q22" s="4" t="s">
        <v>26</v>
      </c>
      <c r="R22" s="4">
        <v>0</v>
      </c>
      <c r="S22" s="6">
        <v>83</v>
      </c>
      <c r="T22" s="6">
        <v>80</v>
      </c>
      <c r="U22" s="6">
        <v>73</v>
      </c>
      <c r="V22" s="6">
        <f>IF(ISERROR(VLOOKUP($S$22,'TAR FIN'!$A$1:$O$85,15,0)),0,VLOOKUP($S$22,'TAR FIN'!$A$1:$O$85,15,0))</f>
        <v>186.95</v>
      </c>
      <c r="W22" s="6">
        <f>IF(ISERROR(VLOOKUP($T$22,'TAR FIN'!$A$1:$O$85,15,0)),0,VLOOKUP($T$22,'TAR FIN'!$A$1:$O$85,15,0))</f>
        <v>93.48</v>
      </c>
      <c r="X22" s="6">
        <f>IF(ISERROR(VLOOKUP($U$22,'TAR FIN'!$A$1:$O$85,15,0)),0,VLOOKUP($U$22,'TAR FIN'!$A$1:$O$85,15,0))</f>
        <v>240.29</v>
      </c>
      <c r="Y22" s="6">
        <f ca="1">('TUSD BE'!$AM$5+'TUSD BF'!$AM$5+'TUSD CVA'!$AM$5)*1</f>
        <v>204.33499890736243</v>
      </c>
      <c r="Z22" s="6">
        <f ca="1">('TUSD BE'!$AM$7+'TUSD BF'!$AM$7+'TUSD CVA'!$AM$7)*1</f>
        <v>133.17611987332398</v>
      </c>
      <c r="AA22" s="6">
        <f>('TE BE'!$AA$5+'TE BF'!$AA$5+'TE CVA'!$AA$5)*1</f>
        <v>330.73086315618451</v>
      </c>
      <c r="AB22" s="6">
        <f>$K$22*$V$22</f>
        <v>18695</v>
      </c>
      <c r="AC22" s="6">
        <f>$M$22*$W$22</f>
        <v>371.95692000000003</v>
      </c>
      <c r="AD22" s="6">
        <f>$O$22*$X$22</f>
        <v>956.11391000000003</v>
      </c>
      <c r="AE22" s="6">
        <f ca="1">$K$22*$Y$22</f>
        <v>20433.499890736242</v>
      </c>
      <c r="AF22" s="6">
        <f ca="1">$M$22*$Z$22</f>
        <v>529.90778097595614</v>
      </c>
      <c r="AG22" s="6">
        <f>$O$22*$AA$22</f>
        <v>1315.9781044984582</v>
      </c>
    </row>
    <row r="23" spans="1:33" ht="11.25" customHeight="1" x14ac:dyDescent="0.3">
      <c r="A23" s="4" t="s">
        <v>21</v>
      </c>
      <c r="B23" s="4" t="s">
        <v>37</v>
      </c>
      <c r="C23" s="4" t="s">
        <v>41</v>
      </c>
      <c r="D23" s="4" t="s">
        <v>40</v>
      </c>
      <c r="E23" s="4" t="s">
        <v>25</v>
      </c>
      <c r="F23" s="4" t="s">
        <v>25</v>
      </c>
      <c r="G23" s="4" t="s">
        <v>25</v>
      </c>
      <c r="H23" s="4" t="s">
        <v>39</v>
      </c>
      <c r="I23" s="5">
        <v>44562</v>
      </c>
      <c r="J23" s="6">
        <v>100</v>
      </c>
      <c r="K23" s="6">
        <v>100</v>
      </c>
      <c r="L23" s="6">
        <v>4.1159999999999997</v>
      </c>
      <c r="M23" s="6">
        <v>4.1159999999999997</v>
      </c>
      <c r="N23" s="6">
        <v>4.1159999999999997</v>
      </c>
      <c r="O23" s="6">
        <v>4.1159999999999997</v>
      </c>
      <c r="P23" s="6">
        <v>0</v>
      </c>
      <c r="Q23" s="4" t="s">
        <v>26</v>
      </c>
      <c r="R23" s="4">
        <v>0</v>
      </c>
      <c r="S23" s="6">
        <v>83</v>
      </c>
      <c r="T23" s="6">
        <v>80</v>
      </c>
      <c r="U23" s="6">
        <v>73</v>
      </c>
      <c r="V23" s="6">
        <f>IF(ISERROR(VLOOKUP($S$23,'TAR FIN'!$A$1:$O$85,15,0)),0,VLOOKUP($S$23,'TAR FIN'!$A$1:$O$85,15,0))</f>
        <v>186.95</v>
      </c>
      <c r="W23" s="6">
        <f>IF(ISERROR(VLOOKUP($T$23,'TAR FIN'!$A$1:$O$85,15,0)),0,VLOOKUP($T$23,'TAR FIN'!$A$1:$O$85,15,0))</f>
        <v>93.48</v>
      </c>
      <c r="X23" s="6">
        <f>IF(ISERROR(VLOOKUP($U$23,'TAR FIN'!$A$1:$O$85,15,0)),0,VLOOKUP($U$23,'TAR FIN'!$A$1:$O$85,15,0))</f>
        <v>240.29</v>
      </c>
      <c r="Y23" s="6">
        <f ca="1">('TUSD BE'!$AM$5+'TUSD BF'!$AM$5+'TUSD CVA'!$AM$5)*1</f>
        <v>204.33499890736243</v>
      </c>
      <c r="Z23" s="6">
        <f ca="1">('TUSD BE'!$AM$7+'TUSD BF'!$AM$7+'TUSD CVA'!$AM$7)*1</f>
        <v>133.17611987332398</v>
      </c>
      <c r="AA23" s="6">
        <f>('TE BE'!$AA$5+'TE BF'!$AA$5+'TE CVA'!$AA$5)*1</f>
        <v>330.73086315618451</v>
      </c>
      <c r="AB23" s="6">
        <f>$K$23*$V$23</f>
        <v>18695</v>
      </c>
      <c r="AC23" s="6">
        <f>$M$23*$W$23</f>
        <v>384.76367999999997</v>
      </c>
      <c r="AD23" s="6">
        <f>$O$23*$X$23</f>
        <v>989.03363999999988</v>
      </c>
      <c r="AE23" s="6">
        <f ca="1">$K$23*$Y$23</f>
        <v>20433.499890736242</v>
      </c>
      <c r="AF23" s="6">
        <f ca="1">$M$23*$Z$23</f>
        <v>548.15290939860142</v>
      </c>
      <c r="AG23" s="6">
        <f>$O$23*$AA$23</f>
        <v>1361.2882327508553</v>
      </c>
    </row>
    <row r="24" spans="1:33" ht="11.25" customHeight="1" x14ac:dyDescent="0.3">
      <c r="A24" s="4" t="s">
        <v>21</v>
      </c>
      <c r="B24" s="4" t="s">
        <v>37</v>
      </c>
      <c r="C24" s="4" t="s">
        <v>41</v>
      </c>
      <c r="D24" s="4" t="s">
        <v>40</v>
      </c>
      <c r="E24" s="4" t="s">
        <v>25</v>
      </c>
      <c r="F24" s="4" t="s">
        <v>25</v>
      </c>
      <c r="G24" s="4" t="s">
        <v>25</v>
      </c>
      <c r="H24" s="4" t="s">
        <v>39</v>
      </c>
      <c r="I24" s="5">
        <v>44593</v>
      </c>
      <c r="J24" s="6">
        <v>100</v>
      </c>
      <c r="K24" s="6">
        <v>100</v>
      </c>
      <c r="L24" s="6">
        <v>3.6760000000000002</v>
      </c>
      <c r="M24" s="6">
        <v>3.6760000000000002</v>
      </c>
      <c r="N24" s="6">
        <v>3.6760000000000002</v>
      </c>
      <c r="O24" s="6">
        <v>3.6760000000000002</v>
      </c>
      <c r="P24" s="6">
        <v>0</v>
      </c>
      <c r="Q24" s="4" t="s">
        <v>26</v>
      </c>
      <c r="R24" s="4">
        <v>0</v>
      </c>
      <c r="S24" s="6">
        <v>83</v>
      </c>
      <c r="T24" s="6">
        <v>80</v>
      </c>
      <c r="U24" s="6">
        <v>73</v>
      </c>
      <c r="V24" s="6">
        <f>IF(ISERROR(VLOOKUP($S$24,'TAR FIN'!$A$1:$O$85,15,0)),0,VLOOKUP($S$24,'TAR FIN'!$A$1:$O$85,15,0))</f>
        <v>186.95</v>
      </c>
      <c r="W24" s="6">
        <f>IF(ISERROR(VLOOKUP($T$24,'TAR FIN'!$A$1:$O$85,15,0)),0,VLOOKUP($T$24,'TAR FIN'!$A$1:$O$85,15,0))</f>
        <v>93.48</v>
      </c>
      <c r="X24" s="6">
        <f>IF(ISERROR(VLOOKUP($U$24,'TAR FIN'!$A$1:$O$85,15,0)),0,VLOOKUP($U$24,'TAR FIN'!$A$1:$O$85,15,0))</f>
        <v>240.29</v>
      </c>
      <c r="Y24" s="6">
        <f ca="1">('TUSD BE'!$AM$5+'TUSD BF'!$AM$5+'TUSD CVA'!$AM$5)*1</f>
        <v>204.33499890736243</v>
      </c>
      <c r="Z24" s="6">
        <f ca="1">('TUSD BE'!$AM$7+'TUSD BF'!$AM$7+'TUSD CVA'!$AM$7)*1</f>
        <v>133.17611987332398</v>
      </c>
      <c r="AA24" s="6">
        <f>('TE BE'!$AA$5+'TE BF'!$AA$5+'TE CVA'!$AA$5)*1</f>
        <v>330.73086315618451</v>
      </c>
      <c r="AB24" s="6">
        <f>$K$24*$V$24</f>
        <v>18695</v>
      </c>
      <c r="AC24" s="6">
        <f>$M$24*$W$24</f>
        <v>343.63248000000004</v>
      </c>
      <c r="AD24" s="6">
        <f>$O$24*$X$24</f>
        <v>883.30604000000005</v>
      </c>
      <c r="AE24" s="6">
        <f ca="1">$K$24*$Y$24</f>
        <v>20433.499890736242</v>
      </c>
      <c r="AF24" s="6">
        <f ca="1">$M$24*$Z$24</f>
        <v>489.55541665433901</v>
      </c>
      <c r="AG24" s="6">
        <f>$O$24*$AA$24</f>
        <v>1215.7666529621342</v>
      </c>
    </row>
    <row r="25" spans="1:33" ht="11.25" customHeight="1" x14ac:dyDescent="0.3">
      <c r="A25" s="4" t="s">
        <v>21</v>
      </c>
      <c r="B25" s="4" t="s">
        <v>37</v>
      </c>
      <c r="C25" s="4" t="s">
        <v>41</v>
      </c>
      <c r="D25" s="4" t="s">
        <v>40</v>
      </c>
      <c r="E25" s="4" t="s">
        <v>25</v>
      </c>
      <c r="F25" s="4" t="s">
        <v>25</v>
      </c>
      <c r="G25" s="4" t="s">
        <v>25</v>
      </c>
      <c r="H25" s="4" t="s">
        <v>39</v>
      </c>
      <c r="I25" s="5">
        <v>44621</v>
      </c>
      <c r="J25" s="6">
        <v>100</v>
      </c>
      <c r="K25" s="6">
        <v>100</v>
      </c>
      <c r="L25" s="6">
        <v>4.6399999999999997</v>
      </c>
      <c r="M25" s="6">
        <v>4.6399999999999997</v>
      </c>
      <c r="N25" s="6">
        <v>4.6399999999999997</v>
      </c>
      <c r="O25" s="6">
        <v>4.6399999999999997</v>
      </c>
      <c r="P25" s="6">
        <v>0</v>
      </c>
      <c r="Q25" s="4" t="s">
        <v>26</v>
      </c>
      <c r="R25" s="4">
        <v>0</v>
      </c>
      <c r="S25" s="6">
        <v>83</v>
      </c>
      <c r="T25" s="6">
        <v>80</v>
      </c>
      <c r="U25" s="6">
        <v>73</v>
      </c>
      <c r="V25" s="6">
        <f>IF(ISERROR(VLOOKUP($S$25,'TAR FIN'!$A$1:$O$85,15,0)),0,VLOOKUP($S$25,'TAR FIN'!$A$1:$O$85,15,0))</f>
        <v>186.95</v>
      </c>
      <c r="W25" s="6">
        <f>IF(ISERROR(VLOOKUP($T$25,'TAR FIN'!$A$1:$O$85,15,0)),0,VLOOKUP($T$25,'TAR FIN'!$A$1:$O$85,15,0))</f>
        <v>93.48</v>
      </c>
      <c r="X25" s="6">
        <f>IF(ISERROR(VLOOKUP($U$25,'TAR FIN'!$A$1:$O$85,15,0)),0,VLOOKUP($U$25,'TAR FIN'!$A$1:$O$85,15,0))</f>
        <v>240.29</v>
      </c>
      <c r="Y25" s="6">
        <f ca="1">('TUSD BE'!$AM$5+'TUSD BF'!$AM$5+'TUSD CVA'!$AM$5)*1</f>
        <v>204.33499890736243</v>
      </c>
      <c r="Z25" s="6">
        <f ca="1">('TUSD BE'!$AM$7+'TUSD BF'!$AM$7+'TUSD CVA'!$AM$7)*1</f>
        <v>133.17611987332398</v>
      </c>
      <c r="AA25" s="6">
        <f>('TE BE'!$AA$5+'TE BF'!$AA$5+'TE CVA'!$AA$5)*1</f>
        <v>330.73086315618451</v>
      </c>
      <c r="AB25" s="6">
        <f>$K$25*$V$25</f>
        <v>18695</v>
      </c>
      <c r="AC25" s="6">
        <f>$M$25*$W$25</f>
        <v>433.74719999999996</v>
      </c>
      <c r="AD25" s="6">
        <f>$O$25*$X$25</f>
        <v>1114.9455999999998</v>
      </c>
      <c r="AE25" s="6">
        <f ca="1">$K$25*$Y$25</f>
        <v>20433.499890736242</v>
      </c>
      <c r="AF25" s="6">
        <f ca="1">$M$25*$Z$25</f>
        <v>617.93719621222328</v>
      </c>
      <c r="AG25" s="6">
        <f>$O$25*$AA$25</f>
        <v>1534.5912050446959</v>
      </c>
    </row>
    <row r="26" spans="1:33" ht="11.25" customHeight="1" x14ac:dyDescent="0.3">
      <c r="A26" s="4" t="s">
        <v>21</v>
      </c>
      <c r="B26" s="4" t="s">
        <v>37</v>
      </c>
      <c r="C26" s="4" t="s">
        <v>38</v>
      </c>
      <c r="D26" s="4" t="s">
        <v>40</v>
      </c>
      <c r="E26" s="4" t="s">
        <v>25</v>
      </c>
      <c r="F26" s="4" t="s">
        <v>25</v>
      </c>
      <c r="G26" s="4" t="s">
        <v>25</v>
      </c>
      <c r="H26" s="4" t="s">
        <v>34</v>
      </c>
      <c r="I26" s="5">
        <v>44287</v>
      </c>
      <c r="J26" s="6">
        <v>0</v>
      </c>
      <c r="K26" s="6">
        <v>0</v>
      </c>
      <c r="L26" s="6">
        <v>75.804000000000002</v>
      </c>
      <c r="M26" s="6">
        <v>75.804000000000002</v>
      </c>
      <c r="N26" s="6">
        <v>75.804000000000002</v>
      </c>
      <c r="O26" s="6">
        <v>75.804000000000002</v>
      </c>
      <c r="P26" s="6">
        <v>0</v>
      </c>
      <c r="Q26" s="4" t="s">
        <v>26</v>
      </c>
      <c r="R26" s="4">
        <v>0</v>
      </c>
      <c r="S26" s="6">
        <v>0</v>
      </c>
      <c r="T26" s="6">
        <v>2</v>
      </c>
      <c r="U26" s="6">
        <v>74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93.48</v>
      </c>
      <c r="X26" s="6">
        <f>IF(ISERROR(VLOOKUP($U$26,'TAR FIN'!$A$1:$O$85,15,0)),0,VLOOKUP($U$26,'TAR FIN'!$A$1:$O$85,15,0))</f>
        <v>240.29</v>
      </c>
      <c r="Y26" s="6"/>
      <c r="Z26" s="6">
        <f ca="1">('TUSD BE'!$AM$12+'TUSD BF'!$AM$12+'TUSD CVA'!$AM$12)*1</f>
        <v>133.17611987332398</v>
      </c>
      <c r="AA26" s="6">
        <f>('TE BE'!$AA$6+'TE BF'!$AA$6+'TE CVA'!$AA$6)*1</f>
        <v>330.73086315618451</v>
      </c>
      <c r="AB26" s="6">
        <f>$K$26*$V$26</f>
        <v>0</v>
      </c>
      <c r="AC26" s="6">
        <f>$M$26*$W$26</f>
        <v>7086.1579200000006</v>
      </c>
      <c r="AD26" s="6">
        <f>$O$26*$X$26</f>
        <v>18214.943159999999</v>
      </c>
      <c r="AE26" s="6">
        <f>$K$26*$Y$26</f>
        <v>0</v>
      </c>
      <c r="AF26" s="6">
        <f ca="1">$M$26*$Z$26</f>
        <v>10095.282590877452</v>
      </c>
      <c r="AG26" s="6">
        <f>$O$26*$AA$26</f>
        <v>25070.722350691412</v>
      </c>
    </row>
    <row r="27" spans="1:33" ht="11.25" customHeight="1" x14ac:dyDescent="0.3">
      <c r="A27" s="4" t="s">
        <v>21</v>
      </c>
      <c r="B27" s="4" t="s">
        <v>37</v>
      </c>
      <c r="C27" s="4" t="s">
        <v>38</v>
      </c>
      <c r="D27" s="4" t="s">
        <v>40</v>
      </c>
      <c r="E27" s="4" t="s">
        <v>25</v>
      </c>
      <c r="F27" s="4" t="s">
        <v>25</v>
      </c>
      <c r="G27" s="4" t="s">
        <v>25</v>
      </c>
      <c r="H27" s="4" t="s">
        <v>34</v>
      </c>
      <c r="I27" s="5">
        <v>44317</v>
      </c>
      <c r="J27" s="6">
        <v>0</v>
      </c>
      <c r="K27" s="6">
        <v>0</v>
      </c>
      <c r="L27" s="6">
        <v>74.941999999999993</v>
      </c>
      <c r="M27" s="6">
        <v>74.941999999999993</v>
      </c>
      <c r="N27" s="6">
        <v>74.941999999999993</v>
      </c>
      <c r="O27" s="6">
        <v>74.941999999999993</v>
      </c>
      <c r="P27" s="6">
        <v>0</v>
      </c>
      <c r="Q27" s="4" t="s">
        <v>26</v>
      </c>
      <c r="R27" s="4">
        <v>0</v>
      </c>
      <c r="S27" s="6">
        <v>0</v>
      </c>
      <c r="T27" s="6">
        <v>2</v>
      </c>
      <c r="U27" s="6">
        <v>74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93.48</v>
      </c>
      <c r="X27" s="6">
        <f>IF(ISERROR(VLOOKUP($U$27,'TAR FIN'!$A$1:$O$85,15,0)),0,VLOOKUP($U$27,'TAR FIN'!$A$1:$O$85,15,0))</f>
        <v>240.29</v>
      </c>
      <c r="Y27" s="6"/>
      <c r="Z27" s="6">
        <f ca="1">('TUSD BE'!$AM$12+'TUSD BF'!$AM$12+'TUSD CVA'!$AM$12)*1</f>
        <v>133.17611987332398</v>
      </c>
      <c r="AA27" s="6">
        <f>('TE BE'!$AA$6+'TE BF'!$AA$6+'TE CVA'!$AA$6)*1</f>
        <v>330.73086315618451</v>
      </c>
      <c r="AB27" s="6">
        <f>$K$27*$V$27</f>
        <v>0</v>
      </c>
      <c r="AC27" s="6">
        <f>$M$27*$W$27</f>
        <v>7005.57816</v>
      </c>
      <c r="AD27" s="6">
        <f>$O$27*$X$27</f>
        <v>18007.813179999997</v>
      </c>
      <c r="AE27" s="6">
        <f>$K$27*$Y$27</f>
        <v>0</v>
      </c>
      <c r="AF27" s="6">
        <f ca="1">$M$27*$Z$27</f>
        <v>9980.4847755466453</v>
      </c>
      <c r="AG27" s="6">
        <f>$O$27*$AA$27</f>
        <v>24785.632346650778</v>
      </c>
    </row>
    <row r="28" spans="1:33" ht="11.25" customHeight="1" x14ac:dyDescent="0.3">
      <c r="A28" s="4" t="s">
        <v>21</v>
      </c>
      <c r="B28" s="4" t="s">
        <v>37</v>
      </c>
      <c r="C28" s="4" t="s">
        <v>38</v>
      </c>
      <c r="D28" s="4" t="s">
        <v>40</v>
      </c>
      <c r="E28" s="4" t="s">
        <v>25</v>
      </c>
      <c r="F28" s="4" t="s">
        <v>25</v>
      </c>
      <c r="G28" s="4" t="s">
        <v>25</v>
      </c>
      <c r="H28" s="4" t="s">
        <v>34</v>
      </c>
      <c r="I28" s="5">
        <v>44348</v>
      </c>
      <c r="J28" s="6">
        <v>0</v>
      </c>
      <c r="K28" s="6">
        <v>0</v>
      </c>
      <c r="L28" s="6">
        <v>70.647999999999996</v>
      </c>
      <c r="M28" s="6">
        <v>70.647999999999996</v>
      </c>
      <c r="N28" s="6">
        <v>70.647999999999996</v>
      </c>
      <c r="O28" s="6">
        <v>70.647999999999996</v>
      </c>
      <c r="P28" s="6">
        <v>0</v>
      </c>
      <c r="Q28" s="4" t="s">
        <v>26</v>
      </c>
      <c r="R28" s="4">
        <v>0</v>
      </c>
      <c r="S28" s="6">
        <v>0</v>
      </c>
      <c r="T28" s="6">
        <v>2</v>
      </c>
      <c r="U28" s="6">
        <v>74</v>
      </c>
      <c r="V28" s="6">
        <f>IF(ISERROR(VLOOKUP($S$28,'TAR FIN'!$A$1:$O$85,15,0)),0,VLOOKUP($S$28,'TAR FIN'!$A$1:$O$85,15,0))</f>
        <v>0</v>
      </c>
      <c r="W28" s="6">
        <f>IF(ISERROR(VLOOKUP($T$28,'TAR FIN'!$A$1:$O$85,15,0)),0,VLOOKUP($T$28,'TAR FIN'!$A$1:$O$85,15,0))</f>
        <v>93.48</v>
      </c>
      <c r="X28" s="6">
        <f>IF(ISERROR(VLOOKUP($U$28,'TAR FIN'!$A$1:$O$85,15,0)),0,VLOOKUP($U$28,'TAR FIN'!$A$1:$O$85,15,0))</f>
        <v>240.29</v>
      </c>
      <c r="Y28" s="6"/>
      <c r="Z28" s="6">
        <f ca="1">('TUSD BE'!$AM$12+'TUSD BF'!$AM$12+'TUSD CVA'!$AM$12)*1</f>
        <v>133.17611987332398</v>
      </c>
      <c r="AA28" s="6">
        <f>('TE BE'!$AA$6+'TE BF'!$AA$6+'TE CVA'!$AA$6)*1</f>
        <v>330.73086315618451</v>
      </c>
      <c r="AB28" s="6">
        <f>$K$28*$V$28</f>
        <v>0</v>
      </c>
      <c r="AC28" s="6">
        <f>$M$28*$W$28</f>
        <v>6604.1750400000001</v>
      </c>
      <c r="AD28" s="6">
        <f>$O$28*$X$28</f>
        <v>16976.00792</v>
      </c>
      <c r="AE28" s="6">
        <f>$K$28*$Y$28</f>
        <v>0</v>
      </c>
      <c r="AF28" s="6">
        <f ca="1">$M$28*$Z$28</f>
        <v>9408.6265168105929</v>
      </c>
      <c r="AG28" s="6">
        <f>$O$28*$AA$28</f>
        <v>23365.474020258123</v>
      </c>
    </row>
    <row r="29" spans="1:33" ht="11.25" customHeight="1" x14ac:dyDescent="0.3">
      <c r="A29" s="4" t="s">
        <v>21</v>
      </c>
      <c r="B29" s="4" t="s">
        <v>37</v>
      </c>
      <c r="C29" s="4" t="s">
        <v>38</v>
      </c>
      <c r="D29" s="4" t="s">
        <v>40</v>
      </c>
      <c r="E29" s="4" t="s">
        <v>25</v>
      </c>
      <c r="F29" s="4" t="s">
        <v>25</v>
      </c>
      <c r="G29" s="4" t="s">
        <v>25</v>
      </c>
      <c r="H29" s="4" t="s">
        <v>34</v>
      </c>
      <c r="I29" s="5">
        <v>44378</v>
      </c>
      <c r="J29" s="6">
        <v>0</v>
      </c>
      <c r="K29" s="6">
        <v>0</v>
      </c>
      <c r="L29" s="6">
        <v>69.599000000000004</v>
      </c>
      <c r="M29" s="6">
        <v>69.599000000000004</v>
      </c>
      <c r="N29" s="6">
        <v>69.599000000000004</v>
      </c>
      <c r="O29" s="6">
        <v>69.599000000000004</v>
      </c>
      <c r="P29" s="6">
        <v>0</v>
      </c>
      <c r="Q29" s="4" t="s">
        <v>26</v>
      </c>
      <c r="R29" s="4">
        <v>0</v>
      </c>
      <c r="S29" s="6">
        <v>0</v>
      </c>
      <c r="T29" s="6">
        <v>2</v>
      </c>
      <c r="U29" s="6">
        <v>74</v>
      </c>
      <c r="V29" s="6">
        <f>IF(ISERROR(VLOOKUP($S$29,'TAR FIN'!$A$1:$O$85,15,0)),0,VLOOKUP($S$29,'TAR FIN'!$A$1:$O$85,15,0))</f>
        <v>0</v>
      </c>
      <c r="W29" s="6">
        <f>IF(ISERROR(VLOOKUP($T$29,'TAR FIN'!$A$1:$O$85,15,0)),0,VLOOKUP($T$29,'TAR FIN'!$A$1:$O$85,15,0))</f>
        <v>93.48</v>
      </c>
      <c r="X29" s="6">
        <f>IF(ISERROR(VLOOKUP($U$29,'TAR FIN'!$A$1:$O$85,15,0)),0,VLOOKUP($U$29,'TAR FIN'!$A$1:$O$85,15,0))</f>
        <v>240.29</v>
      </c>
      <c r="Y29" s="6"/>
      <c r="Z29" s="6">
        <f ca="1">('TUSD BE'!$AM$12+'TUSD BF'!$AM$12+'TUSD CVA'!$AM$12)*1</f>
        <v>133.17611987332398</v>
      </c>
      <c r="AA29" s="6">
        <f>('TE BE'!$AA$6+'TE BF'!$AA$6+'TE CVA'!$AA$6)*1</f>
        <v>330.73086315618451</v>
      </c>
      <c r="AB29" s="6">
        <f>$K$29*$V$29</f>
        <v>0</v>
      </c>
      <c r="AC29" s="6">
        <f>$M$29*$W$29</f>
        <v>6506.114520000001</v>
      </c>
      <c r="AD29" s="6">
        <f>$O$29*$X$29</f>
        <v>16723.94371</v>
      </c>
      <c r="AE29" s="6">
        <f>$K$29*$Y$29</f>
        <v>0</v>
      </c>
      <c r="AF29" s="6">
        <f ca="1">$M$29*$Z$29</f>
        <v>9268.9247670634759</v>
      </c>
      <c r="AG29" s="6">
        <f>$O$29*$AA$29</f>
        <v>23018.537344807286</v>
      </c>
    </row>
    <row r="30" spans="1:33" ht="11.25" customHeight="1" x14ac:dyDescent="0.3">
      <c r="A30" s="4" t="s">
        <v>21</v>
      </c>
      <c r="B30" s="4" t="s">
        <v>37</v>
      </c>
      <c r="C30" s="4" t="s">
        <v>38</v>
      </c>
      <c r="D30" s="4" t="s">
        <v>40</v>
      </c>
      <c r="E30" s="4" t="s">
        <v>25</v>
      </c>
      <c r="F30" s="4" t="s">
        <v>25</v>
      </c>
      <c r="G30" s="4" t="s">
        <v>25</v>
      </c>
      <c r="H30" s="4" t="s">
        <v>34</v>
      </c>
      <c r="I30" s="5">
        <v>44409</v>
      </c>
      <c r="J30" s="6">
        <v>0</v>
      </c>
      <c r="K30" s="6">
        <v>0</v>
      </c>
      <c r="L30" s="6">
        <v>69.894000000000005</v>
      </c>
      <c r="M30" s="6">
        <v>69.894000000000005</v>
      </c>
      <c r="N30" s="6">
        <v>69.894000000000005</v>
      </c>
      <c r="O30" s="6">
        <v>69.894000000000005</v>
      </c>
      <c r="P30" s="6">
        <v>0</v>
      </c>
      <c r="Q30" s="4" t="s">
        <v>26</v>
      </c>
      <c r="R30" s="4">
        <v>0</v>
      </c>
      <c r="S30" s="6">
        <v>0</v>
      </c>
      <c r="T30" s="6">
        <v>2</v>
      </c>
      <c r="U30" s="6">
        <v>74</v>
      </c>
      <c r="V30" s="6">
        <f>IF(ISERROR(VLOOKUP($S$30,'TAR FIN'!$A$1:$O$85,15,0)),0,VLOOKUP($S$30,'TAR FIN'!$A$1:$O$85,15,0))</f>
        <v>0</v>
      </c>
      <c r="W30" s="6">
        <f>IF(ISERROR(VLOOKUP($T$30,'TAR FIN'!$A$1:$O$85,15,0)),0,VLOOKUP($T$30,'TAR FIN'!$A$1:$O$85,15,0))</f>
        <v>93.48</v>
      </c>
      <c r="X30" s="6">
        <f>IF(ISERROR(VLOOKUP($U$30,'TAR FIN'!$A$1:$O$85,15,0)),0,VLOOKUP($U$30,'TAR FIN'!$A$1:$O$85,15,0))</f>
        <v>240.29</v>
      </c>
      <c r="Y30" s="6"/>
      <c r="Z30" s="6">
        <f ca="1">('TUSD BE'!$AM$12+'TUSD BF'!$AM$12+'TUSD CVA'!$AM$12)*1</f>
        <v>133.17611987332398</v>
      </c>
      <c r="AA30" s="6">
        <f>('TE BE'!$AA$6+'TE BF'!$AA$6+'TE CVA'!$AA$6)*1</f>
        <v>330.73086315618451</v>
      </c>
      <c r="AB30" s="6">
        <f>$K$30*$V$30</f>
        <v>0</v>
      </c>
      <c r="AC30" s="6">
        <f>$M$30*$W$30</f>
        <v>6533.6911200000004</v>
      </c>
      <c r="AD30" s="6">
        <f>$O$30*$X$30</f>
        <v>16794.829260000002</v>
      </c>
      <c r="AE30" s="6">
        <f>$K$30*$Y$30</f>
        <v>0</v>
      </c>
      <c r="AF30" s="6">
        <f ca="1">$M$30*$Z$30</f>
        <v>9308.2117224261074</v>
      </c>
      <c r="AG30" s="6">
        <f>$O$30*$AA$30</f>
        <v>23116.102949438362</v>
      </c>
    </row>
    <row r="31" spans="1:33" ht="11.25" customHeight="1" x14ac:dyDescent="0.3">
      <c r="A31" s="4" t="s">
        <v>21</v>
      </c>
      <c r="B31" s="4" t="s">
        <v>37</v>
      </c>
      <c r="C31" s="4" t="s">
        <v>38</v>
      </c>
      <c r="D31" s="4" t="s">
        <v>40</v>
      </c>
      <c r="E31" s="4" t="s">
        <v>25</v>
      </c>
      <c r="F31" s="4" t="s">
        <v>25</v>
      </c>
      <c r="G31" s="4" t="s">
        <v>25</v>
      </c>
      <c r="H31" s="4" t="s">
        <v>34</v>
      </c>
      <c r="I31" s="5">
        <v>44440</v>
      </c>
      <c r="J31" s="6">
        <v>0</v>
      </c>
      <c r="K31" s="6">
        <v>0</v>
      </c>
      <c r="L31" s="6">
        <v>82.757999999999996</v>
      </c>
      <c r="M31" s="6">
        <v>82.757999999999996</v>
      </c>
      <c r="N31" s="6">
        <v>82.757999999999996</v>
      </c>
      <c r="O31" s="6">
        <v>82.757999999999996</v>
      </c>
      <c r="P31" s="6">
        <v>0</v>
      </c>
      <c r="Q31" s="4" t="s">
        <v>26</v>
      </c>
      <c r="R31" s="4">
        <v>0</v>
      </c>
      <c r="S31" s="6">
        <v>0</v>
      </c>
      <c r="T31" s="6">
        <v>2</v>
      </c>
      <c r="U31" s="6">
        <v>74</v>
      </c>
      <c r="V31" s="6">
        <f>IF(ISERROR(VLOOKUP($S$31,'TAR FIN'!$A$1:$O$85,15,0)),0,VLOOKUP($S$31,'TAR FIN'!$A$1:$O$85,15,0))</f>
        <v>0</v>
      </c>
      <c r="W31" s="6">
        <f>IF(ISERROR(VLOOKUP($T$31,'TAR FIN'!$A$1:$O$85,15,0)),0,VLOOKUP($T$31,'TAR FIN'!$A$1:$O$85,15,0))</f>
        <v>93.48</v>
      </c>
      <c r="X31" s="6">
        <f>IF(ISERROR(VLOOKUP($U$31,'TAR FIN'!$A$1:$O$85,15,0)),0,VLOOKUP($U$31,'TAR FIN'!$A$1:$O$85,15,0))</f>
        <v>240.29</v>
      </c>
      <c r="Y31" s="6"/>
      <c r="Z31" s="6">
        <f ca="1">('TUSD BE'!$AM$12+'TUSD BF'!$AM$12+'TUSD CVA'!$AM$12)*1</f>
        <v>133.17611987332398</v>
      </c>
      <c r="AA31" s="6">
        <f>('TE BE'!$AA$6+'TE BF'!$AA$6+'TE CVA'!$AA$6)*1</f>
        <v>330.73086315618451</v>
      </c>
      <c r="AB31" s="6">
        <f>$K$31*$V$31</f>
        <v>0</v>
      </c>
      <c r="AC31" s="6">
        <f>$M$31*$W$31</f>
        <v>7736.2178400000003</v>
      </c>
      <c r="AD31" s="6">
        <f>$O$31*$X$31</f>
        <v>19885.919819999999</v>
      </c>
      <c r="AE31" s="6">
        <f>$K$31*$Y$31</f>
        <v>0</v>
      </c>
      <c r="AF31" s="6">
        <f ca="1">$M$31*$Z$31</f>
        <v>11021.389328476545</v>
      </c>
      <c r="AG31" s="6">
        <f>$O$31*$AA$31</f>
        <v>27370.624773079515</v>
      </c>
    </row>
    <row r="32" spans="1:33" ht="11.25" customHeight="1" x14ac:dyDescent="0.3">
      <c r="A32" s="4" t="s">
        <v>21</v>
      </c>
      <c r="B32" s="4" t="s">
        <v>37</v>
      </c>
      <c r="C32" s="4" t="s">
        <v>38</v>
      </c>
      <c r="D32" s="4" t="s">
        <v>40</v>
      </c>
      <c r="E32" s="4" t="s">
        <v>25</v>
      </c>
      <c r="F32" s="4" t="s">
        <v>25</v>
      </c>
      <c r="G32" s="4" t="s">
        <v>25</v>
      </c>
      <c r="H32" s="4" t="s">
        <v>34</v>
      </c>
      <c r="I32" s="5">
        <v>44470</v>
      </c>
      <c r="J32" s="6">
        <v>0</v>
      </c>
      <c r="K32" s="6">
        <v>0</v>
      </c>
      <c r="L32" s="6">
        <v>86.043999999999997</v>
      </c>
      <c r="M32" s="6">
        <v>86.043999999999997</v>
      </c>
      <c r="N32" s="6">
        <v>86.043999999999997</v>
      </c>
      <c r="O32" s="6">
        <v>86.043999999999997</v>
      </c>
      <c r="P32" s="6">
        <v>0</v>
      </c>
      <c r="Q32" s="4" t="s">
        <v>26</v>
      </c>
      <c r="R32" s="4">
        <v>0</v>
      </c>
      <c r="S32" s="6">
        <v>0</v>
      </c>
      <c r="T32" s="6">
        <v>2</v>
      </c>
      <c r="U32" s="6">
        <v>74</v>
      </c>
      <c r="V32" s="6">
        <f>IF(ISERROR(VLOOKUP($S$32,'TAR FIN'!$A$1:$O$85,15,0)),0,VLOOKUP($S$32,'TAR FIN'!$A$1:$O$85,15,0))</f>
        <v>0</v>
      </c>
      <c r="W32" s="6">
        <f>IF(ISERROR(VLOOKUP($T$32,'TAR FIN'!$A$1:$O$85,15,0)),0,VLOOKUP($T$32,'TAR FIN'!$A$1:$O$85,15,0))</f>
        <v>93.48</v>
      </c>
      <c r="X32" s="6">
        <f>IF(ISERROR(VLOOKUP($U$32,'TAR FIN'!$A$1:$O$85,15,0)),0,VLOOKUP($U$32,'TAR FIN'!$A$1:$O$85,15,0))</f>
        <v>240.29</v>
      </c>
      <c r="Y32" s="6"/>
      <c r="Z32" s="6">
        <f ca="1">('TUSD BE'!$AM$12+'TUSD BF'!$AM$12+'TUSD CVA'!$AM$12)*1</f>
        <v>133.17611987332398</v>
      </c>
      <c r="AA32" s="6">
        <f>('TE BE'!$AA$6+'TE BF'!$AA$6+'TE CVA'!$AA$6)*1</f>
        <v>330.73086315618451</v>
      </c>
      <c r="AB32" s="6">
        <f>$K$32*$V$32</f>
        <v>0</v>
      </c>
      <c r="AC32" s="6">
        <f>$M$32*$W$32</f>
        <v>8043.3931199999997</v>
      </c>
      <c r="AD32" s="6">
        <f>$O$32*$X$32</f>
        <v>20675.512759999998</v>
      </c>
      <c r="AE32" s="6">
        <f>$K$32*$Y$32</f>
        <v>0</v>
      </c>
      <c r="AF32" s="6">
        <f ca="1">$M$32*$Z$32</f>
        <v>11459.006058380288</v>
      </c>
      <c r="AG32" s="6">
        <f>$O$32*$AA$32</f>
        <v>28457.406389410738</v>
      </c>
    </row>
    <row r="33" spans="1:33" ht="11.25" customHeight="1" x14ac:dyDescent="0.3">
      <c r="A33" s="4" t="s">
        <v>21</v>
      </c>
      <c r="B33" s="4" t="s">
        <v>37</v>
      </c>
      <c r="C33" s="4" t="s">
        <v>38</v>
      </c>
      <c r="D33" s="4" t="s">
        <v>40</v>
      </c>
      <c r="E33" s="4" t="s">
        <v>25</v>
      </c>
      <c r="F33" s="4" t="s">
        <v>25</v>
      </c>
      <c r="G33" s="4" t="s">
        <v>25</v>
      </c>
      <c r="H33" s="4" t="s">
        <v>34</v>
      </c>
      <c r="I33" s="5">
        <v>44501</v>
      </c>
      <c r="J33" s="6">
        <v>0</v>
      </c>
      <c r="K33" s="6">
        <v>0</v>
      </c>
      <c r="L33" s="6">
        <v>86.302000000000007</v>
      </c>
      <c r="M33" s="6">
        <v>86.302000000000007</v>
      </c>
      <c r="N33" s="6">
        <v>86.302000000000007</v>
      </c>
      <c r="O33" s="6">
        <v>86.302000000000007</v>
      </c>
      <c r="P33" s="6">
        <v>0</v>
      </c>
      <c r="Q33" s="4" t="s">
        <v>26</v>
      </c>
      <c r="R33" s="4">
        <v>0</v>
      </c>
      <c r="S33" s="6">
        <v>0</v>
      </c>
      <c r="T33" s="6">
        <v>2</v>
      </c>
      <c r="U33" s="6">
        <v>74</v>
      </c>
      <c r="V33" s="6">
        <f>IF(ISERROR(VLOOKUP($S$33,'TAR FIN'!$A$1:$O$85,15,0)),0,VLOOKUP($S$33,'TAR FIN'!$A$1:$O$85,15,0))</f>
        <v>0</v>
      </c>
      <c r="W33" s="6">
        <f>IF(ISERROR(VLOOKUP($T$33,'TAR FIN'!$A$1:$O$85,15,0)),0,VLOOKUP($T$33,'TAR FIN'!$A$1:$O$85,15,0))</f>
        <v>93.48</v>
      </c>
      <c r="X33" s="6">
        <f>IF(ISERROR(VLOOKUP($U$33,'TAR FIN'!$A$1:$O$85,15,0)),0,VLOOKUP($U$33,'TAR FIN'!$A$1:$O$85,15,0))</f>
        <v>240.29</v>
      </c>
      <c r="Y33" s="6"/>
      <c r="Z33" s="6">
        <f ca="1">('TUSD BE'!$AM$12+'TUSD BF'!$AM$12+'TUSD CVA'!$AM$12)*1</f>
        <v>133.17611987332398</v>
      </c>
      <c r="AA33" s="6">
        <f>('TE BE'!$AA$6+'TE BF'!$AA$6+'TE CVA'!$AA$6)*1</f>
        <v>330.73086315618451</v>
      </c>
      <c r="AB33" s="6">
        <f>$K$33*$V$33</f>
        <v>0</v>
      </c>
      <c r="AC33" s="6">
        <f>$M$33*$W$33</f>
        <v>8067.5109600000005</v>
      </c>
      <c r="AD33" s="6">
        <f>$O$33*$X$33</f>
        <v>20737.507580000001</v>
      </c>
      <c r="AE33" s="6">
        <f>$K$33*$Y$33</f>
        <v>0</v>
      </c>
      <c r="AF33" s="6">
        <f ca="1">$M$33*$Z$33</f>
        <v>11493.365497307608</v>
      </c>
      <c r="AG33" s="6">
        <f>$O$33*$AA$33</f>
        <v>28542.734952105038</v>
      </c>
    </row>
    <row r="34" spans="1:33" ht="11.25" customHeight="1" x14ac:dyDescent="0.3">
      <c r="A34" s="4" t="s">
        <v>21</v>
      </c>
      <c r="B34" s="4" t="s">
        <v>37</v>
      </c>
      <c r="C34" s="4" t="s">
        <v>38</v>
      </c>
      <c r="D34" s="4" t="s">
        <v>40</v>
      </c>
      <c r="E34" s="4" t="s">
        <v>25</v>
      </c>
      <c r="F34" s="4" t="s">
        <v>25</v>
      </c>
      <c r="G34" s="4" t="s">
        <v>25</v>
      </c>
      <c r="H34" s="4" t="s">
        <v>34</v>
      </c>
      <c r="I34" s="5">
        <v>44531</v>
      </c>
      <c r="J34" s="6">
        <v>0</v>
      </c>
      <c r="K34" s="6">
        <v>0</v>
      </c>
      <c r="L34" s="6">
        <v>103.928</v>
      </c>
      <c r="M34" s="6">
        <v>103.928</v>
      </c>
      <c r="N34" s="6">
        <v>103.928</v>
      </c>
      <c r="O34" s="6">
        <v>103.928</v>
      </c>
      <c r="P34" s="6">
        <v>0</v>
      </c>
      <c r="Q34" s="4" t="s">
        <v>26</v>
      </c>
      <c r="R34" s="4">
        <v>0</v>
      </c>
      <c r="S34" s="6">
        <v>0</v>
      </c>
      <c r="T34" s="6">
        <v>2</v>
      </c>
      <c r="U34" s="6">
        <v>74</v>
      </c>
      <c r="V34" s="6">
        <f>IF(ISERROR(VLOOKUP($S$34,'TAR FIN'!$A$1:$O$85,15,0)),0,VLOOKUP($S$34,'TAR FIN'!$A$1:$O$85,15,0))</f>
        <v>0</v>
      </c>
      <c r="W34" s="6">
        <f>IF(ISERROR(VLOOKUP($T$34,'TAR FIN'!$A$1:$O$85,15,0)),0,VLOOKUP($T$34,'TAR FIN'!$A$1:$O$85,15,0))</f>
        <v>93.48</v>
      </c>
      <c r="X34" s="6">
        <f>IF(ISERROR(VLOOKUP($U$34,'TAR FIN'!$A$1:$O$85,15,0)),0,VLOOKUP($U$34,'TAR FIN'!$A$1:$O$85,15,0))</f>
        <v>240.29</v>
      </c>
      <c r="Y34" s="6"/>
      <c r="Z34" s="6">
        <f ca="1">('TUSD BE'!$AM$12+'TUSD BF'!$AM$12+'TUSD CVA'!$AM$12)*1</f>
        <v>133.17611987332398</v>
      </c>
      <c r="AA34" s="6">
        <f>('TE BE'!$AA$6+'TE BF'!$AA$6+'TE CVA'!$AA$6)*1</f>
        <v>330.73086315618451</v>
      </c>
      <c r="AB34" s="6">
        <f>$K$34*$V$34</f>
        <v>0</v>
      </c>
      <c r="AC34" s="6">
        <f>$M$34*$W$34</f>
        <v>9715.1894400000001</v>
      </c>
      <c r="AD34" s="6">
        <f>$O$34*$X$34</f>
        <v>24972.859119999997</v>
      </c>
      <c r="AE34" s="6">
        <f>$K$34*$Y$34</f>
        <v>0</v>
      </c>
      <c r="AF34" s="6">
        <f ca="1">$M$34*$Z$34</f>
        <v>13840.727786194815</v>
      </c>
      <c r="AG34" s="6">
        <f>$O$34*$AA$34</f>
        <v>34372.197146095947</v>
      </c>
    </row>
    <row r="35" spans="1:33" ht="11.25" customHeight="1" x14ac:dyDescent="0.3">
      <c r="A35" s="4" t="s">
        <v>21</v>
      </c>
      <c r="B35" s="4" t="s">
        <v>37</v>
      </c>
      <c r="C35" s="4" t="s">
        <v>38</v>
      </c>
      <c r="D35" s="4" t="s">
        <v>40</v>
      </c>
      <c r="E35" s="4" t="s">
        <v>25</v>
      </c>
      <c r="F35" s="4" t="s">
        <v>25</v>
      </c>
      <c r="G35" s="4" t="s">
        <v>25</v>
      </c>
      <c r="H35" s="4" t="s">
        <v>34</v>
      </c>
      <c r="I35" s="5">
        <v>44562</v>
      </c>
      <c r="J35" s="6">
        <v>0</v>
      </c>
      <c r="K35" s="6">
        <v>0</v>
      </c>
      <c r="L35" s="6">
        <v>120.857</v>
      </c>
      <c r="M35" s="6">
        <v>120.857</v>
      </c>
      <c r="N35" s="6">
        <v>120.857</v>
      </c>
      <c r="O35" s="6">
        <v>120.857</v>
      </c>
      <c r="P35" s="6">
        <v>0</v>
      </c>
      <c r="Q35" s="4" t="s">
        <v>26</v>
      </c>
      <c r="R35" s="4">
        <v>0</v>
      </c>
      <c r="S35" s="6">
        <v>0</v>
      </c>
      <c r="T35" s="6">
        <v>2</v>
      </c>
      <c r="U35" s="6">
        <v>74</v>
      </c>
      <c r="V35" s="6">
        <f>IF(ISERROR(VLOOKUP($S$35,'TAR FIN'!$A$1:$O$85,15,0)),0,VLOOKUP($S$35,'TAR FIN'!$A$1:$O$85,15,0))</f>
        <v>0</v>
      </c>
      <c r="W35" s="6">
        <f>IF(ISERROR(VLOOKUP($T$35,'TAR FIN'!$A$1:$O$85,15,0)),0,VLOOKUP($T$35,'TAR FIN'!$A$1:$O$85,15,0))</f>
        <v>93.48</v>
      </c>
      <c r="X35" s="6">
        <f>IF(ISERROR(VLOOKUP($U$35,'TAR FIN'!$A$1:$O$85,15,0)),0,VLOOKUP($U$35,'TAR FIN'!$A$1:$O$85,15,0))</f>
        <v>240.29</v>
      </c>
      <c r="Y35" s="6"/>
      <c r="Z35" s="6">
        <f ca="1">('TUSD BE'!$AM$12+'TUSD BF'!$AM$12+'TUSD CVA'!$AM$12)*1</f>
        <v>133.17611987332398</v>
      </c>
      <c r="AA35" s="6">
        <f>('TE BE'!$AA$6+'TE BF'!$AA$6+'TE CVA'!$AA$6)*1</f>
        <v>330.73086315618451</v>
      </c>
      <c r="AB35" s="6">
        <f>$K$35*$V$35</f>
        <v>0</v>
      </c>
      <c r="AC35" s="6">
        <f>$M$35*$W$35</f>
        <v>11297.71236</v>
      </c>
      <c r="AD35" s="6">
        <f>$O$35*$X$35</f>
        <v>29040.72853</v>
      </c>
      <c r="AE35" s="6">
        <f>$K$35*$Y$35</f>
        <v>0</v>
      </c>
      <c r="AF35" s="6">
        <f ca="1">$M$35*$Z$35</f>
        <v>16095.266319530316</v>
      </c>
      <c r="AG35" s="6">
        <f>$O$35*$AA$35</f>
        <v>39971.13992846699</v>
      </c>
    </row>
    <row r="36" spans="1:33" ht="11.25" customHeight="1" x14ac:dyDescent="0.3">
      <c r="A36" s="4" t="s">
        <v>21</v>
      </c>
      <c r="B36" s="4" t="s">
        <v>37</v>
      </c>
      <c r="C36" s="4" t="s">
        <v>38</v>
      </c>
      <c r="D36" s="4" t="s">
        <v>40</v>
      </c>
      <c r="E36" s="4" t="s">
        <v>25</v>
      </c>
      <c r="F36" s="4" t="s">
        <v>25</v>
      </c>
      <c r="G36" s="4" t="s">
        <v>25</v>
      </c>
      <c r="H36" s="4" t="s">
        <v>34</v>
      </c>
      <c r="I36" s="5">
        <v>44593</v>
      </c>
      <c r="J36" s="6">
        <v>0</v>
      </c>
      <c r="K36" s="6">
        <v>0</v>
      </c>
      <c r="L36" s="6">
        <v>106.313</v>
      </c>
      <c r="M36" s="6">
        <v>106.313</v>
      </c>
      <c r="N36" s="6">
        <v>106.313</v>
      </c>
      <c r="O36" s="6">
        <v>106.313</v>
      </c>
      <c r="P36" s="6">
        <v>0</v>
      </c>
      <c r="Q36" s="4" t="s">
        <v>26</v>
      </c>
      <c r="R36" s="4">
        <v>0</v>
      </c>
      <c r="S36" s="6">
        <v>0</v>
      </c>
      <c r="T36" s="6">
        <v>2</v>
      </c>
      <c r="U36" s="6">
        <v>74</v>
      </c>
      <c r="V36" s="6">
        <f>IF(ISERROR(VLOOKUP($S$36,'TAR FIN'!$A$1:$O$85,15,0)),0,VLOOKUP($S$36,'TAR FIN'!$A$1:$O$85,15,0))</f>
        <v>0</v>
      </c>
      <c r="W36" s="6">
        <f>IF(ISERROR(VLOOKUP($T$36,'TAR FIN'!$A$1:$O$85,15,0)),0,VLOOKUP($T$36,'TAR FIN'!$A$1:$O$85,15,0))</f>
        <v>93.48</v>
      </c>
      <c r="X36" s="6">
        <f>IF(ISERROR(VLOOKUP($U$36,'TAR FIN'!$A$1:$O$85,15,0)),0,VLOOKUP($U$36,'TAR FIN'!$A$1:$O$85,15,0))</f>
        <v>240.29</v>
      </c>
      <c r="Y36" s="6"/>
      <c r="Z36" s="6">
        <f ca="1">('TUSD BE'!$AM$12+'TUSD BF'!$AM$12+'TUSD CVA'!$AM$12)*1</f>
        <v>133.17611987332398</v>
      </c>
      <c r="AA36" s="6">
        <f>('TE BE'!$AA$6+'TE BF'!$AA$6+'TE CVA'!$AA$6)*1</f>
        <v>330.73086315618451</v>
      </c>
      <c r="AB36" s="6">
        <f>$K$36*$V$36</f>
        <v>0</v>
      </c>
      <c r="AC36" s="6">
        <f>$M$36*$W$36</f>
        <v>9938.1392400000004</v>
      </c>
      <c r="AD36" s="6">
        <f>$O$36*$X$36</f>
        <v>25545.950769999999</v>
      </c>
      <c r="AE36" s="6">
        <f>$K$36*$Y$36</f>
        <v>0</v>
      </c>
      <c r="AF36" s="6">
        <f ca="1">$M$36*$Z$36</f>
        <v>14158.352832092693</v>
      </c>
      <c r="AG36" s="6">
        <f>$O$36*$AA$36</f>
        <v>35160.990254723445</v>
      </c>
    </row>
    <row r="37" spans="1:33" ht="11.25" customHeight="1" x14ac:dyDescent="0.3">
      <c r="A37" s="4" t="s">
        <v>21</v>
      </c>
      <c r="B37" s="4" t="s">
        <v>37</v>
      </c>
      <c r="C37" s="4" t="s">
        <v>38</v>
      </c>
      <c r="D37" s="4" t="s">
        <v>40</v>
      </c>
      <c r="E37" s="4" t="s">
        <v>25</v>
      </c>
      <c r="F37" s="4" t="s">
        <v>25</v>
      </c>
      <c r="G37" s="4" t="s">
        <v>25</v>
      </c>
      <c r="H37" s="4" t="s">
        <v>34</v>
      </c>
      <c r="I37" s="5">
        <v>44621</v>
      </c>
      <c r="J37" s="6">
        <v>0</v>
      </c>
      <c r="K37" s="6">
        <v>0</v>
      </c>
      <c r="L37" s="6">
        <v>123.14100000000001</v>
      </c>
      <c r="M37" s="6">
        <v>123.14100000000001</v>
      </c>
      <c r="N37" s="6">
        <v>123.14100000000001</v>
      </c>
      <c r="O37" s="6">
        <v>123.14100000000001</v>
      </c>
      <c r="P37" s="6">
        <v>0</v>
      </c>
      <c r="Q37" s="4" t="s">
        <v>26</v>
      </c>
      <c r="R37" s="4">
        <v>0</v>
      </c>
      <c r="S37" s="6">
        <v>0</v>
      </c>
      <c r="T37" s="6">
        <v>2</v>
      </c>
      <c r="U37" s="6">
        <v>74</v>
      </c>
      <c r="V37" s="6">
        <f>IF(ISERROR(VLOOKUP($S$37,'TAR FIN'!$A$1:$O$85,15,0)),0,VLOOKUP($S$37,'TAR FIN'!$A$1:$O$85,15,0))</f>
        <v>0</v>
      </c>
      <c r="W37" s="6">
        <f>IF(ISERROR(VLOOKUP($T$37,'TAR FIN'!$A$1:$O$85,15,0)),0,VLOOKUP($T$37,'TAR FIN'!$A$1:$O$85,15,0))</f>
        <v>93.48</v>
      </c>
      <c r="X37" s="6">
        <f>IF(ISERROR(VLOOKUP($U$37,'TAR FIN'!$A$1:$O$85,15,0)),0,VLOOKUP($U$37,'TAR FIN'!$A$1:$O$85,15,0))</f>
        <v>240.29</v>
      </c>
      <c r="Y37" s="6"/>
      <c r="Z37" s="6">
        <f ca="1">('TUSD BE'!$AM$12+'TUSD BF'!$AM$12+'TUSD CVA'!$AM$12)*1</f>
        <v>133.17611987332398</v>
      </c>
      <c r="AA37" s="6">
        <f>('TE BE'!$AA$6+'TE BF'!$AA$6+'TE CVA'!$AA$6)*1</f>
        <v>330.73086315618451</v>
      </c>
      <c r="AB37" s="6">
        <f>$K$37*$V$37</f>
        <v>0</v>
      </c>
      <c r="AC37" s="6">
        <f>$M$37*$W$37</f>
        <v>11511.22068</v>
      </c>
      <c r="AD37" s="6">
        <f>$O$37*$X$37</f>
        <v>29589.550889999999</v>
      </c>
      <c r="AE37" s="6">
        <f>$K$37*$Y$37</f>
        <v>0</v>
      </c>
      <c r="AF37" s="6">
        <f ca="1">$M$37*$Z$37</f>
        <v>16399.440577320991</v>
      </c>
      <c r="AG37" s="6">
        <f>$O$37*$AA$37</f>
        <v>40726.529219915719</v>
      </c>
    </row>
    <row r="38" spans="1:33" ht="11.25" customHeight="1" x14ac:dyDescent="0.3">
      <c r="A38" s="4" t="s">
        <v>21</v>
      </c>
      <c r="B38" s="4" t="s">
        <v>37</v>
      </c>
      <c r="C38" s="4" t="s">
        <v>38</v>
      </c>
      <c r="D38" s="4" t="s">
        <v>40</v>
      </c>
      <c r="E38" s="4" t="s">
        <v>25</v>
      </c>
      <c r="F38" s="4" t="s">
        <v>25</v>
      </c>
      <c r="G38" s="4" t="s">
        <v>25</v>
      </c>
      <c r="H38" s="4" t="s">
        <v>25</v>
      </c>
      <c r="I38" s="5">
        <v>44287</v>
      </c>
      <c r="J38" s="6">
        <v>390</v>
      </c>
      <c r="K38" s="6">
        <v>390</v>
      </c>
      <c r="L38" s="6">
        <v>0</v>
      </c>
      <c r="M38" s="6">
        <v>0</v>
      </c>
      <c r="N38" s="6">
        <v>0</v>
      </c>
      <c r="O38" s="6">
        <v>0</v>
      </c>
      <c r="P38" s="6">
        <v>3</v>
      </c>
      <c r="Q38" s="4" t="s">
        <v>26</v>
      </c>
      <c r="R38" s="4">
        <v>0</v>
      </c>
      <c r="S38" s="6">
        <v>50</v>
      </c>
      <c r="T38" s="6">
        <v>0</v>
      </c>
      <c r="U38" s="6">
        <v>0</v>
      </c>
      <c r="V38" s="6">
        <f>IF(ISERROR(VLOOKUP($S$38,'TAR FIN'!$A$1:$O$85,15,0)),0,VLOOKUP($S$38,'TAR FIN'!$A$1:$O$85,15,0))</f>
        <v>74.41</v>
      </c>
      <c r="W38" s="6">
        <f>IF(ISERROR(VLOOKUP($T$38,'TAR FIN'!$A$1:$O$85,15,0)),0,VLOOKUP($T$38,'TAR FIN'!$A$1:$O$85,15,0))</f>
        <v>0</v>
      </c>
      <c r="X38" s="6">
        <f>IF(ISERROR(VLOOKUP($U$38,'TAR FIN'!$A$1:$O$85,15,0)),0,VLOOKUP($U$38,'TAR FIN'!$A$1:$O$85,15,0))</f>
        <v>0</v>
      </c>
      <c r="Y38" s="6">
        <f ca="1">('TUSD BE'!$AM$10+'TUSD BF'!$AM$10+'TUSD CVA'!$AM$10)*1</f>
        <v>81.040976339510664</v>
      </c>
      <c r="Z38" s="6"/>
      <c r="AA38" s="6"/>
      <c r="AB38" s="6">
        <f>$K$38*$V$38</f>
        <v>29019.899999999998</v>
      </c>
      <c r="AC38" s="6">
        <f>$M$38*$W$38</f>
        <v>0</v>
      </c>
      <c r="AD38" s="6">
        <f>$O$38*$X$38</f>
        <v>0</v>
      </c>
      <c r="AE38" s="6">
        <f ca="1">$K$38*$Y$38</f>
        <v>31605.980772409159</v>
      </c>
      <c r="AF38" s="6">
        <f>$M$38*$Z$38</f>
        <v>0</v>
      </c>
      <c r="AG38" s="6">
        <f>$O$38*$AA$38</f>
        <v>0</v>
      </c>
    </row>
    <row r="39" spans="1:33" ht="11.25" customHeight="1" x14ac:dyDescent="0.3">
      <c r="A39" s="4" t="s">
        <v>21</v>
      </c>
      <c r="B39" s="4" t="s">
        <v>37</v>
      </c>
      <c r="C39" s="4" t="s">
        <v>38</v>
      </c>
      <c r="D39" s="4" t="s">
        <v>40</v>
      </c>
      <c r="E39" s="4" t="s">
        <v>25</v>
      </c>
      <c r="F39" s="4" t="s">
        <v>25</v>
      </c>
      <c r="G39" s="4" t="s">
        <v>25</v>
      </c>
      <c r="H39" s="4" t="s">
        <v>25</v>
      </c>
      <c r="I39" s="5">
        <v>44317</v>
      </c>
      <c r="J39" s="6">
        <v>392</v>
      </c>
      <c r="K39" s="6">
        <v>392</v>
      </c>
      <c r="L39" s="6">
        <v>0</v>
      </c>
      <c r="M39" s="6">
        <v>0</v>
      </c>
      <c r="N39" s="6">
        <v>0</v>
      </c>
      <c r="O39" s="6">
        <v>0</v>
      </c>
      <c r="P39" s="6">
        <v>3</v>
      </c>
      <c r="Q39" s="4" t="s">
        <v>26</v>
      </c>
      <c r="R39" s="4">
        <v>0</v>
      </c>
      <c r="S39" s="6">
        <v>50</v>
      </c>
      <c r="T39" s="6">
        <v>0</v>
      </c>
      <c r="U39" s="6">
        <v>0</v>
      </c>
      <c r="V39" s="6">
        <f>IF(ISERROR(VLOOKUP($S$39,'TAR FIN'!$A$1:$O$85,15,0)),0,VLOOKUP($S$39,'TAR FIN'!$A$1:$O$85,15,0))</f>
        <v>74.41</v>
      </c>
      <c r="W39" s="6">
        <f>IF(ISERROR(VLOOKUP($T$39,'TAR FIN'!$A$1:$O$85,15,0)),0,VLOOKUP($T$39,'TAR FIN'!$A$1:$O$85,15,0))</f>
        <v>0</v>
      </c>
      <c r="X39" s="6">
        <f>IF(ISERROR(VLOOKUP($U$39,'TAR FIN'!$A$1:$O$85,15,0)),0,VLOOKUP($U$39,'TAR FIN'!$A$1:$O$85,15,0))</f>
        <v>0</v>
      </c>
      <c r="Y39" s="6">
        <f ca="1">('TUSD BE'!$AM$10+'TUSD BF'!$AM$10+'TUSD CVA'!$AM$10)*1</f>
        <v>81.040976339510664</v>
      </c>
      <c r="Z39" s="6"/>
      <c r="AA39" s="6"/>
      <c r="AB39" s="6">
        <f>$K$39*$V$39</f>
        <v>29168.719999999998</v>
      </c>
      <c r="AC39" s="6">
        <f>$M$39*$W$39</f>
        <v>0</v>
      </c>
      <c r="AD39" s="6">
        <f>$O$39*$X$39</f>
        <v>0</v>
      </c>
      <c r="AE39" s="6">
        <f ca="1">$K$39*$Y$39</f>
        <v>31768.062725088181</v>
      </c>
      <c r="AF39" s="6">
        <f>$M$39*$Z$39</f>
        <v>0</v>
      </c>
      <c r="AG39" s="6">
        <f>$O$39*$AA$39</f>
        <v>0</v>
      </c>
    </row>
    <row r="40" spans="1:33" ht="11.25" customHeight="1" x14ac:dyDescent="0.3">
      <c r="A40" s="4" t="s">
        <v>21</v>
      </c>
      <c r="B40" s="4" t="s">
        <v>37</v>
      </c>
      <c r="C40" s="4" t="s">
        <v>38</v>
      </c>
      <c r="D40" s="4" t="s">
        <v>40</v>
      </c>
      <c r="E40" s="4" t="s">
        <v>25</v>
      </c>
      <c r="F40" s="4" t="s">
        <v>25</v>
      </c>
      <c r="G40" s="4" t="s">
        <v>25</v>
      </c>
      <c r="H40" s="4" t="s">
        <v>25</v>
      </c>
      <c r="I40" s="5">
        <v>44348</v>
      </c>
      <c r="J40" s="6">
        <v>390</v>
      </c>
      <c r="K40" s="6">
        <v>390</v>
      </c>
      <c r="L40" s="6">
        <v>0</v>
      </c>
      <c r="M40" s="6">
        <v>0</v>
      </c>
      <c r="N40" s="6">
        <v>0</v>
      </c>
      <c r="O40" s="6">
        <v>0</v>
      </c>
      <c r="P40" s="6">
        <v>3</v>
      </c>
      <c r="Q40" s="4" t="s">
        <v>26</v>
      </c>
      <c r="R40" s="4">
        <v>0</v>
      </c>
      <c r="S40" s="6">
        <v>50</v>
      </c>
      <c r="T40" s="6">
        <v>0</v>
      </c>
      <c r="U40" s="6">
        <v>0</v>
      </c>
      <c r="V40" s="6">
        <f>IF(ISERROR(VLOOKUP($S$40,'TAR FIN'!$A$1:$O$85,15,0)),0,VLOOKUP($S$40,'TAR FIN'!$A$1:$O$85,15,0))</f>
        <v>74.41</v>
      </c>
      <c r="W40" s="6">
        <f>IF(ISERROR(VLOOKUP($T$40,'TAR FIN'!$A$1:$O$85,15,0)),0,VLOOKUP($T$40,'TAR FIN'!$A$1:$O$85,15,0))</f>
        <v>0</v>
      </c>
      <c r="X40" s="6">
        <f>IF(ISERROR(VLOOKUP($U$40,'TAR FIN'!$A$1:$O$85,15,0)),0,VLOOKUP($U$40,'TAR FIN'!$A$1:$O$85,15,0))</f>
        <v>0</v>
      </c>
      <c r="Y40" s="6">
        <f ca="1">('TUSD BE'!$AM$10+'TUSD BF'!$AM$10+'TUSD CVA'!$AM$10)*1</f>
        <v>81.040976339510664</v>
      </c>
      <c r="Z40" s="6"/>
      <c r="AA40" s="6"/>
      <c r="AB40" s="6">
        <f>$K$40*$V$40</f>
        <v>29019.899999999998</v>
      </c>
      <c r="AC40" s="6">
        <f>$M$40*$W$40</f>
        <v>0</v>
      </c>
      <c r="AD40" s="6">
        <f>$O$40*$X$40</f>
        <v>0</v>
      </c>
      <c r="AE40" s="6">
        <f ca="1">$K$40*$Y$40</f>
        <v>31605.980772409159</v>
      </c>
      <c r="AF40" s="6">
        <f>$M$40*$Z$40</f>
        <v>0</v>
      </c>
      <c r="AG40" s="6">
        <f>$O$40*$AA$40</f>
        <v>0</v>
      </c>
    </row>
    <row r="41" spans="1:33" ht="11.25" customHeight="1" x14ac:dyDescent="0.3">
      <c r="A41" s="4" t="s">
        <v>21</v>
      </c>
      <c r="B41" s="4" t="s">
        <v>37</v>
      </c>
      <c r="C41" s="4" t="s">
        <v>38</v>
      </c>
      <c r="D41" s="4" t="s">
        <v>40</v>
      </c>
      <c r="E41" s="4" t="s">
        <v>25</v>
      </c>
      <c r="F41" s="4" t="s">
        <v>25</v>
      </c>
      <c r="G41" s="4" t="s">
        <v>25</v>
      </c>
      <c r="H41" s="4" t="s">
        <v>25</v>
      </c>
      <c r="I41" s="5">
        <v>44378</v>
      </c>
      <c r="J41" s="6">
        <v>390</v>
      </c>
      <c r="K41" s="6">
        <v>390</v>
      </c>
      <c r="L41" s="6">
        <v>0</v>
      </c>
      <c r="M41" s="6">
        <v>0</v>
      </c>
      <c r="N41" s="6">
        <v>0</v>
      </c>
      <c r="O41" s="6">
        <v>0</v>
      </c>
      <c r="P41" s="6">
        <v>3</v>
      </c>
      <c r="Q41" s="4" t="s">
        <v>26</v>
      </c>
      <c r="R41" s="4">
        <v>0</v>
      </c>
      <c r="S41" s="6">
        <v>50</v>
      </c>
      <c r="T41" s="6">
        <v>0</v>
      </c>
      <c r="U41" s="6">
        <v>0</v>
      </c>
      <c r="V41" s="6">
        <f>IF(ISERROR(VLOOKUP($S$41,'TAR FIN'!$A$1:$O$85,15,0)),0,VLOOKUP($S$41,'TAR FIN'!$A$1:$O$85,15,0))</f>
        <v>74.41</v>
      </c>
      <c r="W41" s="6">
        <f>IF(ISERROR(VLOOKUP($T$41,'TAR FIN'!$A$1:$O$85,15,0)),0,VLOOKUP($T$41,'TAR FIN'!$A$1:$O$85,15,0))</f>
        <v>0</v>
      </c>
      <c r="X41" s="6">
        <f>IF(ISERROR(VLOOKUP($U$41,'TAR FIN'!$A$1:$O$85,15,0)),0,VLOOKUP($U$41,'TAR FIN'!$A$1:$O$85,15,0))</f>
        <v>0</v>
      </c>
      <c r="Y41" s="6">
        <f ca="1">('TUSD BE'!$AM$10+'TUSD BF'!$AM$10+'TUSD CVA'!$AM$10)*1</f>
        <v>81.040976339510664</v>
      </c>
      <c r="Z41" s="6"/>
      <c r="AA41" s="6"/>
      <c r="AB41" s="6">
        <f>$K$41*$V$41</f>
        <v>29019.899999999998</v>
      </c>
      <c r="AC41" s="6">
        <f>$M$41*$W$41</f>
        <v>0</v>
      </c>
      <c r="AD41" s="6">
        <f>$O$41*$X$41</f>
        <v>0</v>
      </c>
      <c r="AE41" s="6">
        <f ca="1">$K$41*$Y$41</f>
        <v>31605.980772409159</v>
      </c>
      <c r="AF41" s="6">
        <f>$M$41*$Z$41</f>
        <v>0</v>
      </c>
      <c r="AG41" s="6">
        <f>$O$41*$AA$41</f>
        <v>0</v>
      </c>
    </row>
    <row r="42" spans="1:33" ht="11.25" customHeight="1" x14ac:dyDescent="0.3">
      <c r="A42" s="4" t="s">
        <v>21</v>
      </c>
      <c r="B42" s="4" t="s">
        <v>37</v>
      </c>
      <c r="C42" s="4" t="s">
        <v>38</v>
      </c>
      <c r="D42" s="4" t="s">
        <v>40</v>
      </c>
      <c r="E42" s="4" t="s">
        <v>25</v>
      </c>
      <c r="F42" s="4" t="s">
        <v>25</v>
      </c>
      <c r="G42" s="4" t="s">
        <v>25</v>
      </c>
      <c r="H42" s="4" t="s">
        <v>25</v>
      </c>
      <c r="I42" s="5">
        <v>44409</v>
      </c>
      <c r="J42" s="6">
        <v>290</v>
      </c>
      <c r="K42" s="6">
        <v>290</v>
      </c>
      <c r="L42" s="6">
        <v>0</v>
      </c>
      <c r="M42" s="6">
        <v>0</v>
      </c>
      <c r="N42" s="6">
        <v>0</v>
      </c>
      <c r="O42" s="6">
        <v>0</v>
      </c>
      <c r="P42" s="6">
        <v>3</v>
      </c>
      <c r="Q42" s="4" t="s">
        <v>26</v>
      </c>
      <c r="R42" s="4">
        <v>0</v>
      </c>
      <c r="S42" s="6">
        <v>50</v>
      </c>
      <c r="T42" s="6">
        <v>0</v>
      </c>
      <c r="U42" s="6">
        <v>0</v>
      </c>
      <c r="V42" s="6">
        <f>IF(ISERROR(VLOOKUP($S$42,'TAR FIN'!$A$1:$O$85,15,0)),0,VLOOKUP($S$42,'TAR FIN'!$A$1:$O$85,15,0))</f>
        <v>74.41</v>
      </c>
      <c r="W42" s="6">
        <f>IF(ISERROR(VLOOKUP($T$42,'TAR FIN'!$A$1:$O$85,15,0)),0,VLOOKUP($T$42,'TAR FIN'!$A$1:$O$85,15,0))</f>
        <v>0</v>
      </c>
      <c r="X42" s="6">
        <f>IF(ISERROR(VLOOKUP($U$42,'TAR FIN'!$A$1:$O$85,15,0)),0,VLOOKUP($U$42,'TAR FIN'!$A$1:$O$85,15,0))</f>
        <v>0</v>
      </c>
      <c r="Y42" s="6">
        <f ca="1">('TUSD BE'!$AM$10+'TUSD BF'!$AM$10+'TUSD CVA'!$AM$10)*1</f>
        <v>81.040976339510664</v>
      </c>
      <c r="Z42" s="6"/>
      <c r="AA42" s="6"/>
      <c r="AB42" s="6">
        <f>$K$42*$V$42</f>
        <v>21578.899999999998</v>
      </c>
      <c r="AC42" s="6">
        <f>$M$42*$W$42</f>
        <v>0</v>
      </c>
      <c r="AD42" s="6">
        <f>$O$42*$X$42</f>
        <v>0</v>
      </c>
      <c r="AE42" s="6">
        <f ca="1">$K$42*$Y$42</f>
        <v>23501.883138458092</v>
      </c>
      <c r="AF42" s="6">
        <f>$M$42*$Z$42</f>
        <v>0</v>
      </c>
      <c r="AG42" s="6">
        <f>$O$42*$AA$42</f>
        <v>0</v>
      </c>
    </row>
    <row r="43" spans="1:33" ht="11.25" customHeight="1" x14ac:dyDescent="0.3">
      <c r="A43" s="4" t="s">
        <v>21</v>
      </c>
      <c r="B43" s="4" t="s">
        <v>37</v>
      </c>
      <c r="C43" s="4" t="s">
        <v>38</v>
      </c>
      <c r="D43" s="4" t="s">
        <v>40</v>
      </c>
      <c r="E43" s="4" t="s">
        <v>25</v>
      </c>
      <c r="F43" s="4" t="s">
        <v>25</v>
      </c>
      <c r="G43" s="4" t="s">
        <v>25</v>
      </c>
      <c r="H43" s="4" t="s">
        <v>25</v>
      </c>
      <c r="I43" s="5">
        <v>44440</v>
      </c>
      <c r="J43" s="6">
        <v>321</v>
      </c>
      <c r="K43" s="6">
        <v>321</v>
      </c>
      <c r="L43" s="6">
        <v>0</v>
      </c>
      <c r="M43" s="6">
        <v>0</v>
      </c>
      <c r="N43" s="6">
        <v>0</v>
      </c>
      <c r="O43" s="6">
        <v>0</v>
      </c>
      <c r="P43" s="6">
        <v>3</v>
      </c>
      <c r="Q43" s="4" t="s">
        <v>26</v>
      </c>
      <c r="R43" s="4">
        <v>0</v>
      </c>
      <c r="S43" s="6">
        <v>50</v>
      </c>
      <c r="T43" s="6">
        <v>0</v>
      </c>
      <c r="U43" s="6">
        <v>0</v>
      </c>
      <c r="V43" s="6">
        <f>IF(ISERROR(VLOOKUP($S$43,'TAR FIN'!$A$1:$O$85,15,0)),0,VLOOKUP($S$43,'TAR FIN'!$A$1:$O$85,15,0))</f>
        <v>74.41</v>
      </c>
      <c r="W43" s="6">
        <f>IF(ISERROR(VLOOKUP($T$43,'TAR FIN'!$A$1:$O$85,15,0)),0,VLOOKUP($T$43,'TAR FIN'!$A$1:$O$85,15,0))</f>
        <v>0</v>
      </c>
      <c r="X43" s="6">
        <f>IF(ISERROR(VLOOKUP($U$43,'TAR FIN'!$A$1:$O$85,15,0)),0,VLOOKUP($U$43,'TAR FIN'!$A$1:$O$85,15,0))</f>
        <v>0</v>
      </c>
      <c r="Y43" s="6">
        <f ca="1">('TUSD BE'!$AM$10+'TUSD BF'!$AM$10+'TUSD CVA'!$AM$10)*1</f>
        <v>81.040976339510664</v>
      </c>
      <c r="Z43" s="6"/>
      <c r="AA43" s="6"/>
      <c r="AB43" s="6">
        <f>$K$43*$V$43</f>
        <v>23885.61</v>
      </c>
      <c r="AC43" s="6">
        <f>$M$43*$W$43</f>
        <v>0</v>
      </c>
      <c r="AD43" s="6">
        <f>$O$43*$X$43</f>
        <v>0</v>
      </c>
      <c r="AE43" s="6">
        <f ca="1">$K$43*$Y$43</f>
        <v>26014.153404982924</v>
      </c>
      <c r="AF43" s="6">
        <f>$M$43*$Z$43</f>
        <v>0</v>
      </c>
      <c r="AG43" s="6">
        <f>$O$43*$AA$43</f>
        <v>0</v>
      </c>
    </row>
    <row r="44" spans="1:33" ht="11.25" customHeight="1" x14ac:dyDescent="0.3">
      <c r="A44" s="4" t="s">
        <v>21</v>
      </c>
      <c r="B44" s="4" t="s">
        <v>37</v>
      </c>
      <c r="C44" s="4" t="s">
        <v>38</v>
      </c>
      <c r="D44" s="4" t="s">
        <v>40</v>
      </c>
      <c r="E44" s="4" t="s">
        <v>25</v>
      </c>
      <c r="F44" s="4" t="s">
        <v>25</v>
      </c>
      <c r="G44" s="4" t="s">
        <v>25</v>
      </c>
      <c r="H44" s="4" t="s">
        <v>25</v>
      </c>
      <c r="I44" s="5">
        <v>44470</v>
      </c>
      <c r="J44" s="6">
        <v>304</v>
      </c>
      <c r="K44" s="6">
        <v>304</v>
      </c>
      <c r="L44" s="6">
        <v>0</v>
      </c>
      <c r="M44" s="6">
        <v>0</v>
      </c>
      <c r="N44" s="6">
        <v>0</v>
      </c>
      <c r="O44" s="6">
        <v>0</v>
      </c>
      <c r="P44" s="6">
        <v>3</v>
      </c>
      <c r="Q44" s="4" t="s">
        <v>26</v>
      </c>
      <c r="R44" s="4">
        <v>0</v>
      </c>
      <c r="S44" s="6">
        <v>50</v>
      </c>
      <c r="T44" s="6">
        <v>0</v>
      </c>
      <c r="U44" s="6">
        <v>0</v>
      </c>
      <c r="V44" s="6">
        <f>IF(ISERROR(VLOOKUP($S$44,'TAR FIN'!$A$1:$O$85,15,0)),0,VLOOKUP($S$44,'TAR FIN'!$A$1:$O$85,15,0))</f>
        <v>74.41</v>
      </c>
      <c r="W44" s="6">
        <f>IF(ISERROR(VLOOKUP($T$44,'TAR FIN'!$A$1:$O$85,15,0)),0,VLOOKUP($T$44,'TAR FIN'!$A$1:$O$85,15,0))</f>
        <v>0</v>
      </c>
      <c r="X44" s="6">
        <f>IF(ISERROR(VLOOKUP($U$44,'TAR FIN'!$A$1:$O$85,15,0)),0,VLOOKUP($U$44,'TAR FIN'!$A$1:$O$85,15,0))</f>
        <v>0</v>
      </c>
      <c r="Y44" s="6">
        <f ca="1">('TUSD BE'!$AM$10+'TUSD BF'!$AM$10+'TUSD CVA'!$AM$10)*1</f>
        <v>81.040976339510664</v>
      </c>
      <c r="Z44" s="6"/>
      <c r="AA44" s="6"/>
      <c r="AB44" s="6">
        <f>$K$44*$V$44</f>
        <v>22620.639999999999</v>
      </c>
      <c r="AC44" s="6">
        <f>$M$44*$W$44</f>
        <v>0</v>
      </c>
      <c r="AD44" s="6">
        <f>$O$44*$X$44</f>
        <v>0</v>
      </c>
      <c r="AE44" s="6">
        <f ca="1">$K$44*$Y$44</f>
        <v>24636.456807211242</v>
      </c>
      <c r="AF44" s="6">
        <f>$M$44*$Z$44</f>
        <v>0</v>
      </c>
      <c r="AG44" s="6">
        <f>$O$44*$AA$44</f>
        <v>0</v>
      </c>
    </row>
    <row r="45" spans="1:33" ht="11.25" customHeight="1" x14ac:dyDescent="0.3">
      <c r="A45" s="4" t="s">
        <v>21</v>
      </c>
      <c r="B45" s="4" t="s">
        <v>37</v>
      </c>
      <c r="C45" s="4" t="s">
        <v>38</v>
      </c>
      <c r="D45" s="4" t="s">
        <v>40</v>
      </c>
      <c r="E45" s="4" t="s">
        <v>25</v>
      </c>
      <c r="F45" s="4" t="s">
        <v>25</v>
      </c>
      <c r="G45" s="4" t="s">
        <v>25</v>
      </c>
      <c r="H45" s="4" t="s">
        <v>25</v>
      </c>
      <c r="I45" s="5">
        <v>44501</v>
      </c>
      <c r="J45" s="6">
        <v>296</v>
      </c>
      <c r="K45" s="6">
        <v>296</v>
      </c>
      <c r="L45" s="6">
        <v>0</v>
      </c>
      <c r="M45" s="6">
        <v>0</v>
      </c>
      <c r="N45" s="6">
        <v>0</v>
      </c>
      <c r="O45" s="6">
        <v>0</v>
      </c>
      <c r="P45" s="6">
        <v>3</v>
      </c>
      <c r="Q45" s="4" t="s">
        <v>26</v>
      </c>
      <c r="R45" s="4">
        <v>0</v>
      </c>
      <c r="S45" s="6">
        <v>50</v>
      </c>
      <c r="T45" s="6">
        <v>0</v>
      </c>
      <c r="U45" s="6">
        <v>0</v>
      </c>
      <c r="V45" s="6">
        <f>IF(ISERROR(VLOOKUP($S$45,'TAR FIN'!$A$1:$O$85,15,0)),0,VLOOKUP($S$45,'TAR FIN'!$A$1:$O$85,15,0))</f>
        <v>74.41</v>
      </c>
      <c r="W45" s="6">
        <f>IF(ISERROR(VLOOKUP($T$45,'TAR FIN'!$A$1:$O$85,15,0)),0,VLOOKUP($T$45,'TAR FIN'!$A$1:$O$85,15,0))</f>
        <v>0</v>
      </c>
      <c r="X45" s="6">
        <f>IF(ISERROR(VLOOKUP($U$45,'TAR FIN'!$A$1:$O$85,15,0)),0,VLOOKUP($U$45,'TAR FIN'!$A$1:$O$85,15,0))</f>
        <v>0</v>
      </c>
      <c r="Y45" s="6">
        <f ca="1">('TUSD BE'!$AM$10+'TUSD BF'!$AM$10+'TUSD CVA'!$AM$10)*1</f>
        <v>81.040976339510664</v>
      </c>
      <c r="Z45" s="6"/>
      <c r="AA45" s="6"/>
      <c r="AB45" s="6">
        <f>$K$45*$V$45</f>
        <v>22025.360000000001</v>
      </c>
      <c r="AC45" s="6">
        <f>$M$45*$W$45</f>
        <v>0</v>
      </c>
      <c r="AD45" s="6">
        <f>$O$45*$X$45</f>
        <v>0</v>
      </c>
      <c r="AE45" s="6">
        <f ca="1">$K$45*$Y$45</f>
        <v>23988.128996495157</v>
      </c>
      <c r="AF45" s="6">
        <f>$M$45*$Z$45</f>
        <v>0</v>
      </c>
      <c r="AG45" s="6">
        <f>$O$45*$AA$45</f>
        <v>0</v>
      </c>
    </row>
    <row r="46" spans="1:33" ht="11.25" customHeight="1" x14ac:dyDescent="0.3">
      <c r="A46" s="4" t="s">
        <v>21</v>
      </c>
      <c r="B46" s="4" t="s">
        <v>37</v>
      </c>
      <c r="C46" s="4" t="s">
        <v>38</v>
      </c>
      <c r="D46" s="4" t="s">
        <v>40</v>
      </c>
      <c r="E46" s="4" t="s">
        <v>25</v>
      </c>
      <c r="F46" s="4" t="s">
        <v>25</v>
      </c>
      <c r="G46" s="4" t="s">
        <v>25</v>
      </c>
      <c r="H46" s="4" t="s">
        <v>25</v>
      </c>
      <c r="I46" s="5">
        <v>44531</v>
      </c>
      <c r="J46" s="6">
        <v>330</v>
      </c>
      <c r="K46" s="6">
        <v>330</v>
      </c>
      <c r="L46" s="6">
        <v>0</v>
      </c>
      <c r="M46" s="6">
        <v>0</v>
      </c>
      <c r="N46" s="6">
        <v>0</v>
      </c>
      <c r="O46" s="6">
        <v>0</v>
      </c>
      <c r="P46" s="6">
        <v>3</v>
      </c>
      <c r="Q46" s="4" t="s">
        <v>26</v>
      </c>
      <c r="R46" s="4">
        <v>0</v>
      </c>
      <c r="S46" s="6">
        <v>50</v>
      </c>
      <c r="T46" s="6">
        <v>0</v>
      </c>
      <c r="U46" s="6">
        <v>0</v>
      </c>
      <c r="V46" s="6">
        <f>IF(ISERROR(VLOOKUP($S$46,'TAR FIN'!$A$1:$O$85,15,0)),0,VLOOKUP($S$46,'TAR FIN'!$A$1:$O$85,15,0))</f>
        <v>74.41</v>
      </c>
      <c r="W46" s="6">
        <f>IF(ISERROR(VLOOKUP($T$46,'TAR FIN'!$A$1:$O$85,15,0)),0,VLOOKUP($T$46,'TAR FIN'!$A$1:$O$85,15,0))</f>
        <v>0</v>
      </c>
      <c r="X46" s="6">
        <f>IF(ISERROR(VLOOKUP($U$46,'TAR FIN'!$A$1:$O$85,15,0)),0,VLOOKUP($U$46,'TAR FIN'!$A$1:$O$85,15,0))</f>
        <v>0</v>
      </c>
      <c r="Y46" s="6">
        <f ca="1">('TUSD BE'!$AM$10+'TUSD BF'!$AM$10+'TUSD CVA'!$AM$10)*1</f>
        <v>81.040976339510664</v>
      </c>
      <c r="Z46" s="6"/>
      <c r="AA46" s="6"/>
      <c r="AB46" s="6">
        <f>$K$46*$V$46</f>
        <v>24555.3</v>
      </c>
      <c r="AC46" s="6">
        <f>$M$46*$W$46</f>
        <v>0</v>
      </c>
      <c r="AD46" s="6">
        <f>$O$46*$X$46</f>
        <v>0</v>
      </c>
      <c r="AE46" s="6">
        <f ca="1">$K$46*$Y$46</f>
        <v>26743.522192038519</v>
      </c>
      <c r="AF46" s="6">
        <f>$M$46*$Z$46</f>
        <v>0</v>
      </c>
      <c r="AG46" s="6">
        <f>$O$46*$AA$46</f>
        <v>0</v>
      </c>
    </row>
    <row r="47" spans="1:33" ht="11.25" customHeight="1" x14ac:dyDescent="0.3">
      <c r="A47" s="4" t="s">
        <v>21</v>
      </c>
      <c r="B47" s="4" t="s">
        <v>37</v>
      </c>
      <c r="C47" s="4" t="s">
        <v>38</v>
      </c>
      <c r="D47" s="4" t="s">
        <v>40</v>
      </c>
      <c r="E47" s="4" t="s">
        <v>25</v>
      </c>
      <c r="F47" s="4" t="s">
        <v>25</v>
      </c>
      <c r="G47" s="4" t="s">
        <v>25</v>
      </c>
      <c r="H47" s="4" t="s">
        <v>25</v>
      </c>
      <c r="I47" s="5">
        <v>44562</v>
      </c>
      <c r="J47" s="6">
        <v>370</v>
      </c>
      <c r="K47" s="6">
        <v>370</v>
      </c>
      <c r="L47" s="6">
        <v>0</v>
      </c>
      <c r="M47" s="6">
        <v>0</v>
      </c>
      <c r="N47" s="6">
        <v>0</v>
      </c>
      <c r="O47" s="6">
        <v>0</v>
      </c>
      <c r="P47" s="6">
        <v>3</v>
      </c>
      <c r="Q47" s="4" t="s">
        <v>26</v>
      </c>
      <c r="R47" s="4">
        <v>0</v>
      </c>
      <c r="S47" s="6">
        <v>50</v>
      </c>
      <c r="T47" s="6">
        <v>0</v>
      </c>
      <c r="U47" s="6">
        <v>0</v>
      </c>
      <c r="V47" s="6">
        <f>IF(ISERROR(VLOOKUP($S$47,'TAR FIN'!$A$1:$O$85,15,0)),0,VLOOKUP($S$47,'TAR FIN'!$A$1:$O$85,15,0))</f>
        <v>74.41</v>
      </c>
      <c r="W47" s="6">
        <f>IF(ISERROR(VLOOKUP($T$47,'TAR FIN'!$A$1:$O$85,15,0)),0,VLOOKUP($T$47,'TAR FIN'!$A$1:$O$85,15,0))</f>
        <v>0</v>
      </c>
      <c r="X47" s="6">
        <f>IF(ISERROR(VLOOKUP($U$47,'TAR FIN'!$A$1:$O$85,15,0)),0,VLOOKUP($U$47,'TAR FIN'!$A$1:$O$85,15,0))</f>
        <v>0</v>
      </c>
      <c r="Y47" s="6">
        <f ca="1">('TUSD BE'!$AM$10+'TUSD BF'!$AM$10+'TUSD CVA'!$AM$10)*1</f>
        <v>81.040976339510664</v>
      </c>
      <c r="Z47" s="6"/>
      <c r="AA47" s="6"/>
      <c r="AB47" s="6">
        <f>$K$47*$V$47</f>
        <v>27531.699999999997</v>
      </c>
      <c r="AC47" s="6">
        <f>$M$47*$W$47</f>
        <v>0</v>
      </c>
      <c r="AD47" s="6">
        <f>$O$47*$X$47</f>
        <v>0</v>
      </c>
      <c r="AE47" s="6">
        <f ca="1">$K$47*$Y$47</f>
        <v>29985.161245618947</v>
      </c>
      <c r="AF47" s="6">
        <f>$M$47*$Z$47</f>
        <v>0</v>
      </c>
      <c r="AG47" s="6">
        <f>$O$47*$AA$47</f>
        <v>0</v>
      </c>
    </row>
    <row r="48" spans="1:33" ht="11.25" customHeight="1" x14ac:dyDescent="0.3">
      <c r="A48" s="4" t="s">
        <v>21</v>
      </c>
      <c r="B48" s="4" t="s">
        <v>37</v>
      </c>
      <c r="C48" s="4" t="s">
        <v>38</v>
      </c>
      <c r="D48" s="4" t="s">
        <v>40</v>
      </c>
      <c r="E48" s="4" t="s">
        <v>25</v>
      </c>
      <c r="F48" s="4" t="s">
        <v>25</v>
      </c>
      <c r="G48" s="4" t="s">
        <v>25</v>
      </c>
      <c r="H48" s="4" t="s">
        <v>25</v>
      </c>
      <c r="I48" s="5">
        <v>44593</v>
      </c>
      <c r="J48" s="6">
        <v>363</v>
      </c>
      <c r="K48" s="6">
        <v>363</v>
      </c>
      <c r="L48" s="6">
        <v>0</v>
      </c>
      <c r="M48" s="6">
        <v>0</v>
      </c>
      <c r="N48" s="6">
        <v>0</v>
      </c>
      <c r="O48" s="6">
        <v>0</v>
      </c>
      <c r="P48" s="6">
        <v>3</v>
      </c>
      <c r="Q48" s="4" t="s">
        <v>26</v>
      </c>
      <c r="R48" s="4">
        <v>0</v>
      </c>
      <c r="S48" s="6">
        <v>50</v>
      </c>
      <c r="T48" s="6">
        <v>0</v>
      </c>
      <c r="U48" s="6">
        <v>0</v>
      </c>
      <c r="V48" s="6">
        <f>IF(ISERROR(VLOOKUP($S$48,'TAR FIN'!$A$1:$O$85,15,0)),0,VLOOKUP($S$48,'TAR FIN'!$A$1:$O$85,15,0))</f>
        <v>74.41</v>
      </c>
      <c r="W48" s="6">
        <f>IF(ISERROR(VLOOKUP($T$48,'TAR FIN'!$A$1:$O$85,15,0)),0,VLOOKUP($T$48,'TAR FIN'!$A$1:$O$85,15,0))</f>
        <v>0</v>
      </c>
      <c r="X48" s="6">
        <f>IF(ISERROR(VLOOKUP($U$48,'TAR FIN'!$A$1:$O$85,15,0)),0,VLOOKUP($U$48,'TAR FIN'!$A$1:$O$85,15,0))</f>
        <v>0</v>
      </c>
      <c r="Y48" s="6">
        <f ca="1">('TUSD BE'!$AM$10+'TUSD BF'!$AM$10+'TUSD CVA'!$AM$10)*1</f>
        <v>81.040976339510664</v>
      </c>
      <c r="Z48" s="6"/>
      <c r="AA48" s="6"/>
      <c r="AB48" s="6">
        <f>$K$48*$V$48</f>
        <v>27010.829999999998</v>
      </c>
      <c r="AC48" s="6">
        <f>$M$48*$W$48</f>
        <v>0</v>
      </c>
      <c r="AD48" s="6">
        <f>$O$48*$X$48</f>
        <v>0</v>
      </c>
      <c r="AE48" s="6">
        <f ca="1">$K$48*$Y$48</f>
        <v>29417.87441124237</v>
      </c>
      <c r="AF48" s="6">
        <f>$M$48*$Z$48</f>
        <v>0</v>
      </c>
      <c r="AG48" s="6">
        <f>$O$48*$AA$48</f>
        <v>0</v>
      </c>
    </row>
    <row r="49" spans="1:33" ht="11.25" customHeight="1" x14ac:dyDescent="0.3">
      <c r="A49" s="4" t="s">
        <v>21</v>
      </c>
      <c r="B49" s="4" t="s">
        <v>37</v>
      </c>
      <c r="C49" s="4" t="s">
        <v>38</v>
      </c>
      <c r="D49" s="4" t="s">
        <v>40</v>
      </c>
      <c r="E49" s="4" t="s">
        <v>25</v>
      </c>
      <c r="F49" s="4" t="s">
        <v>25</v>
      </c>
      <c r="G49" s="4" t="s">
        <v>25</v>
      </c>
      <c r="H49" s="4" t="s">
        <v>25</v>
      </c>
      <c r="I49" s="5">
        <v>44621</v>
      </c>
      <c r="J49" s="6">
        <v>332</v>
      </c>
      <c r="K49" s="6">
        <v>332</v>
      </c>
      <c r="L49" s="6">
        <v>0</v>
      </c>
      <c r="M49" s="6">
        <v>0</v>
      </c>
      <c r="N49" s="6">
        <v>0</v>
      </c>
      <c r="O49" s="6">
        <v>0</v>
      </c>
      <c r="P49" s="6">
        <v>3</v>
      </c>
      <c r="Q49" s="4" t="s">
        <v>26</v>
      </c>
      <c r="R49" s="4">
        <v>0</v>
      </c>
      <c r="S49" s="6">
        <v>50</v>
      </c>
      <c r="T49" s="6">
        <v>0</v>
      </c>
      <c r="U49" s="6">
        <v>0</v>
      </c>
      <c r="V49" s="6">
        <f>IF(ISERROR(VLOOKUP($S$49,'TAR FIN'!$A$1:$O$85,15,0)),0,VLOOKUP($S$49,'TAR FIN'!$A$1:$O$85,15,0))</f>
        <v>74.41</v>
      </c>
      <c r="W49" s="6">
        <f>IF(ISERROR(VLOOKUP($T$49,'TAR FIN'!$A$1:$O$85,15,0)),0,VLOOKUP($T$49,'TAR FIN'!$A$1:$O$85,15,0))</f>
        <v>0</v>
      </c>
      <c r="X49" s="6">
        <f>IF(ISERROR(VLOOKUP($U$49,'TAR FIN'!$A$1:$O$85,15,0)),0,VLOOKUP($U$49,'TAR FIN'!$A$1:$O$85,15,0))</f>
        <v>0</v>
      </c>
      <c r="Y49" s="6">
        <f ca="1">('TUSD BE'!$AM$10+'TUSD BF'!$AM$10+'TUSD CVA'!$AM$10)*1</f>
        <v>81.040976339510664</v>
      </c>
      <c r="Z49" s="6"/>
      <c r="AA49" s="6"/>
      <c r="AB49" s="6">
        <f>$K$49*$V$49</f>
        <v>24704.12</v>
      </c>
      <c r="AC49" s="6">
        <f>$M$49*$W$49</f>
        <v>0</v>
      </c>
      <c r="AD49" s="6">
        <f>$O$49*$X$49</f>
        <v>0</v>
      </c>
      <c r="AE49" s="6">
        <f ca="1">$K$49*$Y$49</f>
        <v>26905.604144717541</v>
      </c>
      <c r="AF49" s="6">
        <f>$M$49*$Z$49</f>
        <v>0</v>
      </c>
      <c r="AG49" s="6">
        <f>$O$49*$AA$49</f>
        <v>0</v>
      </c>
    </row>
    <row r="50" spans="1:33" ht="11.25" customHeight="1" x14ac:dyDescent="0.3">
      <c r="A50" s="4" t="s">
        <v>21</v>
      </c>
      <c r="B50" s="4" t="s">
        <v>37</v>
      </c>
      <c r="C50" s="4" t="s">
        <v>38</v>
      </c>
      <c r="D50" s="4" t="s">
        <v>40</v>
      </c>
      <c r="E50" s="4" t="s">
        <v>25</v>
      </c>
      <c r="F50" s="4" t="s">
        <v>25</v>
      </c>
      <c r="G50" s="4" t="s">
        <v>25</v>
      </c>
      <c r="H50" s="4" t="s">
        <v>39</v>
      </c>
      <c r="I50" s="5">
        <v>44287</v>
      </c>
      <c r="J50" s="6">
        <v>0</v>
      </c>
      <c r="K50" s="6">
        <v>0</v>
      </c>
      <c r="L50" s="6">
        <v>0.53400000000000003</v>
      </c>
      <c r="M50" s="6">
        <v>0.53400000000000003</v>
      </c>
      <c r="N50" s="6">
        <v>0.53400000000000003</v>
      </c>
      <c r="O50" s="6">
        <v>0.53400000000000003</v>
      </c>
      <c r="P50" s="6">
        <v>0</v>
      </c>
      <c r="Q50" s="4" t="s">
        <v>26</v>
      </c>
      <c r="R50" s="4">
        <v>0</v>
      </c>
      <c r="S50" s="6">
        <v>0</v>
      </c>
      <c r="T50" s="6">
        <v>1</v>
      </c>
      <c r="U50" s="6">
        <v>73</v>
      </c>
      <c r="V50" s="6">
        <f>IF(ISERROR(VLOOKUP($S$50,'TAR FIN'!$A$1:$O$85,15,0)),0,VLOOKUP($S$50,'TAR FIN'!$A$1:$O$85,15,0))</f>
        <v>0</v>
      </c>
      <c r="W50" s="6">
        <f>IF(ISERROR(VLOOKUP($T$50,'TAR FIN'!$A$1:$O$85,15,0)),0,VLOOKUP($T$50,'TAR FIN'!$A$1:$O$85,15,0))</f>
        <v>4589.68</v>
      </c>
      <c r="X50" s="6">
        <f>IF(ISERROR(VLOOKUP($U$50,'TAR FIN'!$A$1:$O$85,15,0)),0,VLOOKUP($U$50,'TAR FIN'!$A$1:$O$85,15,0))</f>
        <v>240.29</v>
      </c>
      <c r="Y50" s="6"/>
      <c r="Z50" s="6">
        <f ca="1">('TUSD BE'!$AM$11+'TUSD BF'!$AM$11+'TUSD CVA'!$AM$11)*1</f>
        <v>5047.4555393081146</v>
      </c>
      <c r="AA50" s="6">
        <f>('TE BE'!$AA$5+'TE BF'!$AA$5+'TE CVA'!$AA$5)*1</f>
        <v>330.73086315618451</v>
      </c>
      <c r="AB50" s="6">
        <f>$K$50*$V$50</f>
        <v>0</v>
      </c>
      <c r="AC50" s="6">
        <f>$M$50*$W$50</f>
        <v>2450.8891200000003</v>
      </c>
      <c r="AD50" s="6">
        <f>$O$50*$X$50</f>
        <v>128.31486000000001</v>
      </c>
      <c r="AE50" s="6">
        <f>$K$50*$Y$50</f>
        <v>0</v>
      </c>
      <c r="AF50" s="6">
        <f ca="1">$M$50*$Z$50</f>
        <v>2695.3412579905334</v>
      </c>
      <c r="AG50" s="6">
        <f>$O$50*$AA$50</f>
        <v>176.61028092540255</v>
      </c>
    </row>
    <row r="51" spans="1:33" ht="11.25" customHeight="1" x14ac:dyDescent="0.3">
      <c r="A51" s="4" t="s">
        <v>21</v>
      </c>
      <c r="B51" s="4" t="s">
        <v>37</v>
      </c>
      <c r="C51" s="4" t="s">
        <v>38</v>
      </c>
      <c r="D51" s="4" t="s">
        <v>40</v>
      </c>
      <c r="E51" s="4" t="s">
        <v>25</v>
      </c>
      <c r="F51" s="4" t="s">
        <v>25</v>
      </c>
      <c r="G51" s="4" t="s">
        <v>25</v>
      </c>
      <c r="H51" s="4" t="s">
        <v>39</v>
      </c>
      <c r="I51" s="5">
        <v>44317</v>
      </c>
      <c r="J51" s="6">
        <v>0</v>
      </c>
      <c r="K51" s="6">
        <v>0</v>
      </c>
      <c r="L51" s="6">
        <v>0.47099999999999997</v>
      </c>
      <c r="M51" s="6">
        <v>0.47099999999999997</v>
      </c>
      <c r="N51" s="6">
        <v>0.47099999999999997</v>
      </c>
      <c r="O51" s="6">
        <v>0.47099999999999997</v>
      </c>
      <c r="P51" s="6">
        <v>0</v>
      </c>
      <c r="Q51" s="4" t="s">
        <v>26</v>
      </c>
      <c r="R51" s="4">
        <v>0</v>
      </c>
      <c r="S51" s="6">
        <v>0</v>
      </c>
      <c r="T51" s="6">
        <v>1</v>
      </c>
      <c r="U51" s="6">
        <v>73</v>
      </c>
      <c r="V51" s="6">
        <f>IF(ISERROR(VLOOKUP($S$51,'TAR FIN'!$A$1:$O$85,15,0)),0,VLOOKUP($S$51,'TAR FIN'!$A$1:$O$85,15,0))</f>
        <v>0</v>
      </c>
      <c r="W51" s="6">
        <f>IF(ISERROR(VLOOKUP($T$51,'TAR FIN'!$A$1:$O$85,15,0)),0,VLOOKUP($T$51,'TAR FIN'!$A$1:$O$85,15,0))</f>
        <v>4589.68</v>
      </c>
      <c r="X51" s="6">
        <f>IF(ISERROR(VLOOKUP($U$51,'TAR FIN'!$A$1:$O$85,15,0)),0,VLOOKUP($U$51,'TAR FIN'!$A$1:$O$85,15,0))</f>
        <v>240.29</v>
      </c>
      <c r="Y51" s="6"/>
      <c r="Z51" s="6">
        <f ca="1">('TUSD BE'!$AM$11+'TUSD BF'!$AM$11+'TUSD CVA'!$AM$11)*1</f>
        <v>5047.4555393081146</v>
      </c>
      <c r="AA51" s="6">
        <f>('TE BE'!$AA$5+'TE BF'!$AA$5+'TE CVA'!$AA$5)*1</f>
        <v>330.73086315618451</v>
      </c>
      <c r="AB51" s="6">
        <f>$K$51*$V$51</f>
        <v>0</v>
      </c>
      <c r="AC51" s="6">
        <f>$M$51*$W$51</f>
        <v>2161.7392800000002</v>
      </c>
      <c r="AD51" s="6">
        <f>$O$51*$X$51</f>
        <v>113.17658999999999</v>
      </c>
      <c r="AE51" s="6">
        <f>$K$51*$Y$51</f>
        <v>0</v>
      </c>
      <c r="AF51" s="6">
        <f ca="1">$M$51*$Z$51</f>
        <v>2377.3515590141219</v>
      </c>
      <c r="AG51" s="6">
        <f>$O$51*$AA$51</f>
        <v>155.77423654656289</v>
      </c>
    </row>
    <row r="52" spans="1:33" ht="11.25" customHeight="1" x14ac:dyDescent="0.3">
      <c r="A52" s="4" t="s">
        <v>21</v>
      </c>
      <c r="B52" s="4" t="s">
        <v>37</v>
      </c>
      <c r="C52" s="4" t="s">
        <v>38</v>
      </c>
      <c r="D52" s="4" t="s">
        <v>40</v>
      </c>
      <c r="E52" s="4" t="s">
        <v>25</v>
      </c>
      <c r="F52" s="4" t="s">
        <v>25</v>
      </c>
      <c r="G52" s="4" t="s">
        <v>25</v>
      </c>
      <c r="H52" s="4" t="s">
        <v>39</v>
      </c>
      <c r="I52" s="5">
        <v>44348</v>
      </c>
      <c r="J52" s="6">
        <v>0</v>
      </c>
      <c r="K52" s="6">
        <v>0</v>
      </c>
      <c r="L52" s="6">
        <v>0.52</v>
      </c>
      <c r="M52" s="6">
        <v>0.52</v>
      </c>
      <c r="N52" s="6">
        <v>0.52</v>
      </c>
      <c r="O52" s="6">
        <v>0.52</v>
      </c>
      <c r="P52" s="6">
        <v>0</v>
      </c>
      <c r="Q52" s="4" t="s">
        <v>26</v>
      </c>
      <c r="R52" s="4">
        <v>0</v>
      </c>
      <c r="S52" s="6">
        <v>0</v>
      </c>
      <c r="T52" s="6">
        <v>1</v>
      </c>
      <c r="U52" s="6">
        <v>73</v>
      </c>
      <c r="V52" s="6">
        <f>IF(ISERROR(VLOOKUP($S$52,'TAR FIN'!$A$1:$O$85,15,0)),0,VLOOKUP($S$52,'TAR FIN'!$A$1:$O$85,15,0))</f>
        <v>0</v>
      </c>
      <c r="W52" s="6">
        <f>IF(ISERROR(VLOOKUP($T$52,'TAR FIN'!$A$1:$O$85,15,0)),0,VLOOKUP($T$52,'TAR FIN'!$A$1:$O$85,15,0))</f>
        <v>4589.68</v>
      </c>
      <c r="X52" s="6">
        <f>IF(ISERROR(VLOOKUP($U$52,'TAR FIN'!$A$1:$O$85,15,0)),0,VLOOKUP($U$52,'TAR FIN'!$A$1:$O$85,15,0))</f>
        <v>240.29</v>
      </c>
      <c r="Y52" s="6"/>
      <c r="Z52" s="6">
        <f ca="1">('TUSD BE'!$AM$11+'TUSD BF'!$AM$11+'TUSD CVA'!$AM$11)*1</f>
        <v>5047.4555393081146</v>
      </c>
      <c r="AA52" s="6">
        <f>('TE BE'!$AA$5+'TE BF'!$AA$5+'TE CVA'!$AA$5)*1</f>
        <v>330.73086315618451</v>
      </c>
      <c r="AB52" s="6">
        <f>$K$52*$V$52</f>
        <v>0</v>
      </c>
      <c r="AC52" s="6">
        <f>$M$52*$W$52</f>
        <v>2386.6336000000001</v>
      </c>
      <c r="AD52" s="6">
        <f>$O$52*$X$52</f>
        <v>124.9508</v>
      </c>
      <c r="AE52" s="6">
        <f>$K$52*$Y$52</f>
        <v>0</v>
      </c>
      <c r="AF52" s="6">
        <f ca="1">$M$52*$Z$52</f>
        <v>2624.6768804402195</v>
      </c>
      <c r="AG52" s="6">
        <f>$O$52*$AA$52</f>
        <v>171.98004884121596</v>
      </c>
    </row>
    <row r="53" spans="1:33" ht="11.25" customHeight="1" x14ac:dyDescent="0.3">
      <c r="A53" s="4" t="s">
        <v>21</v>
      </c>
      <c r="B53" s="4" t="s">
        <v>37</v>
      </c>
      <c r="C53" s="4" t="s">
        <v>38</v>
      </c>
      <c r="D53" s="4" t="s">
        <v>40</v>
      </c>
      <c r="E53" s="4" t="s">
        <v>25</v>
      </c>
      <c r="F53" s="4" t="s">
        <v>25</v>
      </c>
      <c r="G53" s="4" t="s">
        <v>25</v>
      </c>
      <c r="H53" s="4" t="s">
        <v>39</v>
      </c>
      <c r="I53" s="5">
        <v>44378</v>
      </c>
      <c r="J53" s="6">
        <v>0</v>
      </c>
      <c r="K53" s="6">
        <v>0</v>
      </c>
      <c r="L53" s="6">
        <v>0.92800000000000005</v>
      </c>
      <c r="M53" s="6">
        <v>0.92800000000000005</v>
      </c>
      <c r="N53" s="6">
        <v>0.92800000000000005</v>
      </c>
      <c r="O53" s="6">
        <v>0.92800000000000005</v>
      </c>
      <c r="P53" s="6">
        <v>0</v>
      </c>
      <c r="Q53" s="4" t="s">
        <v>26</v>
      </c>
      <c r="R53" s="4">
        <v>0</v>
      </c>
      <c r="S53" s="6">
        <v>0</v>
      </c>
      <c r="T53" s="6">
        <v>1</v>
      </c>
      <c r="U53" s="6">
        <v>73</v>
      </c>
      <c r="V53" s="6">
        <f>IF(ISERROR(VLOOKUP($S$53,'TAR FIN'!$A$1:$O$85,15,0)),0,VLOOKUP($S$53,'TAR FIN'!$A$1:$O$85,15,0))</f>
        <v>0</v>
      </c>
      <c r="W53" s="6">
        <f>IF(ISERROR(VLOOKUP($T$53,'TAR FIN'!$A$1:$O$85,15,0)),0,VLOOKUP($T$53,'TAR FIN'!$A$1:$O$85,15,0))</f>
        <v>4589.68</v>
      </c>
      <c r="X53" s="6">
        <f>IF(ISERROR(VLOOKUP($U$53,'TAR FIN'!$A$1:$O$85,15,0)),0,VLOOKUP($U$53,'TAR FIN'!$A$1:$O$85,15,0))</f>
        <v>240.29</v>
      </c>
      <c r="Y53" s="6"/>
      <c r="Z53" s="6">
        <f ca="1">('TUSD BE'!$AM$11+'TUSD BF'!$AM$11+'TUSD CVA'!$AM$11)*1</f>
        <v>5047.4555393081146</v>
      </c>
      <c r="AA53" s="6">
        <f>('TE BE'!$AA$5+'TE BF'!$AA$5+'TE CVA'!$AA$5)*1</f>
        <v>330.73086315618451</v>
      </c>
      <c r="AB53" s="6">
        <f>$K$53*$V$53</f>
        <v>0</v>
      </c>
      <c r="AC53" s="6">
        <f>$M$53*$W$53</f>
        <v>4259.2230400000008</v>
      </c>
      <c r="AD53" s="6">
        <f>$O$53*$X$53</f>
        <v>222.98912000000001</v>
      </c>
      <c r="AE53" s="6">
        <f>$K$53*$Y$53</f>
        <v>0</v>
      </c>
      <c r="AF53" s="6">
        <f ca="1">$M$53*$Z$53</f>
        <v>4684.0387404779303</v>
      </c>
      <c r="AG53" s="6">
        <f>$O$53*$AA$53</f>
        <v>306.91824100893922</v>
      </c>
    </row>
    <row r="54" spans="1:33" ht="11.25" customHeight="1" x14ac:dyDescent="0.3">
      <c r="A54" s="4" t="s">
        <v>21</v>
      </c>
      <c r="B54" s="4" t="s">
        <v>37</v>
      </c>
      <c r="C54" s="4" t="s">
        <v>38</v>
      </c>
      <c r="D54" s="4" t="s">
        <v>40</v>
      </c>
      <c r="E54" s="4" t="s">
        <v>25</v>
      </c>
      <c r="F54" s="4" t="s">
        <v>25</v>
      </c>
      <c r="G54" s="4" t="s">
        <v>25</v>
      </c>
      <c r="H54" s="4" t="s">
        <v>39</v>
      </c>
      <c r="I54" s="5">
        <v>44409</v>
      </c>
      <c r="J54" s="6">
        <v>0</v>
      </c>
      <c r="K54" s="6">
        <v>0</v>
      </c>
      <c r="L54" s="6">
        <v>0.91800000000000004</v>
      </c>
      <c r="M54" s="6">
        <v>0.91800000000000004</v>
      </c>
      <c r="N54" s="6">
        <v>0.91800000000000004</v>
      </c>
      <c r="O54" s="6">
        <v>0.91800000000000004</v>
      </c>
      <c r="P54" s="6">
        <v>0</v>
      </c>
      <c r="Q54" s="4" t="s">
        <v>26</v>
      </c>
      <c r="R54" s="4">
        <v>0</v>
      </c>
      <c r="S54" s="6">
        <v>0</v>
      </c>
      <c r="T54" s="6">
        <v>1</v>
      </c>
      <c r="U54" s="6">
        <v>73</v>
      </c>
      <c r="V54" s="6">
        <f>IF(ISERROR(VLOOKUP($S$54,'TAR FIN'!$A$1:$O$85,15,0)),0,VLOOKUP($S$54,'TAR FIN'!$A$1:$O$85,15,0))</f>
        <v>0</v>
      </c>
      <c r="W54" s="6">
        <f>IF(ISERROR(VLOOKUP($T$54,'TAR FIN'!$A$1:$O$85,15,0)),0,VLOOKUP($T$54,'TAR FIN'!$A$1:$O$85,15,0))</f>
        <v>4589.68</v>
      </c>
      <c r="X54" s="6">
        <f>IF(ISERROR(VLOOKUP($U$54,'TAR FIN'!$A$1:$O$85,15,0)),0,VLOOKUP($U$54,'TAR FIN'!$A$1:$O$85,15,0))</f>
        <v>240.29</v>
      </c>
      <c r="Y54" s="6"/>
      <c r="Z54" s="6">
        <f ca="1">('TUSD BE'!$AM$11+'TUSD BF'!$AM$11+'TUSD CVA'!$AM$11)*1</f>
        <v>5047.4555393081146</v>
      </c>
      <c r="AA54" s="6">
        <f>('TE BE'!$AA$5+'TE BF'!$AA$5+'TE CVA'!$AA$5)*1</f>
        <v>330.73086315618451</v>
      </c>
      <c r="AB54" s="6">
        <f>$K$54*$V$54</f>
        <v>0</v>
      </c>
      <c r="AC54" s="6">
        <f>$M$54*$W$54</f>
        <v>4213.3262400000003</v>
      </c>
      <c r="AD54" s="6">
        <f>$O$54*$X$54</f>
        <v>220.58622</v>
      </c>
      <c r="AE54" s="6">
        <f>$K$54*$Y$54</f>
        <v>0</v>
      </c>
      <c r="AF54" s="6">
        <f ca="1">$M$54*$Z$54</f>
        <v>4633.5641850848497</v>
      </c>
      <c r="AG54" s="6">
        <f>$O$54*$AA$54</f>
        <v>303.61093237737737</v>
      </c>
    </row>
    <row r="55" spans="1:33" ht="11.25" customHeight="1" x14ac:dyDescent="0.3">
      <c r="A55" s="4" t="s">
        <v>21</v>
      </c>
      <c r="B55" s="4" t="s">
        <v>37</v>
      </c>
      <c r="C55" s="4" t="s">
        <v>38</v>
      </c>
      <c r="D55" s="4" t="s">
        <v>40</v>
      </c>
      <c r="E55" s="4" t="s">
        <v>25</v>
      </c>
      <c r="F55" s="4" t="s">
        <v>25</v>
      </c>
      <c r="G55" s="4" t="s">
        <v>25</v>
      </c>
      <c r="H55" s="4" t="s">
        <v>39</v>
      </c>
      <c r="I55" s="5">
        <v>44440</v>
      </c>
      <c r="J55" s="6">
        <v>0</v>
      </c>
      <c r="K55" s="6">
        <v>0</v>
      </c>
      <c r="L55" s="6">
        <v>0.85099999999999998</v>
      </c>
      <c r="M55" s="6">
        <v>0.85099999999999998</v>
      </c>
      <c r="N55" s="6">
        <v>0.85099999999999998</v>
      </c>
      <c r="O55" s="6">
        <v>0.85099999999999998</v>
      </c>
      <c r="P55" s="6">
        <v>0</v>
      </c>
      <c r="Q55" s="4" t="s">
        <v>26</v>
      </c>
      <c r="R55" s="4">
        <v>0</v>
      </c>
      <c r="S55" s="6">
        <v>0</v>
      </c>
      <c r="T55" s="6">
        <v>1</v>
      </c>
      <c r="U55" s="6">
        <v>73</v>
      </c>
      <c r="V55" s="6">
        <f>IF(ISERROR(VLOOKUP($S$55,'TAR FIN'!$A$1:$O$85,15,0)),0,VLOOKUP($S$55,'TAR FIN'!$A$1:$O$85,15,0))</f>
        <v>0</v>
      </c>
      <c r="W55" s="6">
        <f>IF(ISERROR(VLOOKUP($T$55,'TAR FIN'!$A$1:$O$85,15,0)),0,VLOOKUP($T$55,'TAR FIN'!$A$1:$O$85,15,0))</f>
        <v>4589.68</v>
      </c>
      <c r="X55" s="6">
        <f>IF(ISERROR(VLOOKUP($U$55,'TAR FIN'!$A$1:$O$85,15,0)),0,VLOOKUP($U$55,'TAR FIN'!$A$1:$O$85,15,0))</f>
        <v>240.29</v>
      </c>
      <c r="Y55" s="6"/>
      <c r="Z55" s="6">
        <f ca="1">('TUSD BE'!$AM$11+'TUSD BF'!$AM$11+'TUSD CVA'!$AM$11)*1</f>
        <v>5047.4555393081146</v>
      </c>
      <c r="AA55" s="6">
        <f>('TE BE'!$AA$5+'TE BF'!$AA$5+'TE CVA'!$AA$5)*1</f>
        <v>330.73086315618451</v>
      </c>
      <c r="AB55" s="6">
        <f>$K$55*$V$55</f>
        <v>0</v>
      </c>
      <c r="AC55" s="6">
        <f>$M$55*$W$55</f>
        <v>3905.8176800000001</v>
      </c>
      <c r="AD55" s="6">
        <f>$O$55*$X$55</f>
        <v>204.48678999999998</v>
      </c>
      <c r="AE55" s="6">
        <f>$K$55*$Y$55</f>
        <v>0</v>
      </c>
      <c r="AF55" s="6">
        <f ca="1">$M$55*$Z$55</f>
        <v>4295.3846639512058</v>
      </c>
      <c r="AG55" s="6">
        <f>$O$55*$AA$55</f>
        <v>281.45196454591303</v>
      </c>
    </row>
    <row r="56" spans="1:33" ht="11.25" customHeight="1" x14ac:dyDescent="0.3">
      <c r="A56" s="4" t="s">
        <v>21</v>
      </c>
      <c r="B56" s="4" t="s">
        <v>37</v>
      </c>
      <c r="C56" s="4" t="s">
        <v>38</v>
      </c>
      <c r="D56" s="4" t="s">
        <v>40</v>
      </c>
      <c r="E56" s="4" t="s">
        <v>25</v>
      </c>
      <c r="F56" s="4" t="s">
        <v>25</v>
      </c>
      <c r="G56" s="4" t="s">
        <v>25</v>
      </c>
      <c r="H56" s="4" t="s">
        <v>39</v>
      </c>
      <c r="I56" s="5">
        <v>44470</v>
      </c>
      <c r="J56" s="6">
        <v>0</v>
      </c>
      <c r="K56" s="6">
        <v>0</v>
      </c>
      <c r="L56" s="6">
        <v>0.47</v>
      </c>
      <c r="M56" s="6">
        <v>0.47</v>
      </c>
      <c r="N56" s="6">
        <v>0.47</v>
      </c>
      <c r="O56" s="6">
        <v>0.47</v>
      </c>
      <c r="P56" s="6">
        <v>0</v>
      </c>
      <c r="Q56" s="4" t="s">
        <v>26</v>
      </c>
      <c r="R56" s="4">
        <v>0</v>
      </c>
      <c r="S56" s="6">
        <v>0</v>
      </c>
      <c r="T56" s="6">
        <v>1</v>
      </c>
      <c r="U56" s="6">
        <v>73</v>
      </c>
      <c r="V56" s="6">
        <f>IF(ISERROR(VLOOKUP($S$56,'TAR FIN'!$A$1:$O$85,15,0)),0,VLOOKUP($S$56,'TAR FIN'!$A$1:$O$85,15,0))</f>
        <v>0</v>
      </c>
      <c r="W56" s="6">
        <f>IF(ISERROR(VLOOKUP($T$56,'TAR FIN'!$A$1:$O$85,15,0)),0,VLOOKUP($T$56,'TAR FIN'!$A$1:$O$85,15,0))</f>
        <v>4589.68</v>
      </c>
      <c r="X56" s="6">
        <f>IF(ISERROR(VLOOKUP($U$56,'TAR FIN'!$A$1:$O$85,15,0)),0,VLOOKUP($U$56,'TAR FIN'!$A$1:$O$85,15,0))</f>
        <v>240.29</v>
      </c>
      <c r="Y56" s="6"/>
      <c r="Z56" s="6">
        <f ca="1">('TUSD BE'!$AM$11+'TUSD BF'!$AM$11+'TUSD CVA'!$AM$11)*1</f>
        <v>5047.4555393081146</v>
      </c>
      <c r="AA56" s="6">
        <f>('TE BE'!$AA$5+'TE BF'!$AA$5+'TE CVA'!$AA$5)*1</f>
        <v>330.73086315618451</v>
      </c>
      <c r="AB56" s="6">
        <f>$K$56*$V$56</f>
        <v>0</v>
      </c>
      <c r="AC56" s="6">
        <f>$M$56*$W$56</f>
        <v>2157.1496000000002</v>
      </c>
      <c r="AD56" s="6">
        <f>$O$56*$X$56</f>
        <v>112.93629999999999</v>
      </c>
      <c r="AE56" s="6">
        <f>$K$56*$Y$56</f>
        <v>0</v>
      </c>
      <c r="AF56" s="6">
        <f ca="1">$M$56*$Z$56</f>
        <v>2372.3041034748139</v>
      </c>
      <c r="AG56" s="6">
        <f>$O$56*$AA$56</f>
        <v>155.4435056834067</v>
      </c>
    </row>
    <row r="57" spans="1:33" ht="11.25" customHeight="1" x14ac:dyDescent="0.3">
      <c r="A57" s="4" t="s">
        <v>21</v>
      </c>
      <c r="B57" s="4" t="s">
        <v>37</v>
      </c>
      <c r="C57" s="4" t="s">
        <v>38</v>
      </c>
      <c r="D57" s="4" t="s">
        <v>40</v>
      </c>
      <c r="E57" s="4" t="s">
        <v>25</v>
      </c>
      <c r="F57" s="4" t="s">
        <v>25</v>
      </c>
      <c r="G57" s="4" t="s">
        <v>25</v>
      </c>
      <c r="H57" s="4" t="s">
        <v>39</v>
      </c>
      <c r="I57" s="5">
        <v>44501</v>
      </c>
      <c r="J57" s="6">
        <v>0</v>
      </c>
      <c r="K57" s="6">
        <v>0</v>
      </c>
      <c r="L57" s="6">
        <v>0.434</v>
      </c>
      <c r="M57" s="6">
        <v>0.434</v>
      </c>
      <c r="N57" s="6">
        <v>0.434</v>
      </c>
      <c r="O57" s="6">
        <v>0.434</v>
      </c>
      <c r="P57" s="6">
        <v>0</v>
      </c>
      <c r="Q57" s="4" t="s">
        <v>26</v>
      </c>
      <c r="R57" s="4">
        <v>0</v>
      </c>
      <c r="S57" s="6">
        <v>0</v>
      </c>
      <c r="T57" s="6">
        <v>1</v>
      </c>
      <c r="U57" s="6">
        <v>73</v>
      </c>
      <c r="V57" s="6">
        <f>IF(ISERROR(VLOOKUP($S$57,'TAR FIN'!$A$1:$O$85,15,0)),0,VLOOKUP($S$57,'TAR FIN'!$A$1:$O$85,15,0))</f>
        <v>0</v>
      </c>
      <c r="W57" s="6">
        <f>IF(ISERROR(VLOOKUP($T$57,'TAR FIN'!$A$1:$O$85,15,0)),0,VLOOKUP($T$57,'TAR FIN'!$A$1:$O$85,15,0))</f>
        <v>4589.68</v>
      </c>
      <c r="X57" s="6">
        <f>IF(ISERROR(VLOOKUP($U$57,'TAR FIN'!$A$1:$O$85,15,0)),0,VLOOKUP($U$57,'TAR FIN'!$A$1:$O$85,15,0))</f>
        <v>240.29</v>
      </c>
      <c r="Y57" s="6"/>
      <c r="Z57" s="6">
        <f ca="1">('TUSD BE'!$AM$11+'TUSD BF'!$AM$11+'TUSD CVA'!$AM$11)*1</f>
        <v>5047.4555393081146</v>
      </c>
      <c r="AA57" s="6">
        <f>('TE BE'!$AA$5+'TE BF'!$AA$5+'TE CVA'!$AA$5)*1</f>
        <v>330.73086315618451</v>
      </c>
      <c r="AB57" s="6">
        <f>$K$57*$V$57</f>
        <v>0</v>
      </c>
      <c r="AC57" s="6">
        <f>$M$57*$W$57</f>
        <v>1991.9211200000002</v>
      </c>
      <c r="AD57" s="6">
        <f>$O$57*$X$57</f>
        <v>104.28586</v>
      </c>
      <c r="AE57" s="6">
        <f>$K$57*$Y$57</f>
        <v>0</v>
      </c>
      <c r="AF57" s="6">
        <f ca="1">$M$57*$Z$57</f>
        <v>2190.5957040597218</v>
      </c>
      <c r="AG57" s="6">
        <f>$O$57*$AA$57</f>
        <v>143.53719460978408</v>
      </c>
    </row>
    <row r="58" spans="1:33" ht="11.25" customHeight="1" x14ac:dyDescent="0.3">
      <c r="A58" s="4" t="s">
        <v>21</v>
      </c>
      <c r="B58" s="4" t="s">
        <v>37</v>
      </c>
      <c r="C58" s="4" t="s">
        <v>38</v>
      </c>
      <c r="D58" s="4" t="s">
        <v>40</v>
      </c>
      <c r="E58" s="4" t="s">
        <v>25</v>
      </c>
      <c r="F58" s="4" t="s">
        <v>25</v>
      </c>
      <c r="G58" s="4" t="s">
        <v>25</v>
      </c>
      <c r="H58" s="4" t="s">
        <v>39</v>
      </c>
      <c r="I58" s="5">
        <v>44531</v>
      </c>
      <c r="J58" s="6">
        <v>0</v>
      </c>
      <c r="K58" s="6">
        <v>0</v>
      </c>
      <c r="L58" s="6">
        <v>0.77300000000000002</v>
      </c>
      <c r="M58" s="6">
        <v>0.77300000000000002</v>
      </c>
      <c r="N58" s="6">
        <v>0.77300000000000002</v>
      </c>
      <c r="O58" s="6">
        <v>0.77300000000000002</v>
      </c>
      <c r="P58" s="6">
        <v>0</v>
      </c>
      <c r="Q58" s="4" t="s">
        <v>26</v>
      </c>
      <c r="R58" s="4">
        <v>0</v>
      </c>
      <c r="S58" s="6">
        <v>0</v>
      </c>
      <c r="T58" s="6">
        <v>1</v>
      </c>
      <c r="U58" s="6">
        <v>73</v>
      </c>
      <c r="V58" s="6">
        <f>IF(ISERROR(VLOOKUP($S$58,'TAR FIN'!$A$1:$O$85,15,0)),0,VLOOKUP($S$58,'TAR FIN'!$A$1:$O$85,15,0))</f>
        <v>0</v>
      </c>
      <c r="W58" s="6">
        <f>IF(ISERROR(VLOOKUP($T$58,'TAR FIN'!$A$1:$O$85,15,0)),0,VLOOKUP($T$58,'TAR FIN'!$A$1:$O$85,15,0))</f>
        <v>4589.68</v>
      </c>
      <c r="X58" s="6">
        <f>IF(ISERROR(VLOOKUP($U$58,'TAR FIN'!$A$1:$O$85,15,0)),0,VLOOKUP($U$58,'TAR FIN'!$A$1:$O$85,15,0))</f>
        <v>240.29</v>
      </c>
      <c r="Y58" s="6"/>
      <c r="Z58" s="6">
        <f ca="1">('TUSD BE'!$AM$11+'TUSD BF'!$AM$11+'TUSD CVA'!$AM$11)*1</f>
        <v>5047.4555393081146</v>
      </c>
      <c r="AA58" s="6">
        <f>('TE BE'!$AA$5+'TE BF'!$AA$5+'TE CVA'!$AA$5)*1</f>
        <v>330.73086315618451</v>
      </c>
      <c r="AB58" s="6">
        <f>$K$58*$V$58</f>
        <v>0</v>
      </c>
      <c r="AC58" s="6">
        <f>$M$58*$W$58</f>
        <v>3547.8226400000003</v>
      </c>
      <c r="AD58" s="6">
        <f>$O$58*$X$58</f>
        <v>185.74417</v>
      </c>
      <c r="AE58" s="6">
        <f>$K$58*$Y$58</f>
        <v>0</v>
      </c>
      <c r="AF58" s="6">
        <f ca="1">$M$58*$Z$58</f>
        <v>3901.6831318851728</v>
      </c>
      <c r="AG58" s="6">
        <f>$O$58*$AA$58</f>
        <v>255.65495721973065</v>
      </c>
    </row>
    <row r="59" spans="1:33" ht="11.25" customHeight="1" x14ac:dyDescent="0.3">
      <c r="A59" s="4" t="s">
        <v>21</v>
      </c>
      <c r="B59" s="4" t="s">
        <v>37</v>
      </c>
      <c r="C59" s="4" t="s">
        <v>38</v>
      </c>
      <c r="D59" s="4" t="s">
        <v>40</v>
      </c>
      <c r="E59" s="4" t="s">
        <v>25</v>
      </c>
      <c r="F59" s="4" t="s">
        <v>25</v>
      </c>
      <c r="G59" s="4" t="s">
        <v>25</v>
      </c>
      <c r="H59" s="4" t="s">
        <v>39</v>
      </c>
      <c r="I59" s="5">
        <v>44562</v>
      </c>
      <c r="J59" s="6">
        <v>0</v>
      </c>
      <c r="K59" s="6">
        <v>0</v>
      </c>
      <c r="L59" s="6">
        <v>1.2210000000000001</v>
      </c>
      <c r="M59" s="6">
        <v>1.2210000000000001</v>
      </c>
      <c r="N59" s="6">
        <v>1.2210000000000001</v>
      </c>
      <c r="O59" s="6">
        <v>1.2210000000000001</v>
      </c>
      <c r="P59" s="6">
        <v>0</v>
      </c>
      <c r="Q59" s="4" t="s">
        <v>26</v>
      </c>
      <c r="R59" s="4">
        <v>0</v>
      </c>
      <c r="S59" s="6">
        <v>0</v>
      </c>
      <c r="T59" s="6">
        <v>1</v>
      </c>
      <c r="U59" s="6">
        <v>73</v>
      </c>
      <c r="V59" s="6">
        <f>IF(ISERROR(VLOOKUP($S$59,'TAR FIN'!$A$1:$O$85,15,0)),0,VLOOKUP($S$59,'TAR FIN'!$A$1:$O$85,15,0))</f>
        <v>0</v>
      </c>
      <c r="W59" s="6">
        <f>IF(ISERROR(VLOOKUP($T$59,'TAR FIN'!$A$1:$O$85,15,0)),0,VLOOKUP($T$59,'TAR FIN'!$A$1:$O$85,15,0))</f>
        <v>4589.68</v>
      </c>
      <c r="X59" s="6">
        <f>IF(ISERROR(VLOOKUP($U$59,'TAR FIN'!$A$1:$O$85,15,0)),0,VLOOKUP($U$59,'TAR FIN'!$A$1:$O$85,15,0))</f>
        <v>240.29</v>
      </c>
      <c r="Y59" s="6"/>
      <c r="Z59" s="6">
        <f ca="1">('TUSD BE'!$AM$11+'TUSD BF'!$AM$11+'TUSD CVA'!$AM$11)*1</f>
        <v>5047.4555393081146</v>
      </c>
      <c r="AA59" s="6">
        <f>('TE BE'!$AA$5+'TE BF'!$AA$5+'TE CVA'!$AA$5)*1</f>
        <v>330.73086315618451</v>
      </c>
      <c r="AB59" s="6">
        <f>$K$59*$V$59</f>
        <v>0</v>
      </c>
      <c r="AC59" s="6">
        <f>$M$59*$W$59</f>
        <v>5603.9992800000009</v>
      </c>
      <c r="AD59" s="6">
        <f>$O$59*$X$59</f>
        <v>293.39409000000001</v>
      </c>
      <c r="AE59" s="6">
        <f>$K$59*$Y$59</f>
        <v>0</v>
      </c>
      <c r="AF59" s="6">
        <f ca="1">$M$59*$Z$59</f>
        <v>6162.9432134952085</v>
      </c>
      <c r="AG59" s="6">
        <f>$O$59*$AA$59</f>
        <v>403.82238391370134</v>
      </c>
    </row>
    <row r="60" spans="1:33" ht="11.25" customHeight="1" x14ac:dyDescent="0.3">
      <c r="A60" s="4" t="s">
        <v>21</v>
      </c>
      <c r="B60" s="4" t="s">
        <v>37</v>
      </c>
      <c r="C60" s="4" t="s">
        <v>38</v>
      </c>
      <c r="D60" s="4" t="s">
        <v>40</v>
      </c>
      <c r="E60" s="4" t="s">
        <v>25</v>
      </c>
      <c r="F60" s="4" t="s">
        <v>25</v>
      </c>
      <c r="G60" s="4" t="s">
        <v>25</v>
      </c>
      <c r="H60" s="4" t="s">
        <v>39</v>
      </c>
      <c r="I60" s="5">
        <v>44593</v>
      </c>
      <c r="J60" s="6">
        <v>0</v>
      </c>
      <c r="K60" s="6">
        <v>0</v>
      </c>
      <c r="L60" s="6">
        <v>0.82699999999999996</v>
      </c>
      <c r="M60" s="6">
        <v>0.82699999999999996</v>
      </c>
      <c r="N60" s="6">
        <v>0.82699999999999996</v>
      </c>
      <c r="O60" s="6">
        <v>0.82699999999999996</v>
      </c>
      <c r="P60" s="6">
        <v>0</v>
      </c>
      <c r="Q60" s="4" t="s">
        <v>26</v>
      </c>
      <c r="R60" s="4">
        <v>0</v>
      </c>
      <c r="S60" s="6">
        <v>0</v>
      </c>
      <c r="T60" s="6">
        <v>1</v>
      </c>
      <c r="U60" s="6">
        <v>73</v>
      </c>
      <c r="V60" s="6">
        <f>IF(ISERROR(VLOOKUP($S$60,'TAR FIN'!$A$1:$O$85,15,0)),0,VLOOKUP($S$60,'TAR FIN'!$A$1:$O$85,15,0))</f>
        <v>0</v>
      </c>
      <c r="W60" s="6">
        <f>IF(ISERROR(VLOOKUP($T$60,'TAR FIN'!$A$1:$O$85,15,0)),0,VLOOKUP($T$60,'TAR FIN'!$A$1:$O$85,15,0))</f>
        <v>4589.68</v>
      </c>
      <c r="X60" s="6">
        <f>IF(ISERROR(VLOOKUP($U$60,'TAR FIN'!$A$1:$O$85,15,0)),0,VLOOKUP($U$60,'TAR FIN'!$A$1:$O$85,15,0))</f>
        <v>240.29</v>
      </c>
      <c r="Y60" s="6"/>
      <c r="Z60" s="6">
        <f ca="1">('TUSD BE'!$AM$11+'TUSD BF'!$AM$11+'TUSD CVA'!$AM$11)*1</f>
        <v>5047.4555393081146</v>
      </c>
      <c r="AA60" s="6">
        <f>('TE BE'!$AA$5+'TE BF'!$AA$5+'TE CVA'!$AA$5)*1</f>
        <v>330.73086315618451</v>
      </c>
      <c r="AB60" s="6">
        <f>$K$60*$V$60</f>
        <v>0</v>
      </c>
      <c r="AC60" s="6">
        <f>$M$60*$W$60</f>
        <v>3795.66536</v>
      </c>
      <c r="AD60" s="6">
        <f>$O$60*$X$60</f>
        <v>198.71982999999997</v>
      </c>
      <c r="AE60" s="6">
        <f>$K$60*$Y$60</f>
        <v>0</v>
      </c>
      <c r="AF60" s="6">
        <f ca="1">$M$60*$Z$60</f>
        <v>4174.2457310078107</v>
      </c>
      <c r="AG60" s="6">
        <f>$O$60*$AA$60</f>
        <v>273.51442383016456</v>
      </c>
    </row>
    <row r="61" spans="1:33" ht="11.25" customHeight="1" x14ac:dyDescent="0.3">
      <c r="A61" s="4" t="s">
        <v>21</v>
      </c>
      <c r="B61" s="4" t="s">
        <v>37</v>
      </c>
      <c r="C61" s="4" t="s">
        <v>38</v>
      </c>
      <c r="D61" s="4" t="s">
        <v>40</v>
      </c>
      <c r="E61" s="4" t="s">
        <v>25</v>
      </c>
      <c r="F61" s="4" t="s">
        <v>25</v>
      </c>
      <c r="G61" s="4" t="s">
        <v>25</v>
      </c>
      <c r="H61" s="4" t="s">
        <v>39</v>
      </c>
      <c r="I61" s="5">
        <v>44621</v>
      </c>
      <c r="J61" s="6">
        <v>0</v>
      </c>
      <c r="K61" s="6">
        <v>0</v>
      </c>
      <c r="L61" s="6">
        <v>0.53800000000000003</v>
      </c>
      <c r="M61" s="6">
        <v>0.53800000000000003</v>
      </c>
      <c r="N61" s="6">
        <v>0.53800000000000003</v>
      </c>
      <c r="O61" s="6">
        <v>0.53800000000000003</v>
      </c>
      <c r="P61" s="6">
        <v>0</v>
      </c>
      <c r="Q61" s="4" t="s">
        <v>26</v>
      </c>
      <c r="R61" s="4">
        <v>0</v>
      </c>
      <c r="S61" s="6">
        <v>0</v>
      </c>
      <c r="T61" s="6">
        <v>1</v>
      </c>
      <c r="U61" s="6">
        <v>73</v>
      </c>
      <c r="V61" s="6">
        <f>IF(ISERROR(VLOOKUP($S$61,'TAR FIN'!$A$1:$O$85,15,0)),0,VLOOKUP($S$61,'TAR FIN'!$A$1:$O$85,15,0))</f>
        <v>0</v>
      </c>
      <c r="W61" s="6">
        <f>IF(ISERROR(VLOOKUP($T$61,'TAR FIN'!$A$1:$O$85,15,0)),0,VLOOKUP($T$61,'TAR FIN'!$A$1:$O$85,15,0))</f>
        <v>4589.68</v>
      </c>
      <c r="X61" s="6">
        <f>IF(ISERROR(VLOOKUP($U$61,'TAR FIN'!$A$1:$O$85,15,0)),0,VLOOKUP($U$61,'TAR FIN'!$A$1:$O$85,15,0))</f>
        <v>240.29</v>
      </c>
      <c r="Y61" s="6"/>
      <c r="Z61" s="6">
        <f ca="1">('TUSD BE'!$AM$11+'TUSD BF'!$AM$11+'TUSD CVA'!$AM$11)*1</f>
        <v>5047.4555393081146</v>
      </c>
      <c r="AA61" s="6">
        <f>('TE BE'!$AA$5+'TE BF'!$AA$5+'TE CVA'!$AA$5)*1</f>
        <v>330.73086315618451</v>
      </c>
      <c r="AB61" s="6">
        <f>$K$61*$V$61</f>
        <v>0</v>
      </c>
      <c r="AC61" s="6">
        <f>$M$61*$W$61</f>
        <v>2469.2478400000005</v>
      </c>
      <c r="AD61" s="6">
        <f>$O$61*$X$61</f>
        <v>129.27602000000002</v>
      </c>
      <c r="AE61" s="6">
        <f>$K$61*$Y$61</f>
        <v>0</v>
      </c>
      <c r="AF61" s="6">
        <f ca="1">$M$61*$Z$61</f>
        <v>2715.5310801477658</v>
      </c>
      <c r="AG61" s="6">
        <f>$O$61*$AA$61</f>
        <v>177.93320437802728</v>
      </c>
    </row>
    <row r="62" spans="1:33" ht="11.25" customHeight="1" x14ac:dyDescent="0.3">
      <c r="A62" s="4" t="s">
        <v>21</v>
      </c>
      <c r="B62" s="4" t="s">
        <v>37</v>
      </c>
      <c r="C62" s="4" t="s">
        <v>38</v>
      </c>
      <c r="D62" s="4" t="s">
        <v>36</v>
      </c>
      <c r="E62" s="4" t="s">
        <v>25</v>
      </c>
      <c r="F62" s="4" t="s">
        <v>25</v>
      </c>
      <c r="G62" s="4" t="s">
        <v>25</v>
      </c>
      <c r="H62" s="4" t="s">
        <v>34</v>
      </c>
      <c r="I62" s="5">
        <v>44287</v>
      </c>
      <c r="J62" s="6">
        <v>0</v>
      </c>
      <c r="K62" s="6">
        <v>0</v>
      </c>
      <c r="L62" s="6">
        <v>91.784999999999997</v>
      </c>
      <c r="M62" s="6">
        <v>91.784999999999997</v>
      </c>
      <c r="N62" s="6">
        <v>91.784999999999997</v>
      </c>
      <c r="O62" s="6">
        <v>91.784999999999997</v>
      </c>
      <c r="P62" s="6">
        <v>0</v>
      </c>
      <c r="Q62" s="4" t="s">
        <v>26</v>
      </c>
      <c r="R62" s="4">
        <v>0</v>
      </c>
      <c r="S62" s="6">
        <v>0</v>
      </c>
      <c r="T62" s="6">
        <v>2</v>
      </c>
      <c r="U62" s="6">
        <v>74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93.48</v>
      </c>
      <c r="X62" s="6">
        <f>IF(ISERROR(VLOOKUP($U$62,'TAR FIN'!$A$1:$O$85,15,0)),0,VLOOKUP($U$62,'TAR FIN'!$A$1:$O$85,15,0))</f>
        <v>240.29</v>
      </c>
      <c r="Y62" s="6"/>
      <c r="Z62" s="6">
        <f ca="1">('TUSD BE'!$AM$12+'TUSD BF'!$AM$12+'TUSD CVA'!$AM$12)*1</f>
        <v>133.17611987332398</v>
      </c>
      <c r="AA62" s="6">
        <f>('TE BE'!$AA$6+'TE BF'!$AA$6+'TE CVA'!$AA$6)*1</f>
        <v>330.73086315618451</v>
      </c>
      <c r="AB62" s="6">
        <f>$K$62*$V$62</f>
        <v>0</v>
      </c>
      <c r="AC62" s="6">
        <f>$M$62*$W$62</f>
        <v>8580.0617999999995</v>
      </c>
      <c r="AD62" s="6">
        <f>$O$62*$X$62</f>
        <v>22055.017649999998</v>
      </c>
      <c r="AE62" s="6">
        <f>$K$62*$Y$62</f>
        <v>0</v>
      </c>
      <c r="AF62" s="6">
        <f ca="1">$M$62*$Z$62</f>
        <v>12223.570162573042</v>
      </c>
      <c r="AG62" s="6">
        <f>$O$62*$AA$62</f>
        <v>30356.132274790394</v>
      </c>
    </row>
    <row r="63" spans="1:33" ht="11.25" customHeight="1" x14ac:dyDescent="0.3">
      <c r="A63" s="4" t="s">
        <v>21</v>
      </c>
      <c r="B63" s="4" t="s">
        <v>37</v>
      </c>
      <c r="C63" s="4" t="s">
        <v>38</v>
      </c>
      <c r="D63" s="4" t="s">
        <v>36</v>
      </c>
      <c r="E63" s="4" t="s">
        <v>25</v>
      </c>
      <c r="F63" s="4" t="s">
        <v>25</v>
      </c>
      <c r="G63" s="4" t="s">
        <v>25</v>
      </c>
      <c r="H63" s="4" t="s">
        <v>34</v>
      </c>
      <c r="I63" s="5">
        <v>44317</v>
      </c>
      <c r="J63" s="6">
        <v>0</v>
      </c>
      <c r="K63" s="6">
        <v>0</v>
      </c>
      <c r="L63" s="6">
        <v>121.20399999999999</v>
      </c>
      <c r="M63" s="6">
        <v>121.20399999999999</v>
      </c>
      <c r="N63" s="6">
        <v>121.20399999999999</v>
      </c>
      <c r="O63" s="6">
        <v>121.20399999999999</v>
      </c>
      <c r="P63" s="6">
        <v>0</v>
      </c>
      <c r="Q63" s="4" t="s">
        <v>26</v>
      </c>
      <c r="R63" s="4">
        <v>0</v>
      </c>
      <c r="S63" s="6">
        <v>0</v>
      </c>
      <c r="T63" s="6">
        <v>2</v>
      </c>
      <c r="U63" s="6">
        <v>74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93.48</v>
      </c>
      <c r="X63" s="6">
        <f>IF(ISERROR(VLOOKUP($U$63,'TAR FIN'!$A$1:$O$85,15,0)),0,VLOOKUP($U$63,'TAR FIN'!$A$1:$O$85,15,0))</f>
        <v>240.29</v>
      </c>
      <c r="Y63" s="6"/>
      <c r="Z63" s="6">
        <f ca="1">('TUSD BE'!$AM$12+'TUSD BF'!$AM$12+'TUSD CVA'!$AM$12)*1</f>
        <v>133.17611987332398</v>
      </c>
      <c r="AA63" s="6">
        <f>('TE BE'!$AA$6+'TE BF'!$AA$6+'TE CVA'!$AA$6)*1</f>
        <v>330.73086315618451</v>
      </c>
      <c r="AB63" s="6">
        <f>$K$63*$V$63</f>
        <v>0</v>
      </c>
      <c r="AC63" s="6">
        <f>$M$63*$W$63</f>
        <v>11330.14992</v>
      </c>
      <c r="AD63" s="6">
        <f>$O$63*$X$63</f>
        <v>29124.109159999996</v>
      </c>
      <c r="AE63" s="6">
        <f>$K$63*$Y$63</f>
        <v>0</v>
      </c>
      <c r="AF63" s="6">
        <f ca="1">$M$63*$Z$63</f>
        <v>16141.47843312636</v>
      </c>
      <c r="AG63" s="6">
        <f>$O$63*$AA$63</f>
        <v>40085.903537982187</v>
      </c>
    </row>
    <row r="64" spans="1:33" ht="11.25" customHeight="1" x14ac:dyDescent="0.3">
      <c r="A64" s="4" t="s">
        <v>21</v>
      </c>
      <c r="B64" s="4" t="s">
        <v>37</v>
      </c>
      <c r="C64" s="4" t="s">
        <v>38</v>
      </c>
      <c r="D64" s="4" t="s">
        <v>36</v>
      </c>
      <c r="E64" s="4" t="s">
        <v>25</v>
      </c>
      <c r="F64" s="4" t="s">
        <v>25</v>
      </c>
      <c r="G64" s="4" t="s">
        <v>25</v>
      </c>
      <c r="H64" s="4" t="s">
        <v>34</v>
      </c>
      <c r="I64" s="5">
        <v>44348</v>
      </c>
      <c r="J64" s="6">
        <v>0</v>
      </c>
      <c r="K64" s="6">
        <v>0</v>
      </c>
      <c r="L64" s="6">
        <v>87.236999999999995</v>
      </c>
      <c r="M64" s="6">
        <v>87.236999999999995</v>
      </c>
      <c r="N64" s="6">
        <v>87.236999999999995</v>
      </c>
      <c r="O64" s="6">
        <v>87.236999999999995</v>
      </c>
      <c r="P64" s="6">
        <v>0</v>
      </c>
      <c r="Q64" s="4" t="s">
        <v>26</v>
      </c>
      <c r="R64" s="4">
        <v>0</v>
      </c>
      <c r="S64" s="6">
        <v>0</v>
      </c>
      <c r="T64" s="6">
        <v>2</v>
      </c>
      <c r="U64" s="6">
        <v>74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93.48</v>
      </c>
      <c r="X64" s="6">
        <f>IF(ISERROR(VLOOKUP($U$64,'TAR FIN'!$A$1:$O$85,15,0)),0,VLOOKUP($U$64,'TAR FIN'!$A$1:$O$85,15,0))</f>
        <v>240.29</v>
      </c>
      <c r="Y64" s="6"/>
      <c r="Z64" s="6">
        <f ca="1">('TUSD BE'!$AM$12+'TUSD BF'!$AM$12+'TUSD CVA'!$AM$12)*1</f>
        <v>133.17611987332398</v>
      </c>
      <c r="AA64" s="6">
        <f>('TE BE'!$AA$6+'TE BF'!$AA$6+'TE CVA'!$AA$6)*1</f>
        <v>330.73086315618451</v>
      </c>
      <c r="AB64" s="6">
        <f>$K$64*$V$64</f>
        <v>0</v>
      </c>
      <c r="AC64" s="6">
        <f>$M$64*$W$64</f>
        <v>8154.9147599999997</v>
      </c>
      <c r="AD64" s="6">
        <f>$O$64*$X$64</f>
        <v>20962.17873</v>
      </c>
      <c r="AE64" s="6">
        <f>$K$64*$Y$64</f>
        <v>0</v>
      </c>
      <c r="AF64" s="6">
        <f ca="1">$M$64*$Z$64</f>
        <v>11617.885169389163</v>
      </c>
      <c r="AG64" s="6">
        <f>$O$64*$AA$64</f>
        <v>28851.968309156066</v>
      </c>
    </row>
    <row r="65" spans="1:33" ht="11.25" customHeight="1" x14ac:dyDescent="0.3">
      <c r="A65" s="4" t="s">
        <v>21</v>
      </c>
      <c r="B65" s="4" t="s">
        <v>37</v>
      </c>
      <c r="C65" s="4" t="s">
        <v>38</v>
      </c>
      <c r="D65" s="4" t="s">
        <v>36</v>
      </c>
      <c r="E65" s="4" t="s">
        <v>25</v>
      </c>
      <c r="F65" s="4" t="s">
        <v>25</v>
      </c>
      <c r="G65" s="4" t="s">
        <v>25</v>
      </c>
      <c r="H65" s="4" t="s">
        <v>34</v>
      </c>
      <c r="I65" s="5">
        <v>44378</v>
      </c>
      <c r="J65" s="6">
        <v>0</v>
      </c>
      <c r="K65" s="6">
        <v>0</v>
      </c>
      <c r="L65" s="6">
        <v>103.90900000000001</v>
      </c>
      <c r="M65" s="6">
        <v>103.90900000000001</v>
      </c>
      <c r="N65" s="6">
        <v>103.90900000000001</v>
      </c>
      <c r="O65" s="6">
        <v>103.90900000000001</v>
      </c>
      <c r="P65" s="6">
        <v>0</v>
      </c>
      <c r="Q65" s="4" t="s">
        <v>26</v>
      </c>
      <c r="R65" s="4">
        <v>0</v>
      </c>
      <c r="S65" s="6">
        <v>0</v>
      </c>
      <c r="T65" s="6">
        <v>2</v>
      </c>
      <c r="U65" s="6">
        <v>74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93.48</v>
      </c>
      <c r="X65" s="6">
        <f>IF(ISERROR(VLOOKUP($U$65,'TAR FIN'!$A$1:$O$85,15,0)),0,VLOOKUP($U$65,'TAR FIN'!$A$1:$O$85,15,0))</f>
        <v>240.29</v>
      </c>
      <c r="Y65" s="6"/>
      <c r="Z65" s="6">
        <f ca="1">('TUSD BE'!$AM$12+'TUSD BF'!$AM$12+'TUSD CVA'!$AM$12)*1</f>
        <v>133.17611987332398</v>
      </c>
      <c r="AA65" s="6">
        <f>('TE BE'!$AA$6+'TE BF'!$AA$6+'TE CVA'!$AA$6)*1</f>
        <v>330.73086315618451</v>
      </c>
      <c r="AB65" s="6">
        <f>$K$65*$V$65</f>
        <v>0</v>
      </c>
      <c r="AC65" s="6">
        <f>$M$65*$W$65</f>
        <v>9713.4133200000015</v>
      </c>
      <c r="AD65" s="6">
        <f>$O$65*$X$65</f>
        <v>24968.293610000001</v>
      </c>
      <c r="AE65" s="6">
        <f>$K$65*$Y$65</f>
        <v>0</v>
      </c>
      <c r="AF65" s="6">
        <f ca="1">$M$65*$Z$65</f>
        <v>13838.197439917223</v>
      </c>
      <c r="AG65" s="6">
        <f>$O$65*$AA$65</f>
        <v>34365.913259695975</v>
      </c>
    </row>
    <row r="66" spans="1:33" ht="11.25" customHeight="1" x14ac:dyDescent="0.3">
      <c r="A66" s="4" t="s">
        <v>21</v>
      </c>
      <c r="B66" s="4" t="s">
        <v>37</v>
      </c>
      <c r="C66" s="4" t="s">
        <v>38</v>
      </c>
      <c r="D66" s="4" t="s">
        <v>36</v>
      </c>
      <c r="E66" s="4" t="s">
        <v>25</v>
      </c>
      <c r="F66" s="4" t="s">
        <v>25</v>
      </c>
      <c r="G66" s="4" t="s">
        <v>25</v>
      </c>
      <c r="H66" s="4" t="s">
        <v>34</v>
      </c>
      <c r="I66" s="5">
        <v>44409</v>
      </c>
      <c r="J66" s="6">
        <v>0</v>
      </c>
      <c r="K66" s="6">
        <v>0</v>
      </c>
      <c r="L66" s="6">
        <v>40.93</v>
      </c>
      <c r="M66" s="6">
        <v>40.93</v>
      </c>
      <c r="N66" s="6">
        <v>40.93</v>
      </c>
      <c r="O66" s="6">
        <v>40.93</v>
      </c>
      <c r="P66" s="6">
        <v>0</v>
      </c>
      <c r="Q66" s="4" t="s">
        <v>26</v>
      </c>
      <c r="R66" s="4">
        <v>0</v>
      </c>
      <c r="S66" s="6">
        <v>0</v>
      </c>
      <c r="T66" s="6">
        <v>2</v>
      </c>
      <c r="U66" s="6">
        <v>74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93.48</v>
      </c>
      <c r="X66" s="6">
        <f>IF(ISERROR(VLOOKUP($U$66,'TAR FIN'!$A$1:$O$85,15,0)),0,VLOOKUP($U$66,'TAR FIN'!$A$1:$O$85,15,0))</f>
        <v>240.29</v>
      </c>
      <c r="Y66" s="6"/>
      <c r="Z66" s="6">
        <f ca="1">('TUSD BE'!$AM$12+'TUSD BF'!$AM$12+'TUSD CVA'!$AM$12)*1</f>
        <v>133.17611987332398</v>
      </c>
      <c r="AA66" s="6">
        <f>('TE BE'!$AA$6+'TE BF'!$AA$6+'TE CVA'!$AA$6)*1</f>
        <v>330.73086315618451</v>
      </c>
      <c r="AB66" s="6">
        <f>$K$66*$V$66</f>
        <v>0</v>
      </c>
      <c r="AC66" s="6">
        <f>$M$66*$W$66</f>
        <v>3826.1364000000003</v>
      </c>
      <c r="AD66" s="6">
        <f>$O$66*$X$66</f>
        <v>9835.0697</v>
      </c>
      <c r="AE66" s="6">
        <f>$K$66*$Y$66</f>
        <v>0</v>
      </c>
      <c r="AF66" s="6">
        <f ca="1">$M$66*$Z$66</f>
        <v>5450.8985864151509</v>
      </c>
      <c r="AG66" s="6">
        <f>$O$66*$AA$66</f>
        <v>13536.814228982632</v>
      </c>
    </row>
    <row r="67" spans="1:33" ht="11.25" customHeight="1" x14ac:dyDescent="0.3">
      <c r="A67" s="4" t="s">
        <v>21</v>
      </c>
      <c r="B67" s="4" t="s">
        <v>37</v>
      </c>
      <c r="C67" s="4" t="s">
        <v>38</v>
      </c>
      <c r="D67" s="4" t="s">
        <v>36</v>
      </c>
      <c r="E67" s="4" t="s">
        <v>25</v>
      </c>
      <c r="F67" s="4" t="s">
        <v>25</v>
      </c>
      <c r="G67" s="4" t="s">
        <v>25</v>
      </c>
      <c r="H67" s="4" t="s">
        <v>34</v>
      </c>
      <c r="I67" s="5">
        <v>44440</v>
      </c>
      <c r="J67" s="6">
        <v>0</v>
      </c>
      <c r="K67" s="6">
        <v>0</v>
      </c>
      <c r="L67" s="6">
        <v>47.845999999999997</v>
      </c>
      <c r="M67" s="6">
        <v>47.845999999999997</v>
      </c>
      <c r="N67" s="6">
        <v>47.845999999999997</v>
      </c>
      <c r="O67" s="6">
        <v>47.845999999999997</v>
      </c>
      <c r="P67" s="6">
        <v>0</v>
      </c>
      <c r="Q67" s="4" t="s">
        <v>26</v>
      </c>
      <c r="R67" s="4">
        <v>0</v>
      </c>
      <c r="S67" s="6">
        <v>0</v>
      </c>
      <c r="T67" s="6">
        <v>2</v>
      </c>
      <c r="U67" s="6">
        <v>74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93.48</v>
      </c>
      <c r="X67" s="6">
        <f>IF(ISERROR(VLOOKUP($U$67,'TAR FIN'!$A$1:$O$85,15,0)),0,VLOOKUP($U$67,'TAR FIN'!$A$1:$O$85,15,0))</f>
        <v>240.29</v>
      </c>
      <c r="Y67" s="6"/>
      <c r="Z67" s="6">
        <f ca="1">('TUSD BE'!$AM$12+'TUSD BF'!$AM$12+'TUSD CVA'!$AM$12)*1</f>
        <v>133.17611987332398</v>
      </c>
      <c r="AA67" s="6">
        <f>('TE BE'!$AA$6+'TE BF'!$AA$6+'TE CVA'!$AA$6)*1</f>
        <v>330.73086315618451</v>
      </c>
      <c r="AB67" s="6">
        <f>$K$67*$V$67</f>
        <v>0</v>
      </c>
      <c r="AC67" s="6">
        <f>$M$67*$W$67</f>
        <v>4472.64408</v>
      </c>
      <c r="AD67" s="6">
        <f>$O$67*$X$67</f>
        <v>11496.91534</v>
      </c>
      <c r="AE67" s="6">
        <f>$K$67*$Y$67</f>
        <v>0</v>
      </c>
      <c r="AF67" s="6">
        <f ca="1">$M$67*$Z$67</f>
        <v>6371.9446314590587</v>
      </c>
      <c r="AG67" s="6">
        <f>$O$67*$AA$67</f>
        <v>15824.148878570802</v>
      </c>
    </row>
    <row r="68" spans="1:33" ht="11.25" customHeight="1" x14ac:dyDescent="0.3">
      <c r="A68" s="4" t="s">
        <v>21</v>
      </c>
      <c r="B68" s="4" t="s">
        <v>37</v>
      </c>
      <c r="C68" s="4" t="s">
        <v>38</v>
      </c>
      <c r="D68" s="4" t="s">
        <v>36</v>
      </c>
      <c r="E68" s="4" t="s">
        <v>25</v>
      </c>
      <c r="F68" s="4" t="s">
        <v>25</v>
      </c>
      <c r="G68" s="4" t="s">
        <v>25</v>
      </c>
      <c r="H68" s="4" t="s">
        <v>34</v>
      </c>
      <c r="I68" s="5">
        <v>44470</v>
      </c>
      <c r="J68" s="6">
        <v>0</v>
      </c>
      <c r="K68" s="6">
        <v>0</v>
      </c>
      <c r="L68" s="6">
        <v>99.957999999999998</v>
      </c>
      <c r="M68" s="6">
        <v>99.957999999999998</v>
      </c>
      <c r="N68" s="6">
        <v>99.957999999999998</v>
      </c>
      <c r="O68" s="6">
        <v>99.957999999999998</v>
      </c>
      <c r="P68" s="6">
        <v>0</v>
      </c>
      <c r="Q68" s="4" t="s">
        <v>26</v>
      </c>
      <c r="R68" s="4">
        <v>0</v>
      </c>
      <c r="S68" s="6">
        <v>0</v>
      </c>
      <c r="T68" s="6">
        <v>2</v>
      </c>
      <c r="U68" s="6">
        <v>74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93.48</v>
      </c>
      <c r="X68" s="6">
        <f>IF(ISERROR(VLOOKUP($U$68,'TAR FIN'!$A$1:$O$85,15,0)),0,VLOOKUP($U$68,'TAR FIN'!$A$1:$O$85,15,0))</f>
        <v>240.29</v>
      </c>
      <c r="Y68" s="6"/>
      <c r="Z68" s="6">
        <f ca="1">('TUSD BE'!$AM$12+'TUSD BF'!$AM$12+'TUSD CVA'!$AM$12)*1</f>
        <v>133.17611987332398</v>
      </c>
      <c r="AA68" s="6">
        <f>('TE BE'!$AA$6+'TE BF'!$AA$6+'TE CVA'!$AA$6)*1</f>
        <v>330.73086315618451</v>
      </c>
      <c r="AB68" s="6">
        <f>$K$68*$V$68</f>
        <v>0</v>
      </c>
      <c r="AC68" s="6">
        <f>$M$68*$W$68</f>
        <v>9344.0738400000009</v>
      </c>
      <c r="AD68" s="6">
        <f>$O$68*$X$68</f>
        <v>24018.90782</v>
      </c>
      <c r="AE68" s="6">
        <f>$K$68*$Y$68</f>
        <v>0</v>
      </c>
      <c r="AF68" s="6">
        <f ca="1">$M$68*$Z$68</f>
        <v>13312.018590297719</v>
      </c>
      <c r="AG68" s="6">
        <f>$O$68*$AA$68</f>
        <v>33059.195619365892</v>
      </c>
    </row>
    <row r="69" spans="1:33" ht="11.25" customHeight="1" x14ac:dyDescent="0.3">
      <c r="A69" s="4" t="s">
        <v>21</v>
      </c>
      <c r="B69" s="4" t="s">
        <v>37</v>
      </c>
      <c r="C69" s="4" t="s">
        <v>38</v>
      </c>
      <c r="D69" s="4" t="s">
        <v>36</v>
      </c>
      <c r="E69" s="4" t="s">
        <v>25</v>
      </c>
      <c r="F69" s="4" t="s">
        <v>25</v>
      </c>
      <c r="G69" s="4" t="s">
        <v>25</v>
      </c>
      <c r="H69" s="4" t="s">
        <v>34</v>
      </c>
      <c r="I69" s="5">
        <v>44501</v>
      </c>
      <c r="J69" s="6">
        <v>0</v>
      </c>
      <c r="K69" s="6">
        <v>0</v>
      </c>
      <c r="L69" s="6">
        <v>119.455</v>
      </c>
      <c r="M69" s="6">
        <v>119.455</v>
      </c>
      <c r="N69" s="6">
        <v>119.455</v>
      </c>
      <c r="O69" s="6">
        <v>119.455</v>
      </c>
      <c r="P69" s="6">
        <v>0</v>
      </c>
      <c r="Q69" s="4" t="s">
        <v>26</v>
      </c>
      <c r="R69" s="4">
        <v>0</v>
      </c>
      <c r="S69" s="6">
        <v>0</v>
      </c>
      <c r="T69" s="6">
        <v>2</v>
      </c>
      <c r="U69" s="6">
        <v>74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93.48</v>
      </c>
      <c r="X69" s="6">
        <f>IF(ISERROR(VLOOKUP($U$69,'TAR FIN'!$A$1:$O$85,15,0)),0,VLOOKUP($U$69,'TAR FIN'!$A$1:$O$85,15,0))</f>
        <v>240.29</v>
      </c>
      <c r="Y69" s="6"/>
      <c r="Z69" s="6">
        <f ca="1">('TUSD BE'!$AM$12+'TUSD BF'!$AM$12+'TUSD CVA'!$AM$12)*1</f>
        <v>133.17611987332398</v>
      </c>
      <c r="AA69" s="6">
        <f>('TE BE'!$AA$6+'TE BF'!$AA$6+'TE CVA'!$AA$6)*1</f>
        <v>330.73086315618451</v>
      </c>
      <c r="AB69" s="6">
        <f>$K$69*$V$69</f>
        <v>0</v>
      </c>
      <c r="AC69" s="6">
        <f>$M$69*$W$69</f>
        <v>11166.653400000001</v>
      </c>
      <c r="AD69" s="6">
        <f>$O$69*$X$69</f>
        <v>28703.841949999998</v>
      </c>
      <c r="AE69" s="6">
        <f>$K$69*$Y$69</f>
        <v>0</v>
      </c>
      <c r="AF69" s="6">
        <f ca="1">$M$69*$Z$69</f>
        <v>15908.553399467915</v>
      </c>
      <c r="AG69" s="6">
        <f>$O$69*$AA$69</f>
        <v>39507.455258322021</v>
      </c>
    </row>
    <row r="70" spans="1:33" ht="11.25" customHeight="1" x14ac:dyDescent="0.3">
      <c r="A70" s="4" t="s">
        <v>21</v>
      </c>
      <c r="B70" s="4" t="s">
        <v>37</v>
      </c>
      <c r="C70" s="4" t="s">
        <v>38</v>
      </c>
      <c r="D70" s="4" t="s">
        <v>36</v>
      </c>
      <c r="E70" s="4" t="s">
        <v>25</v>
      </c>
      <c r="F70" s="4" t="s">
        <v>25</v>
      </c>
      <c r="G70" s="4" t="s">
        <v>25</v>
      </c>
      <c r="H70" s="4" t="s">
        <v>34</v>
      </c>
      <c r="I70" s="5">
        <v>44531</v>
      </c>
      <c r="J70" s="6">
        <v>0</v>
      </c>
      <c r="K70" s="6">
        <v>0</v>
      </c>
      <c r="L70" s="6">
        <v>122.976</v>
      </c>
      <c r="M70" s="6">
        <v>122.976</v>
      </c>
      <c r="N70" s="6">
        <v>122.976</v>
      </c>
      <c r="O70" s="6">
        <v>122.976</v>
      </c>
      <c r="P70" s="6">
        <v>0</v>
      </c>
      <c r="Q70" s="4" t="s">
        <v>26</v>
      </c>
      <c r="R70" s="4">
        <v>0</v>
      </c>
      <c r="S70" s="6">
        <v>0</v>
      </c>
      <c r="T70" s="6">
        <v>2</v>
      </c>
      <c r="U70" s="6">
        <v>74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93.48</v>
      </c>
      <c r="X70" s="6">
        <f>IF(ISERROR(VLOOKUP($U$70,'TAR FIN'!$A$1:$O$85,15,0)),0,VLOOKUP($U$70,'TAR FIN'!$A$1:$O$85,15,0))</f>
        <v>240.29</v>
      </c>
      <c r="Y70" s="6"/>
      <c r="Z70" s="6">
        <f ca="1">('TUSD BE'!$AM$12+'TUSD BF'!$AM$12+'TUSD CVA'!$AM$12)*1</f>
        <v>133.17611987332398</v>
      </c>
      <c r="AA70" s="6">
        <f>('TE BE'!$AA$6+'TE BF'!$AA$6+'TE CVA'!$AA$6)*1</f>
        <v>330.73086315618451</v>
      </c>
      <c r="AB70" s="6">
        <f>$K$70*$V$70</f>
        <v>0</v>
      </c>
      <c r="AC70" s="6">
        <f>$M$70*$W$70</f>
        <v>11495.796480000001</v>
      </c>
      <c r="AD70" s="6">
        <f>$O$70*$X$70</f>
        <v>29549.903039999997</v>
      </c>
      <c r="AE70" s="6">
        <f>$K$70*$Y$70</f>
        <v>0</v>
      </c>
      <c r="AF70" s="6">
        <f ca="1">$M$70*$Z$70</f>
        <v>16377.46651754189</v>
      </c>
      <c r="AG70" s="6">
        <f>$O$70*$AA$70</f>
        <v>40671.958627494947</v>
      </c>
    </row>
    <row r="71" spans="1:33" ht="11.25" customHeight="1" x14ac:dyDescent="0.3">
      <c r="A71" s="4" t="s">
        <v>21</v>
      </c>
      <c r="B71" s="4" t="s">
        <v>37</v>
      </c>
      <c r="C71" s="4" t="s">
        <v>38</v>
      </c>
      <c r="D71" s="4" t="s">
        <v>36</v>
      </c>
      <c r="E71" s="4" t="s">
        <v>25</v>
      </c>
      <c r="F71" s="4" t="s">
        <v>25</v>
      </c>
      <c r="G71" s="4" t="s">
        <v>25</v>
      </c>
      <c r="H71" s="4" t="s">
        <v>34</v>
      </c>
      <c r="I71" s="5">
        <v>44562</v>
      </c>
      <c r="J71" s="6">
        <v>0</v>
      </c>
      <c r="K71" s="6">
        <v>0</v>
      </c>
      <c r="L71" s="6">
        <v>135.27600000000001</v>
      </c>
      <c r="M71" s="6">
        <v>135.27600000000001</v>
      </c>
      <c r="N71" s="6">
        <v>135.27600000000001</v>
      </c>
      <c r="O71" s="6">
        <v>135.27600000000001</v>
      </c>
      <c r="P71" s="6">
        <v>0</v>
      </c>
      <c r="Q71" s="4" t="s">
        <v>26</v>
      </c>
      <c r="R71" s="4">
        <v>0</v>
      </c>
      <c r="S71" s="6">
        <v>0</v>
      </c>
      <c r="T71" s="6">
        <v>2</v>
      </c>
      <c r="U71" s="6">
        <v>74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93.48</v>
      </c>
      <c r="X71" s="6">
        <f>IF(ISERROR(VLOOKUP($U$71,'TAR FIN'!$A$1:$O$85,15,0)),0,VLOOKUP($U$71,'TAR FIN'!$A$1:$O$85,15,0))</f>
        <v>240.29</v>
      </c>
      <c r="Y71" s="6"/>
      <c r="Z71" s="6">
        <f ca="1">('TUSD BE'!$AM$12+'TUSD BF'!$AM$12+'TUSD CVA'!$AM$12)*1</f>
        <v>133.17611987332398</v>
      </c>
      <c r="AA71" s="6">
        <f>('TE BE'!$AA$6+'TE BF'!$AA$6+'TE CVA'!$AA$6)*1</f>
        <v>330.73086315618451</v>
      </c>
      <c r="AB71" s="6">
        <f>$K$71*$V$71</f>
        <v>0</v>
      </c>
      <c r="AC71" s="6">
        <f>$M$71*$W$71</f>
        <v>12645.600480000001</v>
      </c>
      <c r="AD71" s="6">
        <f>$O$71*$X$71</f>
        <v>32505.47004</v>
      </c>
      <c r="AE71" s="6">
        <f>$K$71*$Y$71</f>
        <v>0</v>
      </c>
      <c r="AF71" s="6">
        <f ca="1">$M$71*$Z$71</f>
        <v>18015.532791983776</v>
      </c>
      <c r="AG71" s="6">
        <f>$O$71*$AA$71</f>
        <v>44739.948244316016</v>
      </c>
    </row>
    <row r="72" spans="1:33" ht="11.25" customHeight="1" x14ac:dyDescent="0.3">
      <c r="A72" s="4" t="s">
        <v>21</v>
      </c>
      <c r="B72" s="4" t="s">
        <v>37</v>
      </c>
      <c r="C72" s="4" t="s">
        <v>38</v>
      </c>
      <c r="D72" s="4" t="s">
        <v>36</v>
      </c>
      <c r="E72" s="4" t="s">
        <v>25</v>
      </c>
      <c r="F72" s="4" t="s">
        <v>25</v>
      </c>
      <c r="G72" s="4" t="s">
        <v>25</v>
      </c>
      <c r="H72" s="4" t="s">
        <v>34</v>
      </c>
      <c r="I72" s="5">
        <v>44593</v>
      </c>
      <c r="J72" s="6">
        <v>0</v>
      </c>
      <c r="K72" s="6">
        <v>0</v>
      </c>
      <c r="L72" s="6">
        <v>128.61000000000001</v>
      </c>
      <c r="M72" s="6">
        <v>128.61000000000001</v>
      </c>
      <c r="N72" s="6">
        <v>128.61000000000001</v>
      </c>
      <c r="O72" s="6">
        <v>128.61000000000001</v>
      </c>
      <c r="P72" s="6">
        <v>0</v>
      </c>
      <c r="Q72" s="4" t="s">
        <v>26</v>
      </c>
      <c r="R72" s="4">
        <v>0</v>
      </c>
      <c r="S72" s="6">
        <v>0</v>
      </c>
      <c r="T72" s="6">
        <v>2</v>
      </c>
      <c r="U72" s="6">
        <v>74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93.48</v>
      </c>
      <c r="X72" s="6">
        <f>IF(ISERROR(VLOOKUP($U$72,'TAR FIN'!$A$1:$O$85,15,0)),0,VLOOKUP($U$72,'TAR FIN'!$A$1:$O$85,15,0))</f>
        <v>240.29</v>
      </c>
      <c r="Y72" s="6"/>
      <c r="Z72" s="6">
        <f ca="1">('TUSD BE'!$AM$12+'TUSD BF'!$AM$12+'TUSD CVA'!$AM$12)*1</f>
        <v>133.17611987332398</v>
      </c>
      <c r="AA72" s="6">
        <f>('TE BE'!$AA$6+'TE BF'!$AA$6+'TE CVA'!$AA$6)*1</f>
        <v>330.73086315618451</v>
      </c>
      <c r="AB72" s="6">
        <f>$K$72*$V$72</f>
        <v>0</v>
      </c>
      <c r="AC72" s="6">
        <f>$M$72*$W$72</f>
        <v>12022.462800000001</v>
      </c>
      <c r="AD72" s="6">
        <f>$O$72*$X$72</f>
        <v>30903.696900000003</v>
      </c>
      <c r="AE72" s="6">
        <f>$K$72*$Y$72</f>
        <v>0</v>
      </c>
      <c r="AF72" s="6">
        <f ca="1">$M$72*$Z$72</f>
        <v>17127.780776908199</v>
      </c>
      <c r="AG72" s="6">
        <f>$O$72*$AA$72</f>
        <v>42535.296310516896</v>
      </c>
    </row>
    <row r="73" spans="1:33" ht="11.25" customHeight="1" x14ac:dyDescent="0.3">
      <c r="A73" s="4" t="s">
        <v>21</v>
      </c>
      <c r="B73" s="4" t="s">
        <v>37</v>
      </c>
      <c r="C73" s="4" t="s">
        <v>38</v>
      </c>
      <c r="D73" s="4" t="s">
        <v>36</v>
      </c>
      <c r="E73" s="4" t="s">
        <v>25</v>
      </c>
      <c r="F73" s="4" t="s">
        <v>25</v>
      </c>
      <c r="G73" s="4" t="s">
        <v>25</v>
      </c>
      <c r="H73" s="4" t="s">
        <v>34</v>
      </c>
      <c r="I73" s="5">
        <v>44621</v>
      </c>
      <c r="J73" s="6">
        <v>0</v>
      </c>
      <c r="K73" s="6">
        <v>0</v>
      </c>
      <c r="L73" s="6">
        <v>176.80199999999999</v>
      </c>
      <c r="M73" s="6">
        <v>176.80199999999999</v>
      </c>
      <c r="N73" s="6">
        <v>176.80199999999999</v>
      </c>
      <c r="O73" s="6">
        <v>176.80199999999999</v>
      </c>
      <c r="P73" s="6">
        <v>0</v>
      </c>
      <c r="Q73" s="4" t="s">
        <v>26</v>
      </c>
      <c r="R73" s="4">
        <v>0</v>
      </c>
      <c r="S73" s="6">
        <v>0</v>
      </c>
      <c r="T73" s="6">
        <v>2</v>
      </c>
      <c r="U73" s="6">
        <v>74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93.48</v>
      </c>
      <c r="X73" s="6">
        <f>IF(ISERROR(VLOOKUP($U$73,'TAR FIN'!$A$1:$O$85,15,0)),0,VLOOKUP($U$73,'TAR FIN'!$A$1:$O$85,15,0))</f>
        <v>240.29</v>
      </c>
      <c r="Y73" s="6"/>
      <c r="Z73" s="6">
        <f ca="1">('TUSD BE'!$AM$12+'TUSD BF'!$AM$12+'TUSD CVA'!$AM$12)*1</f>
        <v>133.17611987332398</v>
      </c>
      <c r="AA73" s="6">
        <f>('TE BE'!$AA$6+'TE BF'!$AA$6+'TE CVA'!$AA$6)*1</f>
        <v>330.73086315618451</v>
      </c>
      <c r="AB73" s="6">
        <f>$K$73*$V$73</f>
        <v>0</v>
      </c>
      <c r="AC73" s="6">
        <f>$M$73*$W$73</f>
        <v>16527.450959999998</v>
      </c>
      <c r="AD73" s="6">
        <f>$O$73*$X$73</f>
        <v>42483.75258</v>
      </c>
      <c r="AE73" s="6">
        <f>$K$73*$Y$73</f>
        <v>0</v>
      </c>
      <c r="AF73" s="6">
        <f ca="1">$M$73*$Z$73</f>
        <v>23545.804345843426</v>
      </c>
      <c r="AG73" s="6">
        <f>$O$73*$AA$73</f>
        <v>58473.87806773973</v>
      </c>
    </row>
    <row r="74" spans="1:33" ht="11.25" customHeight="1" x14ac:dyDescent="0.3">
      <c r="A74" s="4" t="s">
        <v>21</v>
      </c>
      <c r="B74" s="4" t="s">
        <v>37</v>
      </c>
      <c r="C74" s="4" t="s">
        <v>38</v>
      </c>
      <c r="D74" s="4" t="s">
        <v>36</v>
      </c>
      <c r="E74" s="4" t="s">
        <v>25</v>
      </c>
      <c r="F74" s="4" t="s">
        <v>25</v>
      </c>
      <c r="G74" s="4" t="s">
        <v>25</v>
      </c>
      <c r="H74" s="4" t="s">
        <v>25</v>
      </c>
      <c r="I74" s="5">
        <v>44287</v>
      </c>
      <c r="J74" s="6">
        <v>935</v>
      </c>
      <c r="K74" s="6">
        <v>935</v>
      </c>
      <c r="L74" s="6">
        <v>0</v>
      </c>
      <c r="M74" s="6">
        <v>0</v>
      </c>
      <c r="N74" s="6">
        <v>0</v>
      </c>
      <c r="O74" s="6">
        <v>0</v>
      </c>
      <c r="P74" s="6">
        <v>2</v>
      </c>
      <c r="Q74" s="4" t="s">
        <v>26</v>
      </c>
      <c r="R74" s="4">
        <v>0</v>
      </c>
      <c r="S74" s="6">
        <v>50</v>
      </c>
      <c r="T74" s="6">
        <v>0</v>
      </c>
      <c r="U74" s="6">
        <v>0</v>
      </c>
      <c r="V74" s="6">
        <f>IF(ISERROR(VLOOKUP($S$74,'TAR FIN'!$A$1:$O$85,15,0)),0,VLOOKUP($S$74,'TAR FIN'!$A$1:$O$85,15,0))</f>
        <v>74.41</v>
      </c>
      <c r="W74" s="6">
        <f>IF(ISERROR(VLOOKUP($T$74,'TAR FIN'!$A$1:$O$85,15,0)),0,VLOOKUP($T$74,'TAR FIN'!$A$1:$O$85,15,0))</f>
        <v>0</v>
      </c>
      <c r="X74" s="6">
        <f>IF(ISERROR(VLOOKUP($U$74,'TAR FIN'!$A$1:$O$85,15,0)),0,VLOOKUP($U$74,'TAR FIN'!$A$1:$O$85,15,0))</f>
        <v>0</v>
      </c>
      <c r="Y74" s="6">
        <f ca="1">('TUSD BE'!$AM$10+'TUSD BF'!$AM$10+'TUSD CVA'!$AM$10)*1</f>
        <v>81.040976339510664</v>
      </c>
      <c r="Z74" s="6"/>
      <c r="AA74" s="6"/>
      <c r="AB74" s="6">
        <f>$K$74*$V$74</f>
        <v>69573.349999999991</v>
      </c>
      <c r="AC74" s="6">
        <f>$M$74*$W$74</f>
        <v>0</v>
      </c>
      <c r="AD74" s="6">
        <f>$O$74*$X$74</f>
        <v>0</v>
      </c>
      <c r="AE74" s="6">
        <f ca="1">$K$74*$Y$74</f>
        <v>75773.312877442469</v>
      </c>
      <c r="AF74" s="6">
        <f>$M$74*$Z$74</f>
        <v>0</v>
      </c>
      <c r="AG74" s="6">
        <f>$O$74*$AA$74</f>
        <v>0</v>
      </c>
    </row>
    <row r="75" spans="1:33" ht="11.25" customHeight="1" x14ac:dyDescent="0.3">
      <c r="A75" s="4" t="s">
        <v>21</v>
      </c>
      <c r="B75" s="4" t="s">
        <v>37</v>
      </c>
      <c r="C75" s="4" t="s">
        <v>38</v>
      </c>
      <c r="D75" s="4" t="s">
        <v>36</v>
      </c>
      <c r="E75" s="4" t="s">
        <v>25</v>
      </c>
      <c r="F75" s="4" t="s">
        <v>25</v>
      </c>
      <c r="G75" s="4" t="s">
        <v>25</v>
      </c>
      <c r="H75" s="4" t="s">
        <v>25</v>
      </c>
      <c r="I75" s="5">
        <v>44317</v>
      </c>
      <c r="J75" s="6">
        <v>964</v>
      </c>
      <c r="K75" s="6">
        <v>964</v>
      </c>
      <c r="L75" s="6">
        <v>0</v>
      </c>
      <c r="M75" s="6">
        <v>0</v>
      </c>
      <c r="N75" s="6">
        <v>0</v>
      </c>
      <c r="O75" s="6">
        <v>0</v>
      </c>
      <c r="P75" s="6">
        <v>2</v>
      </c>
      <c r="Q75" s="4" t="s">
        <v>26</v>
      </c>
      <c r="R75" s="4">
        <v>0</v>
      </c>
      <c r="S75" s="6">
        <v>50</v>
      </c>
      <c r="T75" s="6">
        <v>0</v>
      </c>
      <c r="U75" s="6">
        <v>0</v>
      </c>
      <c r="V75" s="6">
        <f>IF(ISERROR(VLOOKUP($S$75,'TAR FIN'!$A$1:$O$85,15,0)),0,VLOOKUP($S$75,'TAR FIN'!$A$1:$O$85,15,0))</f>
        <v>74.41</v>
      </c>
      <c r="W75" s="6">
        <f>IF(ISERROR(VLOOKUP($T$75,'TAR FIN'!$A$1:$O$85,15,0)),0,VLOOKUP($T$75,'TAR FIN'!$A$1:$O$85,15,0))</f>
        <v>0</v>
      </c>
      <c r="X75" s="6">
        <f>IF(ISERROR(VLOOKUP($U$75,'TAR FIN'!$A$1:$O$85,15,0)),0,VLOOKUP($U$75,'TAR FIN'!$A$1:$O$85,15,0))</f>
        <v>0</v>
      </c>
      <c r="Y75" s="6">
        <f ca="1">('TUSD BE'!$AM$10+'TUSD BF'!$AM$10+'TUSD CVA'!$AM$10)*1</f>
        <v>81.040976339510664</v>
      </c>
      <c r="Z75" s="6"/>
      <c r="AA75" s="6"/>
      <c r="AB75" s="6">
        <f>$K$75*$V$75</f>
        <v>71731.239999999991</v>
      </c>
      <c r="AC75" s="6">
        <f>$M$75*$W$75</f>
        <v>0</v>
      </c>
      <c r="AD75" s="6">
        <f>$O$75*$X$75</f>
        <v>0</v>
      </c>
      <c r="AE75" s="6">
        <f ca="1">$K$75*$Y$75</f>
        <v>78123.501191288276</v>
      </c>
      <c r="AF75" s="6">
        <f>$M$75*$Z$75</f>
        <v>0</v>
      </c>
      <c r="AG75" s="6">
        <f>$O$75*$AA$75</f>
        <v>0</v>
      </c>
    </row>
    <row r="76" spans="1:33" ht="11.25" customHeight="1" x14ac:dyDescent="0.3">
      <c r="A76" s="4" t="s">
        <v>21</v>
      </c>
      <c r="B76" s="4" t="s">
        <v>37</v>
      </c>
      <c r="C76" s="4" t="s">
        <v>38</v>
      </c>
      <c r="D76" s="4" t="s">
        <v>36</v>
      </c>
      <c r="E76" s="4" t="s">
        <v>25</v>
      </c>
      <c r="F76" s="4" t="s">
        <v>25</v>
      </c>
      <c r="G76" s="4" t="s">
        <v>25</v>
      </c>
      <c r="H76" s="4" t="s">
        <v>25</v>
      </c>
      <c r="I76" s="5">
        <v>44348</v>
      </c>
      <c r="J76" s="6">
        <v>946</v>
      </c>
      <c r="K76" s="6">
        <v>946</v>
      </c>
      <c r="L76" s="6">
        <v>0</v>
      </c>
      <c r="M76" s="6">
        <v>0</v>
      </c>
      <c r="N76" s="6">
        <v>0</v>
      </c>
      <c r="O76" s="6">
        <v>0</v>
      </c>
      <c r="P76" s="6">
        <v>2</v>
      </c>
      <c r="Q76" s="4" t="s">
        <v>26</v>
      </c>
      <c r="R76" s="4">
        <v>0</v>
      </c>
      <c r="S76" s="6">
        <v>50</v>
      </c>
      <c r="T76" s="6">
        <v>0</v>
      </c>
      <c r="U76" s="6">
        <v>0</v>
      </c>
      <c r="V76" s="6">
        <f>IF(ISERROR(VLOOKUP($S$76,'TAR FIN'!$A$1:$O$85,15,0)),0,VLOOKUP($S$76,'TAR FIN'!$A$1:$O$85,15,0))</f>
        <v>74.41</v>
      </c>
      <c r="W76" s="6">
        <f>IF(ISERROR(VLOOKUP($T$76,'TAR FIN'!$A$1:$O$85,15,0)),0,VLOOKUP($T$76,'TAR FIN'!$A$1:$O$85,15,0))</f>
        <v>0</v>
      </c>
      <c r="X76" s="6">
        <f>IF(ISERROR(VLOOKUP($U$76,'TAR FIN'!$A$1:$O$85,15,0)),0,VLOOKUP($U$76,'TAR FIN'!$A$1:$O$85,15,0))</f>
        <v>0</v>
      </c>
      <c r="Y76" s="6">
        <f ca="1">('TUSD BE'!$AM$10+'TUSD BF'!$AM$10+'TUSD CVA'!$AM$10)*1</f>
        <v>81.040976339510664</v>
      </c>
      <c r="Z76" s="6"/>
      <c r="AA76" s="6"/>
      <c r="AB76" s="6">
        <f>$K$76*$V$76</f>
        <v>70391.86</v>
      </c>
      <c r="AC76" s="6">
        <f>$M$76*$W$76</f>
        <v>0</v>
      </c>
      <c r="AD76" s="6">
        <f>$O$76*$X$76</f>
        <v>0</v>
      </c>
      <c r="AE76" s="6">
        <f ca="1">$K$76*$Y$76</f>
        <v>76664.763617177086</v>
      </c>
      <c r="AF76" s="6">
        <f>$M$76*$Z$76</f>
        <v>0</v>
      </c>
      <c r="AG76" s="6">
        <f>$O$76*$AA$76</f>
        <v>0</v>
      </c>
    </row>
    <row r="77" spans="1:33" ht="11.25" customHeight="1" x14ac:dyDescent="0.3">
      <c r="A77" s="4" t="s">
        <v>21</v>
      </c>
      <c r="B77" s="4" t="s">
        <v>37</v>
      </c>
      <c r="C77" s="4" t="s">
        <v>38</v>
      </c>
      <c r="D77" s="4" t="s">
        <v>36</v>
      </c>
      <c r="E77" s="4" t="s">
        <v>25</v>
      </c>
      <c r="F77" s="4" t="s">
        <v>25</v>
      </c>
      <c r="G77" s="4" t="s">
        <v>25</v>
      </c>
      <c r="H77" s="4" t="s">
        <v>25</v>
      </c>
      <c r="I77" s="5">
        <v>44378</v>
      </c>
      <c r="J77" s="6">
        <v>954</v>
      </c>
      <c r="K77" s="6">
        <v>954</v>
      </c>
      <c r="L77" s="6">
        <v>0</v>
      </c>
      <c r="M77" s="6">
        <v>0</v>
      </c>
      <c r="N77" s="6">
        <v>0</v>
      </c>
      <c r="O77" s="6">
        <v>0</v>
      </c>
      <c r="P77" s="6">
        <v>2</v>
      </c>
      <c r="Q77" s="4" t="s">
        <v>26</v>
      </c>
      <c r="R77" s="4">
        <v>0</v>
      </c>
      <c r="S77" s="6">
        <v>50</v>
      </c>
      <c r="T77" s="6">
        <v>0</v>
      </c>
      <c r="U77" s="6">
        <v>0</v>
      </c>
      <c r="V77" s="6">
        <f>IF(ISERROR(VLOOKUP($S$77,'TAR FIN'!$A$1:$O$85,15,0)),0,VLOOKUP($S$77,'TAR FIN'!$A$1:$O$85,15,0))</f>
        <v>74.41</v>
      </c>
      <c r="W77" s="6">
        <f>IF(ISERROR(VLOOKUP($T$77,'TAR FIN'!$A$1:$O$85,15,0)),0,VLOOKUP($T$77,'TAR FIN'!$A$1:$O$85,15,0))</f>
        <v>0</v>
      </c>
      <c r="X77" s="6">
        <f>IF(ISERROR(VLOOKUP($U$77,'TAR FIN'!$A$1:$O$85,15,0)),0,VLOOKUP($U$77,'TAR FIN'!$A$1:$O$85,15,0))</f>
        <v>0</v>
      </c>
      <c r="Y77" s="6">
        <f ca="1">('TUSD BE'!$AM$10+'TUSD BF'!$AM$10+'TUSD CVA'!$AM$10)*1</f>
        <v>81.040976339510664</v>
      </c>
      <c r="Z77" s="6"/>
      <c r="AA77" s="6"/>
      <c r="AB77" s="6">
        <f>$K$77*$V$77</f>
        <v>70987.14</v>
      </c>
      <c r="AC77" s="6">
        <f>$M$77*$W$77</f>
        <v>0</v>
      </c>
      <c r="AD77" s="6">
        <f>$O$77*$X$77</f>
        <v>0</v>
      </c>
      <c r="AE77" s="6">
        <f ca="1">$K$77*$Y$77</f>
        <v>77313.091427893174</v>
      </c>
      <c r="AF77" s="6">
        <f>$M$77*$Z$77</f>
        <v>0</v>
      </c>
      <c r="AG77" s="6">
        <f>$O$77*$AA$77</f>
        <v>0</v>
      </c>
    </row>
    <row r="78" spans="1:33" ht="11.25" customHeight="1" x14ac:dyDescent="0.3">
      <c r="A78" s="4" t="s">
        <v>21</v>
      </c>
      <c r="B78" s="4" t="s">
        <v>37</v>
      </c>
      <c r="C78" s="4" t="s">
        <v>38</v>
      </c>
      <c r="D78" s="4" t="s">
        <v>36</v>
      </c>
      <c r="E78" s="4" t="s">
        <v>25</v>
      </c>
      <c r="F78" s="4" t="s">
        <v>25</v>
      </c>
      <c r="G78" s="4" t="s">
        <v>25</v>
      </c>
      <c r="H78" s="4" t="s">
        <v>25</v>
      </c>
      <c r="I78" s="5">
        <v>44409</v>
      </c>
      <c r="J78" s="6">
        <v>935</v>
      </c>
      <c r="K78" s="6">
        <v>935</v>
      </c>
      <c r="L78" s="6">
        <v>0</v>
      </c>
      <c r="M78" s="6">
        <v>0</v>
      </c>
      <c r="N78" s="6">
        <v>0</v>
      </c>
      <c r="O78" s="6">
        <v>0</v>
      </c>
      <c r="P78" s="6">
        <v>2</v>
      </c>
      <c r="Q78" s="4" t="s">
        <v>26</v>
      </c>
      <c r="R78" s="4">
        <v>0</v>
      </c>
      <c r="S78" s="6">
        <v>50</v>
      </c>
      <c r="T78" s="6">
        <v>0</v>
      </c>
      <c r="U78" s="6">
        <v>0</v>
      </c>
      <c r="V78" s="6">
        <f>IF(ISERROR(VLOOKUP($S$78,'TAR FIN'!$A$1:$O$85,15,0)),0,VLOOKUP($S$78,'TAR FIN'!$A$1:$O$85,15,0))</f>
        <v>74.41</v>
      </c>
      <c r="W78" s="6">
        <f>IF(ISERROR(VLOOKUP($T$78,'TAR FIN'!$A$1:$O$85,15,0)),0,VLOOKUP($T$78,'TAR FIN'!$A$1:$O$85,15,0))</f>
        <v>0</v>
      </c>
      <c r="X78" s="6">
        <f>IF(ISERROR(VLOOKUP($U$78,'TAR FIN'!$A$1:$O$85,15,0)),0,VLOOKUP($U$78,'TAR FIN'!$A$1:$O$85,15,0))</f>
        <v>0</v>
      </c>
      <c r="Y78" s="6">
        <f ca="1">('TUSD BE'!$AM$10+'TUSD BF'!$AM$10+'TUSD CVA'!$AM$10)*1</f>
        <v>81.040976339510664</v>
      </c>
      <c r="Z78" s="6"/>
      <c r="AA78" s="6"/>
      <c r="AB78" s="6">
        <f>$K$78*$V$78</f>
        <v>69573.349999999991</v>
      </c>
      <c r="AC78" s="6">
        <f>$M$78*$W$78</f>
        <v>0</v>
      </c>
      <c r="AD78" s="6">
        <f>$O$78*$X$78</f>
        <v>0</v>
      </c>
      <c r="AE78" s="6">
        <f ca="1">$K$78*$Y$78</f>
        <v>75773.312877442469</v>
      </c>
      <c r="AF78" s="6">
        <f>$M$78*$Z$78</f>
        <v>0</v>
      </c>
      <c r="AG78" s="6">
        <f>$O$78*$AA$78</f>
        <v>0</v>
      </c>
    </row>
    <row r="79" spans="1:33" ht="11.25" customHeight="1" x14ac:dyDescent="0.3">
      <c r="A79" s="4" t="s">
        <v>21</v>
      </c>
      <c r="B79" s="4" t="s">
        <v>37</v>
      </c>
      <c r="C79" s="4" t="s">
        <v>38</v>
      </c>
      <c r="D79" s="4" t="s">
        <v>36</v>
      </c>
      <c r="E79" s="4" t="s">
        <v>25</v>
      </c>
      <c r="F79" s="4" t="s">
        <v>25</v>
      </c>
      <c r="G79" s="4" t="s">
        <v>25</v>
      </c>
      <c r="H79" s="4" t="s">
        <v>25</v>
      </c>
      <c r="I79" s="5">
        <v>44440</v>
      </c>
      <c r="J79" s="6">
        <v>935</v>
      </c>
      <c r="K79" s="6">
        <v>935</v>
      </c>
      <c r="L79" s="6">
        <v>0</v>
      </c>
      <c r="M79" s="6">
        <v>0</v>
      </c>
      <c r="N79" s="6">
        <v>0</v>
      </c>
      <c r="O79" s="6">
        <v>0</v>
      </c>
      <c r="P79" s="6">
        <v>2</v>
      </c>
      <c r="Q79" s="4" t="s">
        <v>26</v>
      </c>
      <c r="R79" s="4">
        <v>0</v>
      </c>
      <c r="S79" s="6">
        <v>50</v>
      </c>
      <c r="T79" s="6">
        <v>0</v>
      </c>
      <c r="U79" s="6">
        <v>0</v>
      </c>
      <c r="V79" s="6">
        <f>IF(ISERROR(VLOOKUP($S$79,'TAR FIN'!$A$1:$O$85,15,0)),0,VLOOKUP($S$79,'TAR FIN'!$A$1:$O$85,15,0))</f>
        <v>74.41</v>
      </c>
      <c r="W79" s="6">
        <f>IF(ISERROR(VLOOKUP($T$79,'TAR FIN'!$A$1:$O$85,15,0)),0,VLOOKUP($T$79,'TAR FIN'!$A$1:$O$85,15,0))</f>
        <v>0</v>
      </c>
      <c r="X79" s="6">
        <f>IF(ISERROR(VLOOKUP($U$79,'TAR FIN'!$A$1:$O$85,15,0)),0,VLOOKUP($U$79,'TAR FIN'!$A$1:$O$85,15,0))</f>
        <v>0</v>
      </c>
      <c r="Y79" s="6">
        <f ca="1">('TUSD BE'!$AM$10+'TUSD BF'!$AM$10+'TUSD CVA'!$AM$10)*1</f>
        <v>81.040976339510664</v>
      </c>
      <c r="Z79" s="6"/>
      <c r="AA79" s="6"/>
      <c r="AB79" s="6">
        <f>$K$79*$V$79</f>
        <v>69573.349999999991</v>
      </c>
      <c r="AC79" s="6">
        <f>$M$79*$W$79</f>
        <v>0</v>
      </c>
      <c r="AD79" s="6">
        <f>$O$79*$X$79</f>
        <v>0</v>
      </c>
      <c r="AE79" s="6">
        <f ca="1">$K$79*$Y$79</f>
        <v>75773.312877442469</v>
      </c>
      <c r="AF79" s="6">
        <f>$M$79*$Z$79</f>
        <v>0</v>
      </c>
      <c r="AG79" s="6">
        <f>$O$79*$AA$79</f>
        <v>0</v>
      </c>
    </row>
    <row r="80" spans="1:33" ht="11.25" customHeight="1" x14ac:dyDescent="0.3">
      <c r="A80" s="4" t="s">
        <v>21</v>
      </c>
      <c r="B80" s="4" t="s">
        <v>37</v>
      </c>
      <c r="C80" s="4" t="s">
        <v>38</v>
      </c>
      <c r="D80" s="4" t="s">
        <v>36</v>
      </c>
      <c r="E80" s="4" t="s">
        <v>25</v>
      </c>
      <c r="F80" s="4" t="s">
        <v>25</v>
      </c>
      <c r="G80" s="4" t="s">
        <v>25</v>
      </c>
      <c r="H80" s="4" t="s">
        <v>25</v>
      </c>
      <c r="I80" s="5">
        <v>44470</v>
      </c>
      <c r="J80" s="6">
        <v>935</v>
      </c>
      <c r="K80" s="6">
        <v>935</v>
      </c>
      <c r="L80" s="6">
        <v>0</v>
      </c>
      <c r="M80" s="6">
        <v>0</v>
      </c>
      <c r="N80" s="6">
        <v>0</v>
      </c>
      <c r="O80" s="6">
        <v>0</v>
      </c>
      <c r="P80" s="6">
        <v>2</v>
      </c>
      <c r="Q80" s="4" t="s">
        <v>26</v>
      </c>
      <c r="R80" s="4">
        <v>0</v>
      </c>
      <c r="S80" s="6">
        <v>50</v>
      </c>
      <c r="T80" s="6">
        <v>0</v>
      </c>
      <c r="U80" s="6">
        <v>0</v>
      </c>
      <c r="V80" s="6">
        <f>IF(ISERROR(VLOOKUP($S$80,'TAR FIN'!$A$1:$O$85,15,0)),0,VLOOKUP($S$80,'TAR FIN'!$A$1:$O$85,15,0))</f>
        <v>74.41</v>
      </c>
      <c r="W80" s="6">
        <f>IF(ISERROR(VLOOKUP($T$80,'TAR FIN'!$A$1:$O$85,15,0)),0,VLOOKUP($T$80,'TAR FIN'!$A$1:$O$85,15,0))</f>
        <v>0</v>
      </c>
      <c r="X80" s="6">
        <f>IF(ISERROR(VLOOKUP($U$80,'TAR FIN'!$A$1:$O$85,15,0)),0,VLOOKUP($U$80,'TAR FIN'!$A$1:$O$85,15,0))</f>
        <v>0</v>
      </c>
      <c r="Y80" s="6">
        <f ca="1">('TUSD BE'!$AM$10+'TUSD BF'!$AM$10+'TUSD CVA'!$AM$10)*1</f>
        <v>81.040976339510664</v>
      </c>
      <c r="Z80" s="6"/>
      <c r="AA80" s="6"/>
      <c r="AB80" s="6">
        <f>$K$80*$V$80</f>
        <v>69573.349999999991</v>
      </c>
      <c r="AC80" s="6">
        <f>$M$80*$W$80</f>
        <v>0</v>
      </c>
      <c r="AD80" s="6">
        <f>$O$80*$X$80</f>
        <v>0</v>
      </c>
      <c r="AE80" s="6">
        <f ca="1">$K$80*$Y$80</f>
        <v>75773.312877442469</v>
      </c>
      <c r="AF80" s="6">
        <f>$M$80*$Z$80</f>
        <v>0</v>
      </c>
      <c r="AG80" s="6">
        <f>$O$80*$AA$80</f>
        <v>0</v>
      </c>
    </row>
    <row r="81" spans="1:33" ht="11.25" customHeight="1" x14ac:dyDescent="0.3">
      <c r="A81" s="4" t="s">
        <v>21</v>
      </c>
      <c r="B81" s="4" t="s">
        <v>37</v>
      </c>
      <c r="C81" s="4" t="s">
        <v>38</v>
      </c>
      <c r="D81" s="4" t="s">
        <v>36</v>
      </c>
      <c r="E81" s="4" t="s">
        <v>25</v>
      </c>
      <c r="F81" s="4" t="s">
        <v>25</v>
      </c>
      <c r="G81" s="4" t="s">
        <v>25</v>
      </c>
      <c r="H81" s="4" t="s">
        <v>25</v>
      </c>
      <c r="I81" s="5">
        <v>44501</v>
      </c>
      <c r="J81" s="6">
        <v>935</v>
      </c>
      <c r="K81" s="6">
        <v>935</v>
      </c>
      <c r="L81" s="6">
        <v>0</v>
      </c>
      <c r="M81" s="6">
        <v>0</v>
      </c>
      <c r="N81" s="6">
        <v>0</v>
      </c>
      <c r="O81" s="6">
        <v>0</v>
      </c>
      <c r="P81" s="6">
        <v>2</v>
      </c>
      <c r="Q81" s="4" t="s">
        <v>26</v>
      </c>
      <c r="R81" s="4">
        <v>0</v>
      </c>
      <c r="S81" s="6">
        <v>50</v>
      </c>
      <c r="T81" s="6">
        <v>0</v>
      </c>
      <c r="U81" s="6">
        <v>0</v>
      </c>
      <c r="V81" s="6">
        <f>IF(ISERROR(VLOOKUP($S$81,'TAR FIN'!$A$1:$O$85,15,0)),0,VLOOKUP($S$81,'TAR FIN'!$A$1:$O$85,15,0))</f>
        <v>74.41</v>
      </c>
      <c r="W81" s="6">
        <f>IF(ISERROR(VLOOKUP($T$81,'TAR FIN'!$A$1:$O$85,15,0)),0,VLOOKUP($T$81,'TAR FIN'!$A$1:$O$85,15,0))</f>
        <v>0</v>
      </c>
      <c r="X81" s="6">
        <f>IF(ISERROR(VLOOKUP($U$81,'TAR FIN'!$A$1:$O$85,15,0)),0,VLOOKUP($U$81,'TAR FIN'!$A$1:$O$85,15,0))</f>
        <v>0</v>
      </c>
      <c r="Y81" s="6">
        <f ca="1">('TUSD BE'!$AM$10+'TUSD BF'!$AM$10+'TUSD CVA'!$AM$10)*1</f>
        <v>81.040976339510664</v>
      </c>
      <c r="Z81" s="6"/>
      <c r="AA81" s="6"/>
      <c r="AB81" s="6">
        <f>$K$81*$V$81</f>
        <v>69573.349999999991</v>
      </c>
      <c r="AC81" s="6">
        <f>$M$81*$W$81</f>
        <v>0</v>
      </c>
      <c r="AD81" s="6">
        <f>$O$81*$X$81</f>
        <v>0</v>
      </c>
      <c r="AE81" s="6">
        <f ca="1">$K$81*$Y$81</f>
        <v>75773.312877442469</v>
      </c>
      <c r="AF81" s="6">
        <f>$M$81*$Z$81</f>
        <v>0</v>
      </c>
      <c r="AG81" s="6">
        <f>$O$81*$AA$81</f>
        <v>0</v>
      </c>
    </row>
    <row r="82" spans="1:33" ht="11.25" customHeight="1" x14ac:dyDescent="0.3">
      <c r="A82" s="4" t="s">
        <v>21</v>
      </c>
      <c r="B82" s="4" t="s">
        <v>37</v>
      </c>
      <c r="C82" s="4" t="s">
        <v>38</v>
      </c>
      <c r="D82" s="4" t="s">
        <v>36</v>
      </c>
      <c r="E82" s="4" t="s">
        <v>25</v>
      </c>
      <c r="F82" s="4" t="s">
        <v>25</v>
      </c>
      <c r="G82" s="4" t="s">
        <v>25</v>
      </c>
      <c r="H82" s="4" t="s">
        <v>25</v>
      </c>
      <c r="I82" s="5">
        <v>44531</v>
      </c>
      <c r="J82" s="6">
        <v>935</v>
      </c>
      <c r="K82" s="6">
        <v>935</v>
      </c>
      <c r="L82" s="6">
        <v>0</v>
      </c>
      <c r="M82" s="6">
        <v>0</v>
      </c>
      <c r="N82" s="6">
        <v>0</v>
      </c>
      <c r="O82" s="6">
        <v>0</v>
      </c>
      <c r="P82" s="6">
        <v>2</v>
      </c>
      <c r="Q82" s="4" t="s">
        <v>26</v>
      </c>
      <c r="R82" s="4">
        <v>0</v>
      </c>
      <c r="S82" s="6">
        <v>50</v>
      </c>
      <c r="T82" s="6">
        <v>0</v>
      </c>
      <c r="U82" s="6">
        <v>0</v>
      </c>
      <c r="V82" s="6">
        <f>IF(ISERROR(VLOOKUP($S$82,'TAR FIN'!$A$1:$O$85,15,0)),0,VLOOKUP($S$82,'TAR FIN'!$A$1:$O$85,15,0))</f>
        <v>74.41</v>
      </c>
      <c r="W82" s="6">
        <f>IF(ISERROR(VLOOKUP($T$82,'TAR FIN'!$A$1:$O$85,15,0)),0,VLOOKUP($T$82,'TAR FIN'!$A$1:$O$85,15,0))</f>
        <v>0</v>
      </c>
      <c r="X82" s="6">
        <f>IF(ISERROR(VLOOKUP($U$82,'TAR FIN'!$A$1:$O$85,15,0)),0,VLOOKUP($U$82,'TAR FIN'!$A$1:$O$85,15,0))</f>
        <v>0</v>
      </c>
      <c r="Y82" s="6">
        <f ca="1">('TUSD BE'!$AM$10+'TUSD BF'!$AM$10+'TUSD CVA'!$AM$10)*1</f>
        <v>81.040976339510664</v>
      </c>
      <c r="Z82" s="6"/>
      <c r="AA82" s="6"/>
      <c r="AB82" s="6">
        <f>$K$82*$V$82</f>
        <v>69573.349999999991</v>
      </c>
      <c r="AC82" s="6">
        <f>$M$82*$W$82</f>
        <v>0</v>
      </c>
      <c r="AD82" s="6">
        <f>$O$82*$X$82</f>
        <v>0</v>
      </c>
      <c r="AE82" s="6">
        <f ca="1">$K$82*$Y$82</f>
        <v>75773.312877442469</v>
      </c>
      <c r="AF82" s="6">
        <f>$M$82*$Z$82</f>
        <v>0</v>
      </c>
      <c r="AG82" s="6">
        <f>$O$82*$AA$82</f>
        <v>0</v>
      </c>
    </row>
    <row r="83" spans="1:33" ht="11.25" customHeight="1" x14ac:dyDescent="0.3">
      <c r="A83" s="4" t="s">
        <v>21</v>
      </c>
      <c r="B83" s="4" t="s">
        <v>37</v>
      </c>
      <c r="C83" s="4" t="s">
        <v>38</v>
      </c>
      <c r="D83" s="4" t="s">
        <v>36</v>
      </c>
      <c r="E83" s="4" t="s">
        <v>25</v>
      </c>
      <c r="F83" s="4" t="s">
        <v>25</v>
      </c>
      <c r="G83" s="4" t="s">
        <v>25</v>
      </c>
      <c r="H83" s="4" t="s">
        <v>25</v>
      </c>
      <c r="I83" s="5">
        <v>44562</v>
      </c>
      <c r="J83" s="6">
        <v>935</v>
      </c>
      <c r="K83" s="6">
        <v>935</v>
      </c>
      <c r="L83" s="6">
        <v>0</v>
      </c>
      <c r="M83" s="6">
        <v>0</v>
      </c>
      <c r="N83" s="6">
        <v>0</v>
      </c>
      <c r="O83" s="6">
        <v>0</v>
      </c>
      <c r="P83" s="6">
        <v>2</v>
      </c>
      <c r="Q83" s="4" t="s">
        <v>26</v>
      </c>
      <c r="R83" s="4">
        <v>0</v>
      </c>
      <c r="S83" s="6">
        <v>50</v>
      </c>
      <c r="T83" s="6">
        <v>0</v>
      </c>
      <c r="U83" s="6">
        <v>0</v>
      </c>
      <c r="V83" s="6">
        <f>IF(ISERROR(VLOOKUP($S$83,'TAR FIN'!$A$1:$O$85,15,0)),0,VLOOKUP($S$83,'TAR FIN'!$A$1:$O$85,15,0))</f>
        <v>74.41</v>
      </c>
      <c r="W83" s="6">
        <f>IF(ISERROR(VLOOKUP($T$83,'TAR FIN'!$A$1:$O$85,15,0)),0,VLOOKUP($T$83,'TAR FIN'!$A$1:$O$85,15,0))</f>
        <v>0</v>
      </c>
      <c r="X83" s="6">
        <f>IF(ISERROR(VLOOKUP($U$83,'TAR FIN'!$A$1:$O$85,15,0)),0,VLOOKUP($U$83,'TAR FIN'!$A$1:$O$85,15,0))</f>
        <v>0</v>
      </c>
      <c r="Y83" s="6">
        <f ca="1">('TUSD BE'!$AM$10+'TUSD BF'!$AM$10+'TUSD CVA'!$AM$10)*1</f>
        <v>81.040976339510664</v>
      </c>
      <c r="Z83" s="6"/>
      <c r="AA83" s="6"/>
      <c r="AB83" s="6">
        <f>$K$83*$V$83</f>
        <v>69573.349999999991</v>
      </c>
      <c r="AC83" s="6">
        <f>$M$83*$W$83</f>
        <v>0</v>
      </c>
      <c r="AD83" s="6">
        <f>$O$83*$X$83</f>
        <v>0</v>
      </c>
      <c r="AE83" s="6">
        <f ca="1">$K$83*$Y$83</f>
        <v>75773.312877442469</v>
      </c>
      <c r="AF83" s="6">
        <f>$M$83*$Z$83</f>
        <v>0</v>
      </c>
      <c r="AG83" s="6">
        <f>$O$83*$AA$83</f>
        <v>0</v>
      </c>
    </row>
    <row r="84" spans="1:33" ht="11.25" customHeight="1" x14ac:dyDescent="0.3">
      <c r="A84" s="4" t="s">
        <v>21</v>
      </c>
      <c r="B84" s="4" t="s">
        <v>37</v>
      </c>
      <c r="C84" s="4" t="s">
        <v>38</v>
      </c>
      <c r="D84" s="4" t="s">
        <v>36</v>
      </c>
      <c r="E84" s="4" t="s">
        <v>25</v>
      </c>
      <c r="F84" s="4" t="s">
        <v>25</v>
      </c>
      <c r="G84" s="4" t="s">
        <v>25</v>
      </c>
      <c r="H84" s="4" t="s">
        <v>25</v>
      </c>
      <c r="I84" s="5">
        <v>44593</v>
      </c>
      <c r="J84" s="6">
        <v>985</v>
      </c>
      <c r="K84" s="6">
        <v>985</v>
      </c>
      <c r="L84" s="6">
        <v>0</v>
      </c>
      <c r="M84" s="6">
        <v>0</v>
      </c>
      <c r="N84" s="6">
        <v>0</v>
      </c>
      <c r="O84" s="6">
        <v>0</v>
      </c>
      <c r="P84" s="6">
        <v>2</v>
      </c>
      <c r="Q84" s="4" t="s">
        <v>26</v>
      </c>
      <c r="R84" s="4">
        <v>0</v>
      </c>
      <c r="S84" s="6">
        <v>50</v>
      </c>
      <c r="T84" s="6">
        <v>0</v>
      </c>
      <c r="U84" s="6">
        <v>0</v>
      </c>
      <c r="V84" s="6">
        <f>IF(ISERROR(VLOOKUP($S$84,'TAR FIN'!$A$1:$O$85,15,0)),0,VLOOKUP($S$84,'TAR FIN'!$A$1:$O$85,15,0))</f>
        <v>74.41</v>
      </c>
      <c r="W84" s="6">
        <f>IF(ISERROR(VLOOKUP($T$84,'TAR FIN'!$A$1:$O$85,15,0)),0,VLOOKUP($T$84,'TAR FIN'!$A$1:$O$85,15,0))</f>
        <v>0</v>
      </c>
      <c r="X84" s="6">
        <f>IF(ISERROR(VLOOKUP($U$84,'TAR FIN'!$A$1:$O$85,15,0)),0,VLOOKUP($U$84,'TAR FIN'!$A$1:$O$85,15,0))</f>
        <v>0</v>
      </c>
      <c r="Y84" s="6">
        <f ca="1">('TUSD BE'!$AM$10+'TUSD BF'!$AM$10+'TUSD CVA'!$AM$10)*1</f>
        <v>81.040976339510664</v>
      </c>
      <c r="Z84" s="6"/>
      <c r="AA84" s="6"/>
      <c r="AB84" s="6">
        <f>$K$84*$V$84</f>
        <v>73293.849999999991</v>
      </c>
      <c r="AC84" s="6">
        <f>$M$84*$W$84</f>
        <v>0</v>
      </c>
      <c r="AD84" s="6">
        <f>$O$84*$X$84</f>
        <v>0</v>
      </c>
      <c r="AE84" s="6">
        <f ca="1">$K$84*$Y$84</f>
        <v>79825.36169441801</v>
      </c>
      <c r="AF84" s="6">
        <f>$M$84*$Z$84</f>
        <v>0</v>
      </c>
      <c r="AG84" s="6">
        <f>$O$84*$AA$84</f>
        <v>0</v>
      </c>
    </row>
    <row r="85" spans="1:33" ht="11.25" customHeight="1" x14ac:dyDescent="0.3">
      <c r="A85" s="4" t="s">
        <v>21</v>
      </c>
      <c r="B85" s="4" t="s">
        <v>37</v>
      </c>
      <c r="C85" s="4" t="s">
        <v>38</v>
      </c>
      <c r="D85" s="4" t="s">
        <v>36</v>
      </c>
      <c r="E85" s="4" t="s">
        <v>25</v>
      </c>
      <c r="F85" s="4" t="s">
        <v>25</v>
      </c>
      <c r="G85" s="4" t="s">
        <v>25</v>
      </c>
      <c r="H85" s="4" t="s">
        <v>25</v>
      </c>
      <c r="I85" s="5">
        <v>44621</v>
      </c>
      <c r="J85" s="6">
        <v>1070</v>
      </c>
      <c r="K85" s="6">
        <v>1070</v>
      </c>
      <c r="L85" s="6">
        <v>0</v>
      </c>
      <c r="M85" s="6">
        <v>0</v>
      </c>
      <c r="N85" s="6">
        <v>0</v>
      </c>
      <c r="O85" s="6">
        <v>0</v>
      </c>
      <c r="P85" s="6">
        <v>2</v>
      </c>
      <c r="Q85" s="4" t="s">
        <v>26</v>
      </c>
      <c r="R85" s="4">
        <v>0</v>
      </c>
      <c r="S85" s="6">
        <v>50</v>
      </c>
      <c r="T85" s="6">
        <v>0</v>
      </c>
      <c r="U85" s="6">
        <v>0</v>
      </c>
      <c r="V85" s="6">
        <f>IF(ISERROR(VLOOKUP($S$85,'TAR FIN'!$A$1:$O$85,15,0)),0,VLOOKUP($S$85,'TAR FIN'!$A$1:$O$85,15,0))</f>
        <v>74.41</v>
      </c>
      <c r="W85" s="6">
        <f>IF(ISERROR(VLOOKUP($T$85,'TAR FIN'!$A$1:$O$85,15,0)),0,VLOOKUP($T$85,'TAR FIN'!$A$1:$O$85,15,0))</f>
        <v>0</v>
      </c>
      <c r="X85" s="6">
        <f>IF(ISERROR(VLOOKUP($U$85,'TAR FIN'!$A$1:$O$85,15,0)),0,VLOOKUP($U$85,'TAR FIN'!$A$1:$O$85,15,0))</f>
        <v>0</v>
      </c>
      <c r="Y85" s="6">
        <f ca="1">('TUSD BE'!$AM$10+'TUSD BF'!$AM$10+'TUSD CVA'!$AM$10)*1</f>
        <v>81.040976339510664</v>
      </c>
      <c r="Z85" s="6"/>
      <c r="AA85" s="6"/>
      <c r="AB85" s="6">
        <f>$K$85*$V$85</f>
        <v>79618.7</v>
      </c>
      <c r="AC85" s="6">
        <f>$M$85*$W$85</f>
        <v>0</v>
      </c>
      <c r="AD85" s="6">
        <f>$O$85*$X$85</f>
        <v>0</v>
      </c>
      <c r="AE85" s="6">
        <f ca="1">$K$85*$Y$85</f>
        <v>86713.844683276417</v>
      </c>
      <c r="AF85" s="6">
        <f>$M$85*$Z$85</f>
        <v>0</v>
      </c>
      <c r="AG85" s="6">
        <f>$O$85*$AA$85</f>
        <v>0</v>
      </c>
    </row>
    <row r="86" spans="1:33" ht="11.25" customHeight="1" x14ac:dyDescent="0.3">
      <c r="A86" s="4" t="s">
        <v>21</v>
      </c>
      <c r="B86" s="4" t="s">
        <v>37</v>
      </c>
      <c r="C86" s="4" t="s">
        <v>38</v>
      </c>
      <c r="D86" s="4" t="s">
        <v>36</v>
      </c>
      <c r="E86" s="4" t="s">
        <v>25</v>
      </c>
      <c r="F86" s="4" t="s">
        <v>25</v>
      </c>
      <c r="G86" s="4" t="s">
        <v>25</v>
      </c>
      <c r="H86" s="4" t="s">
        <v>39</v>
      </c>
      <c r="I86" s="5">
        <v>44287</v>
      </c>
      <c r="J86" s="6">
        <v>0</v>
      </c>
      <c r="K86" s="6">
        <v>0</v>
      </c>
      <c r="L86" s="6">
        <v>1.2130000000000001</v>
      </c>
      <c r="M86" s="6">
        <v>1.2130000000000001</v>
      </c>
      <c r="N86" s="6">
        <v>1.2130000000000001</v>
      </c>
      <c r="O86" s="6">
        <v>1.2130000000000001</v>
      </c>
      <c r="P86" s="6">
        <v>0</v>
      </c>
      <c r="Q86" s="4" t="s">
        <v>26</v>
      </c>
      <c r="R86" s="4">
        <v>0</v>
      </c>
      <c r="S86" s="6">
        <v>0</v>
      </c>
      <c r="T86" s="6">
        <v>1</v>
      </c>
      <c r="U86" s="6">
        <v>73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4589.68</v>
      </c>
      <c r="X86" s="6">
        <f>IF(ISERROR(VLOOKUP($U$86,'TAR FIN'!$A$1:$O$85,15,0)),0,VLOOKUP($U$86,'TAR FIN'!$A$1:$O$85,15,0))</f>
        <v>240.29</v>
      </c>
      <c r="Y86" s="6"/>
      <c r="Z86" s="6">
        <f ca="1">('TUSD BE'!$AM$11+'TUSD BF'!$AM$11+'TUSD CVA'!$AM$11)*1</f>
        <v>5047.4555393081146</v>
      </c>
      <c r="AA86" s="6">
        <f>('TE BE'!$AA$5+'TE BF'!$AA$5+'TE CVA'!$AA$5)*1</f>
        <v>330.73086315618451</v>
      </c>
      <c r="AB86" s="6">
        <f>$K$86*$V$86</f>
        <v>0</v>
      </c>
      <c r="AC86" s="6">
        <f>$M$86*$W$86</f>
        <v>5567.2818400000006</v>
      </c>
      <c r="AD86" s="6">
        <f>$O$86*$X$86</f>
        <v>291.47176999999999</v>
      </c>
      <c r="AE86" s="6">
        <f>$K$86*$Y$86</f>
        <v>0</v>
      </c>
      <c r="AF86" s="6">
        <f ca="1">$M$86*$Z$86</f>
        <v>6122.5635691807438</v>
      </c>
      <c r="AG86" s="6">
        <f>$O$86*$AA$86</f>
        <v>401.17653700845182</v>
      </c>
    </row>
    <row r="87" spans="1:33" ht="11.25" customHeight="1" x14ac:dyDescent="0.3">
      <c r="A87" s="4" t="s">
        <v>21</v>
      </c>
      <c r="B87" s="4" t="s">
        <v>37</v>
      </c>
      <c r="C87" s="4" t="s">
        <v>38</v>
      </c>
      <c r="D87" s="4" t="s">
        <v>36</v>
      </c>
      <c r="E87" s="4" t="s">
        <v>25</v>
      </c>
      <c r="F87" s="4" t="s">
        <v>25</v>
      </c>
      <c r="G87" s="4" t="s">
        <v>25</v>
      </c>
      <c r="H87" s="4" t="s">
        <v>39</v>
      </c>
      <c r="I87" s="5">
        <v>44317</v>
      </c>
      <c r="J87" s="6">
        <v>0</v>
      </c>
      <c r="K87" s="6">
        <v>0</v>
      </c>
      <c r="L87" s="6">
        <v>1.2150000000000001</v>
      </c>
      <c r="M87" s="6">
        <v>1.2150000000000001</v>
      </c>
      <c r="N87" s="6">
        <v>1.2150000000000001</v>
      </c>
      <c r="O87" s="6">
        <v>1.2150000000000001</v>
      </c>
      <c r="P87" s="6">
        <v>0</v>
      </c>
      <c r="Q87" s="4" t="s">
        <v>26</v>
      </c>
      <c r="R87" s="4">
        <v>0</v>
      </c>
      <c r="S87" s="6">
        <v>0</v>
      </c>
      <c r="T87" s="6">
        <v>1</v>
      </c>
      <c r="U87" s="6">
        <v>73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4589.68</v>
      </c>
      <c r="X87" s="6">
        <f>IF(ISERROR(VLOOKUP($U$87,'TAR FIN'!$A$1:$O$85,15,0)),0,VLOOKUP($U$87,'TAR FIN'!$A$1:$O$85,15,0))</f>
        <v>240.29</v>
      </c>
      <c r="Y87" s="6"/>
      <c r="Z87" s="6">
        <f ca="1">('TUSD BE'!$AM$11+'TUSD BF'!$AM$11+'TUSD CVA'!$AM$11)*1</f>
        <v>5047.4555393081146</v>
      </c>
      <c r="AA87" s="6">
        <f>('TE BE'!$AA$5+'TE BF'!$AA$5+'TE CVA'!$AA$5)*1</f>
        <v>330.73086315618451</v>
      </c>
      <c r="AB87" s="6">
        <f>$K$87*$V$87</f>
        <v>0</v>
      </c>
      <c r="AC87" s="6">
        <f>$M$87*$W$87</f>
        <v>5576.4612000000006</v>
      </c>
      <c r="AD87" s="6">
        <f>$O$87*$X$87</f>
        <v>291.95235000000002</v>
      </c>
      <c r="AE87" s="6">
        <f>$K$87*$Y$87</f>
        <v>0</v>
      </c>
      <c r="AF87" s="6">
        <f ca="1">$M$87*$Z$87</f>
        <v>6132.6584802593597</v>
      </c>
      <c r="AG87" s="6">
        <f>$O$87*$AA$87</f>
        <v>401.8379987347642</v>
      </c>
    </row>
    <row r="88" spans="1:33" ht="11.25" customHeight="1" x14ac:dyDescent="0.3">
      <c r="A88" s="4" t="s">
        <v>21</v>
      </c>
      <c r="B88" s="4" t="s">
        <v>37</v>
      </c>
      <c r="C88" s="4" t="s">
        <v>38</v>
      </c>
      <c r="D88" s="4" t="s">
        <v>36</v>
      </c>
      <c r="E88" s="4" t="s">
        <v>25</v>
      </c>
      <c r="F88" s="4" t="s">
        <v>25</v>
      </c>
      <c r="G88" s="4" t="s">
        <v>25</v>
      </c>
      <c r="H88" s="4" t="s">
        <v>39</v>
      </c>
      <c r="I88" s="5">
        <v>44348</v>
      </c>
      <c r="J88" s="6">
        <v>0</v>
      </c>
      <c r="K88" s="6">
        <v>0</v>
      </c>
      <c r="L88" s="6">
        <v>1.212</v>
      </c>
      <c r="M88" s="6">
        <v>1.212</v>
      </c>
      <c r="N88" s="6">
        <v>1.212</v>
      </c>
      <c r="O88" s="6">
        <v>1.212</v>
      </c>
      <c r="P88" s="6">
        <v>0</v>
      </c>
      <c r="Q88" s="4" t="s">
        <v>26</v>
      </c>
      <c r="R88" s="4">
        <v>0</v>
      </c>
      <c r="S88" s="6">
        <v>0</v>
      </c>
      <c r="T88" s="6">
        <v>1</v>
      </c>
      <c r="U88" s="6">
        <v>73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4589.68</v>
      </c>
      <c r="X88" s="6">
        <f>IF(ISERROR(VLOOKUP($U$88,'TAR FIN'!$A$1:$O$85,15,0)),0,VLOOKUP($U$88,'TAR FIN'!$A$1:$O$85,15,0))</f>
        <v>240.29</v>
      </c>
      <c r="Y88" s="6"/>
      <c r="Z88" s="6">
        <f ca="1">('TUSD BE'!$AM$11+'TUSD BF'!$AM$11+'TUSD CVA'!$AM$11)*1</f>
        <v>5047.4555393081146</v>
      </c>
      <c r="AA88" s="6">
        <f>('TE BE'!$AA$5+'TE BF'!$AA$5+'TE CVA'!$AA$5)*1</f>
        <v>330.73086315618451</v>
      </c>
      <c r="AB88" s="6">
        <f>$K$88*$V$88</f>
        <v>0</v>
      </c>
      <c r="AC88" s="6">
        <f>$M$88*$W$88</f>
        <v>5562.6921600000005</v>
      </c>
      <c r="AD88" s="6">
        <f>$O$88*$X$88</f>
        <v>291.23147999999998</v>
      </c>
      <c r="AE88" s="6">
        <f>$K$88*$Y$88</f>
        <v>0</v>
      </c>
      <c r="AF88" s="6">
        <f ca="1">$M$88*$Z$88</f>
        <v>6117.5161136414345</v>
      </c>
      <c r="AG88" s="6">
        <f>$O$88*$AA$88</f>
        <v>400.84580614529563</v>
      </c>
    </row>
    <row r="89" spans="1:33" ht="11.25" customHeight="1" x14ac:dyDescent="0.3">
      <c r="A89" s="4" t="s">
        <v>21</v>
      </c>
      <c r="B89" s="4" t="s">
        <v>37</v>
      </c>
      <c r="C89" s="4" t="s">
        <v>38</v>
      </c>
      <c r="D89" s="4" t="s">
        <v>36</v>
      </c>
      <c r="E89" s="4" t="s">
        <v>25</v>
      </c>
      <c r="F89" s="4" t="s">
        <v>25</v>
      </c>
      <c r="G89" s="4" t="s">
        <v>25</v>
      </c>
      <c r="H89" s="4" t="s">
        <v>39</v>
      </c>
      <c r="I89" s="5">
        <v>44378</v>
      </c>
      <c r="J89" s="6">
        <v>0</v>
      </c>
      <c r="K89" s="6">
        <v>0</v>
      </c>
      <c r="L89" s="6">
        <v>1.1910000000000001</v>
      </c>
      <c r="M89" s="6">
        <v>1.1910000000000001</v>
      </c>
      <c r="N89" s="6">
        <v>1.1910000000000001</v>
      </c>
      <c r="O89" s="6">
        <v>1.1910000000000001</v>
      </c>
      <c r="P89" s="6">
        <v>0</v>
      </c>
      <c r="Q89" s="4" t="s">
        <v>26</v>
      </c>
      <c r="R89" s="4">
        <v>0</v>
      </c>
      <c r="S89" s="6">
        <v>0</v>
      </c>
      <c r="T89" s="6">
        <v>1</v>
      </c>
      <c r="U89" s="6">
        <v>73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4589.68</v>
      </c>
      <c r="X89" s="6">
        <f>IF(ISERROR(VLOOKUP($U$89,'TAR FIN'!$A$1:$O$85,15,0)),0,VLOOKUP($U$89,'TAR FIN'!$A$1:$O$85,15,0))</f>
        <v>240.29</v>
      </c>
      <c r="Y89" s="6"/>
      <c r="Z89" s="6">
        <f ca="1">('TUSD BE'!$AM$11+'TUSD BF'!$AM$11+'TUSD CVA'!$AM$11)*1</f>
        <v>5047.4555393081146</v>
      </c>
      <c r="AA89" s="6">
        <f>('TE BE'!$AA$5+'TE BF'!$AA$5+'TE CVA'!$AA$5)*1</f>
        <v>330.73086315618451</v>
      </c>
      <c r="AB89" s="6">
        <f>$K$89*$V$89</f>
        <v>0</v>
      </c>
      <c r="AC89" s="6">
        <f>$M$89*$W$89</f>
        <v>5466.3088800000005</v>
      </c>
      <c r="AD89" s="6">
        <f>$O$89*$X$89</f>
        <v>286.18538999999998</v>
      </c>
      <c r="AE89" s="6">
        <f>$K$89*$Y$89</f>
        <v>0</v>
      </c>
      <c r="AF89" s="6">
        <f ca="1">$M$89*$Z$89</f>
        <v>6011.5195473159647</v>
      </c>
      <c r="AG89" s="6">
        <f>$O$89*$AA$89</f>
        <v>393.90045801901579</v>
      </c>
    </row>
    <row r="90" spans="1:33" ht="11.25" customHeight="1" x14ac:dyDescent="0.3">
      <c r="A90" s="4" t="s">
        <v>21</v>
      </c>
      <c r="B90" s="4" t="s">
        <v>37</v>
      </c>
      <c r="C90" s="4" t="s">
        <v>38</v>
      </c>
      <c r="D90" s="4" t="s">
        <v>36</v>
      </c>
      <c r="E90" s="4" t="s">
        <v>25</v>
      </c>
      <c r="F90" s="4" t="s">
        <v>25</v>
      </c>
      <c r="G90" s="4" t="s">
        <v>25</v>
      </c>
      <c r="H90" s="4" t="s">
        <v>39</v>
      </c>
      <c r="I90" s="5">
        <v>44409</v>
      </c>
      <c r="J90" s="6">
        <v>0</v>
      </c>
      <c r="K90" s="6">
        <v>0</v>
      </c>
      <c r="L90" s="6">
        <v>1.133</v>
      </c>
      <c r="M90" s="6">
        <v>1.133</v>
      </c>
      <c r="N90" s="6">
        <v>1.133</v>
      </c>
      <c r="O90" s="6">
        <v>1.133</v>
      </c>
      <c r="P90" s="6">
        <v>0</v>
      </c>
      <c r="Q90" s="4" t="s">
        <v>26</v>
      </c>
      <c r="R90" s="4">
        <v>0</v>
      </c>
      <c r="S90" s="6">
        <v>0</v>
      </c>
      <c r="T90" s="6">
        <v>1</v>
      </c>
      <c r="U90" s="6">
        <v>73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4589.68</v>
      </c>
      <c r="X90" s="6">
        <f>IF(ISERROR(VLOOKUP($U$90,'TAR FIN'!$A$1:$O$85,15,0)),0,VLOOKUP($U$90,'TAR FIN'!$A$1:$O$85,15,0))</f>
        <v>240.29</v>
      </c>
      <c r="Y90" s="6"/>
      <c r="Z90" s="6">
        <f ca="1">('TUSD BE'!$AM$11+'TUSD BF'!$AM$11+'TUSD CVA'!$AM$11)*1</f>
        <v>5047.4555393081146</v>
      </c>
      <c r="AA90" s="6">
        <f>('TE BE'!$AA$5+'TE BF'!$AA$5+'TE CVA'!$AA$5)*1</f>
        <v>330.73086315618451</v>
      </c>
      <c r="AB90" s="6">
        <f>$K$90*$V$90</f>
        <v>0</v>
      </c>
      <c r="AC90" s="6">
        <f>$M$90*$W$90</f>
        <v>5200.1074400000007</v>
      </c>
      <c r="AD90" s="6">
        <f>$O$90*$X$90</f>
        <v>272.24856999999997</v>
      </c>
      <c r="AE90" s="6">
        <f>$K$90*$Y$90</f>
        <v>0</v>
      </c>
      <c r="AF90" s="6">
        <f ca="1">$M$90*$Z$90</f>
        <v>5718.7671260360939</v>
      </c>
      <c r="AG90" s="6">
        <f>$O$90*$AA$90</f>
        <v>374.71806795595705</v>
      </c>
    </row>
    <row r="91" spans="1:33" ht="11.25" customHeight="1" x14ac:dyDescent="0.3">
      <c r="A91" s="4" t="s">
        <v>21</v>
      </c>
      <c r="B91" s="4" t="s">
        <v>37</v>
      </c>
      <c r="C91" s="4" t="s">
        <v>38</v>
      </c>
      <c r="D91" s="4" t="s">
        <v>36</v>
      </c>
      <c r="E91" s="4" t="s">
        <v>25</v>
      </c>
      <c r="F91" s="4" t="s">
        <v>25</v>
      </c>
      <c r="G91" s="4" t="s">
        <v>25</v>
      </c>
      <c r="H91" s="4" t="s">
        <v>39</v>
      </c>
      <c r="I91" s="5">
        <v>44440</v>
      </c>
      <c r="J91" s="6">
        <v>0</v>
      </c>
      <c r="K91" s="6">
        <v>0</v>
      </c>
      <c r="L91" s="6">
        <v>1.0609999999999999</v>
      </c>
      <c r="M91" s="6">
        <v>1.0609999999999999</v>
      </c>
      <c r="N91" s="6">
        <v>1.0609999999999999</v>
      </c>
      <c r="O91" s="6">
        <v>1.0609999999999999</v>
      </c>
      <c r="P91" s="6">
        <v>0</v>
      </c>
      <c r="Q91" s="4" t="s">
        <v>26</v>
      </c>
      <c r="R91" s="4">
        <v>0</v>
      </c>
      <c r="S91" s="6">
        <v>0</v>
      </c>
      <c r="T91" s="6">
        <v>1</v>
      </c>
      <c r="U91" s="6">
        <v>73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4589.68</v>
      </c>
      <c r="X91" s="6">
        <f>IF(ISERROR(VLOOKUP($U$91,'TAR FIN'!$A$1:$O$85,15,0)),0,VLOOKUP($U$91,'TAR FIN'!$A$1:$O$85,15,0))</f>
        <v>240.29</v>
      </c>
      <c r="Y91" s="6"/>
      <c r="Z91" s="6">
        <f ca="1">('TUSD BE'!$AM$11+'TUSD BF'!$AM$11+'TUSD CVA'!$AM$11)*1</f>
        <v>5047.4555393081146</v>
      </c>
      <c r="AA91" s="6">
        <f>('TE BE'!$AA$5+'TE BF'!$AA$5+'TE CVA'!$AA$5)*1</f>
        <v>330.73086315618451</v>
      </c>
      <c r="AB91" s="6">
        <f>$K$91*$V$91</f>
        <v>0</v>
      </c>
      <c r="AC91" s="6">
        <f>$M$91*$W$91</f>
        <v>4869.6504800000002</v>
      </c>
      <c r="AD91" s="6">
        <f>$O$91*$X$91</f>
        <v>254.94768999999997</v>
      </c>
      <c r="AE91" s="6">
        <f>$K$91*$Y$91</f>
        <v>0</v>
      </c>
      <c r="AF91" s="6">
        <f ca="1">$M$91*$Z$91</f>
        <v>5355.3503272059097</v>
      </c>
      <c r="AG91" s="6">
        <f>$O$91*$AA$91</f>
        <v>350.90544580871176</v>
      </c>
    </row>
    <row r="92" spans="1:33" ht="11.25" customHeight="1" x14ac:dyDescent="0.3">
      <c r="A92" s="4" t="s">
        <v>21</v>
      </c>
      <c r="B92" s="4" t="s">
        <v>37</v>
      </c>
      <c r="C92" s="4" t="s">
        <v>38</v>
      </c>
      <c r="D92" s="4" t="s">
        <v>36</v>
      </c>
      <c r="E92" s="4" t="s">
        <v>25</v>
      </c>
      <c r="F92" s="4" t="s">
        <v>25</v>
      </c>
      <c r="G92" s="4" t="s">
        <v>25</v>
      </c>
      <c r="H92" s="4" t="s">
        <v>39</v>
      </c>
      <c r="I92" s="5">
        <v>44470</v>
      </c>
      <c r="J92" s="6">
        <v>0</v>
      </c>
      <c r="K92" s="6">
        <v>0</v>
      </c>
      <c r="L92" s="6">
        <v>0.94399999999999995</v>
      </c>
      <c r="M92" s="6">
        <v>0.94399999999999995</v>
      </c>
      <c r="N92" s="6">
        <v>0.94399999999999995</v>
      </c>
      <c r="O92" s="6">
        <v>0.94399999999999995</v>
      </c>
      <c r="P92" s="6">
        <v>0</v>
      </c>
      <c r="Q92" s="4" t="s">
        <v>26</v>
      </c>
      <c r="R92" s="4">
        <v>0</v>
      </c>
      <c r="S92" s="6">
        <v>0</v>
      </c>
      <c r="T92" s="6">
        <v>1</v>
      </c>
      <c r="U92" s="6">
        <v>73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4589.68</v>
      </c>
      <c r="X92" s="6">
        <f>IF(ISERROR(VLOOKUP($U$92,'TAR FIN'!$A$1:$O$85,15,0)),0,VLOOKUP($U$92,'TAR FIN'!$A$1:$O$85,15,0))</f>
        <v>240.29</v>
      </c>
      <c r="Y92" s="6"/>
      <c r="Z92" s="6">
        <f ca="1">('TUSD BE'!$AM$11+'TUSD BF'!$AM$11+'TUSD CVA'!$AM$11)*1</f>
        <v>5047.4555393081146</v>
      </c>
      <c r="AA92" s="6">
        <f>('TE BE'!$AA$5+'TE BF'!$AA$5+'TE CVA'!$AA$5)*1</f>
        <v>330.73086315618451</v>
      </c>
      <c r="AB92" s="6">
        <f>$K$92*$V$92</f>
        <v>0</v>
      </c>
      <c r="AC92" s="6">
        <f>$M$92*$W$92</f>
        <v>4332.6579199999996</v>
      </c>
      <c r="AD92" s="6">
        <f>$O$92*$X$92</f>
        <v>226.83375999999998</v>
      </c>
      <c r="AE92" s="6">
        <f>$K$92*$Y$92</f>
        <v>0</v>
      </c>
      <c r="AF92" s="6">
        <f ca="1">$M$92*$Z$92</f>
        <v>4764.7980291068598</v>
      </c>
      <c r="AG92" s="6">
        <f>$O$92*$AA$92</f>
        <v>312.20993481943816</v>
      </c>
    </row>
    <row r="93" spans="1:33" ht="11.25" customHeight="1" x14ac:dyDescent="0.3">
      <c r="A93" s="4" t="s">
        <v>21</v>
      </c>
      <c r="B93" s="4" t="s">
        <v>37</v>
      </c>
      <c r="C93" s="4" t="s">
        <v>38</v>
      </c>
      <c r="D93" s="4" t="s">
        <v>36</v>
      </c>
      <c r="E93" s="4" t="s">
        <v>25</v>
      </c>
      <c r="F93" s="4" t="s">
        <v>25</v>
      </c>
      <c r="G93" s="4" t="s">
        <v>25</v>
      </c>
      <c r="H93" s="4" t="s">
        <v>39</v>
      </c>
      <c r="I93" s="5">
        <v>44501</v>
      </c>
      <c r="J93" s="6">
        <v>0</v>
      </c>
      <c r="K93" s="6">
        <v>0</v>
      </c>
      <c r="L93" s="6">
        <v>1.024</v>
      </c>
      <c r="M93" s="6">
        <v>1.024</v>
      </c>
      <c r="N93" s="6">
        <v>1.024</v>
      </c>
      <c r="O93" s="6">
        <v>1.024</v>
      </c>
      <c r="P93" s="6">
        <v>0</v>
      </c>
      <c r="Q93" s="4" t="s">
        <v>26</v>
      </c>
      <c r="R93" s="4">
        <v>0</v>
      </c>
      <c r="S93" s="6">
        <v>0</v>
      </c>
      <c r="T93" s="6">
        <v>1</v>
      </c>
      <c r="U93" s="6">
        <v>73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4589.68</v>
      </c>
      <c r="X93" s="6">
        <f>IF(ISERROR(VLOOKUP($U$93,'TAR FIN'!$A$1:$O$85,15,0)),0,VLOOKUP($U$93,'TAR FIN'!$A$1:$O$85,15,0))</f>
        <v>240.29</v>
      </c>
      <c r="Y93" s="6"/>
      <c r="Z93" s="6">
        <f ca="1">('TUSD BE'!$AM$11+'TUSD BF'!$AM$11+'TUSD CVA'!$AM$11)*1</f>
        <v>5047.4555393081146</v>
      </c>
      <c r="AA93" s="6">
        <f>('TE BE'!$AA$5+'TE BF'!$AA$5+'TE CVA'!$AA$5)*1</f>
        <v>330.73086315618451</v>
      </c>
      <c r="AB93" s="6">
        <f>$K$93*$V$93</f>
        <v>0</v>
      </c>
      <c r="AC93" s="6">
        <f>$M$93*$W$93</f>
        <v>4699.8323200000004</v>
      </c>
      <c r="AD93" s="6">
        <f>$O$93*$X$93</f>
        <v>246.05696</v>
      </c>
      <c r="AE93" s="6">
        <f>$K$93*$Y$93</f>
        <v>0</v>
      </c>
      <c r="AF93" s="6">
        <f ca="1">$M$93*$Z$93</f>
        <v>5168.5944722515096</v>
      </c>
      <c r="AG93" s="6">
        <f>$O$93*$AA$93</f>
        <v>338.66840387193292</v>
      </c>
    </row>
    <row r="94" spans="1:33" ht="11.25" customHeight="1" x14ac:dyDescent="0.3">
      <c r="A94" s="4" t="s">
        <v>21</v>
      </c>
      <c r="B94" s="4" t="s">
        <v>37</v>
      </c>
      <c r="C94" s="4" t="s">
        <v>38</v>
      </c>
      <c r="D94" s="4" t="s">
        <v>36</v>
      </c>
      <c r="E94" s="4" t="s">
        <v>25</v>
      </c>
      <c r="F94" s="4" t="s">
        <v>25</v>
      </c>
      <c r="G94" s="4" t="s">
        <v>25</v>
      </c>
      <c r="H94" s="4" t="s">
        <v>39</v>
      </c>
      <c r="I94" s="5">
        <v>44531</v>
      </c>
      <c r="J94" s="6">
        <v>0</v>
      </c>
      <c r="K94" s="6">
        <v>0</v>
      </c>
      <c r="L94" s="6">
        <v>1.27</v>
      </c>
      <c r="M94" s="6">
        <v>1.27</v>
      </c>
      <c r="N94" s="6">
        <v>1.27</v>
      </c>
      <c r="O94" s="6">
        <v>1.27</v>
      </c>
      <c r="P94" s="6">
        <v>0</v>
      </c>
      <c r="Q94" s="4" t="s">
        <v>26</v>
      </c>
      <c r="R94" s="4">
        <v>0</v>
      </c>
      <c r="S94" s="6">
        <v>0</v>
      </c>
      <c r="T94" s="6">
        <v>1</v>
      </c>
      <c r="U94" s="6">
        <v>73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4589.68</v>
      </c>
      <c r="X94" s="6">
        <f>IF(ISERROR(VLOOKUP($U$94,'TAR FIN'!$A$1:$O$85,15,0)),0,VLOOKUP($U$94,'TAR FIN'!$A$1:$O$85,15,0))</f>
        <v>240.29</v>
      </c>
      <c r="Y94" s="6"/>
      <c r="Z94" s="6">
        <f ca="1">('TUSD BE'!$AM$11+'TUSD BF'!$AM$11+'TUSD CVA'!$AM$11)*1</f>
        <v>5047.4555393081146</v>
      </c>
      <c r="AA94" s="6">
        <f>('TE BE'!$AA$5+'TE BF'!$AA$5+'TE CVA'!$AA$5)*1</f>
        <v>330.73086315618451</v>
      </c>
      <c r="AB94" s="6">
        <f>$K$94*$V$94</f>
        <v>0</v>
      </c>
      <c r="AC94" s="6">
        <f>$M$94*$W$94</f>
        <v>5828.8936000000003</v>
      </c>
      <c r="AD94" s="6">
        <f>$O$94*$X$94</f>
        <v>305.16829999999999</v>
      </c>
      <c r="AE94" s="6">
        <f>$K$94*$Y$94</f>
        <v>0</v>
      </c>
      <c r="AF94" s="6">
        <f ca="1">$M$94*$Z$94</f>
        <v>6410.2685349213052</v>
      </c>
      <c r="AG94" s="6">
        <f>$O$94*$AA$94</f>
        <v>420.02819620835436</v>
      </c>
    </row>
    <row r="95" spans="1:33" ht="11.25" customHeight="1" x14ac:dyDescent="0.3">
      <c r="A95" s="4" t="s">
        <v>21</v>
      </c>
      <c r="B95" s="4" t="s">
        <v>37</v>
      </c>
      <c r="C95" s="4" t="s">
        <v>38</v>
      </c>
      <c r="D95" s="4" t="s">
        <v>36</v>
      </c>
      <c r="E95" s="4" t="s">
        <v>25</v>
      </c>
      <c r="F95" s="4" t="s">
        <v>25</v>
      </c>
      <c r="G95" s="4" t="s">
        <v>25</v>
      </c>
      <c r="H95" s="4" t="s">
        <v>39</v>
      </c>
      <c r="I95" s="5">
        <v>44562</v>
      </c>
      <c r="J95" s="6">
        <v>0</v>
      </c>
      <c r="K95" s="6">
        <v>0</v>
      </c>
      <c r="L95" s="6">
        <v>1.177</v>
      </c>
      <c r="M95" s="6">
        <v>1.177</v>
      </c>
      <c r="N95" s="6">
        <v>1.177</v>
      </c>
      <c r="O95" s="6">
        <v>1.177</v>
      </c>
      <c r="P95" s="6">
        <v>0</v>
      </c>
      <c r="Q95" s="4" t="s">
        <v>26</v>
      </c>
      <c r="R95" s="4">
        <v>0</v>
      </c>
      <c r="S95" s="6">
        <v>0</v>
      </c>
      <c r="T95" s="6">
        <v>1</v>
      </c>
      <c r="U95" s="6">
        <v>73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4589.68</v>
      </c>
      <c r="X95" s="6">
        <f>IF(ISERROR(VLOOKUP($U$95,'TAR FIN'!$A$1:$O$85,15,0)),0,VLOOKUP($U$95,'TAR FIN'!$A$1:$O$85,15,0))</f>
        <v>240.29</v>
      </c>
      <c r="Y95" s="6"/>
      <c r="Z95" s="6">
        <f ca="1">('TUSD BE'!$AM$11+'TUSD BF'!$AM$11+'TUSD CVA'!$AM$11)*1</f>
        <v>5047.4555393081146</v>
      </c>
      <c r="AA95" s="6">
        <f>('TE BE'!$AA$5+'TE BF'!$AA$5+'TE CVA'!$AA$5)*1</f>
        <v>330.73086315618451</v>
      </c>
      <c r="AB95" s="6">
        <f>$K$95*$V$95</f>
        <v>0</v>
      </c>
      <c r="AC95" s="6">
        <f>$M$95*$W$95</f>
        <v>5402.0533600000008</v>
      </c>
      <c r="AD95" s="6">
        <f>$O$95*$X$95</f>
        <v>282.82132999999999</v>
      </c>
      <c r="AE95" s="6">
        <f>$K$95*$Y$95</f>
        <v>0</v>
      </c>
      <c r="AF95" s="6">
        <f ca="1">$M$95*$Z$95</f>
        <v>5940.8551697656512</v>
      </c>
      <c r="AG95" s="6">
        <f>$O$95*$AA$95</f>
        <v>389.27022593482917</v>
      </c>
    </row>
    <row r="96" spans="1:33" ht="11.25" customHeight="1" x14ac:dyDescent="0.3">
      <c r="A96" s="4" t="s">
        <v>21</v>
      </c>
      <c r="B96" s="4" t="s">
        <v>37</v>
      </c>
      <c r="C96" s="4" t="s">
        <v>38</v>
      </c>
      <c r="D96" s="4" t="s">
        <v>36</v>
      </c>
      <c r="E96" s="4" t="s">
        <v>25</v>
      </c>
      <c r="F96" s="4" t="s">
        <v>25</v>
      </c>
      <c r="G96" s="4" t="s">
        <v>25</v>
      </c>
      <c r="H96" s="4" t="s">
        <v>39</v>
      </c>
      <c r="I96" s="5">
        <v>44593</v>
      </c>
      <c r="J96" s="6">
        <v>0</v>
      </c>
      <c r="K96" s="6">
        <v>0</v>
      </c>
      <c r="L96" s="6">
        <v>1.1479999999999999</v>
      </c>
      <c r="M96" s="6">
        <v>1.1479999999999999</v>
      </c>
      <c r="N96" s="6">
        <v>1.1479999999999999</v>
      </c>
      <c r="O96" s="6">
        <v>1.1479999999999999</v>
      </c>
      <c r="P96" s="6">
        <v>0</v>
      </c>
      <c r="Q96" s="4" t="s">
        <v>26</v>
      </c>
      <c r="R96" s="4">
        <v>0</v>
      </c>
      <c r="S96" s="6">
        <v>0</v>
      </c>
      <c r="T96" s="6">
        <v>1</v>
      </c>
      <c r="U96" s="6">
        <v>73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4589.68</v>
      </c>
      <c r="X96" s="6">
        <f>IF(ISERROR(VLOOKUP($U$96,'TAR FIN'!$A$1:$O$85,15,0)),0,VLOOKUP($U$96,'TAR FIN'!$A$1:$O$85,15,0))</f>
        <v>240.29</v>
      </c>
      <c r="Y96" s="6"/>
      <c r="Z96" s="6">
        <f ca="1">('TUSD BE'!$AM$11+'TUSD BF'!$AM$11+'TUSD CVA'!$AM$11)*1</f>
        <v>5047.4555393081146</v>
      </c>
      <c r="AA96" s="6">
        <f>('TE BE'!$AA$5+'TE BF'!$AA$5+'TE CVA'!$AA$5)*1</f>
        <v>330.73086315618451</v>
      </c>
      <c r="AB96" s="6">
        <f>$K$96*$V$96</f>
        <v>0</v>
      </c>
      <c r="AC96" s="6">
        <f>$M$96*$W$96</f>
        <v>5268.9526399999995</v>
      </c>
      <c r="AD96" s="6">
        <f>$O$96*$X$96</f>
        <v>275.85291999999998</v>
      </c>
      <c r="AE96" s="6">
        <f>$K$96*$Y$96</f>
        <v>0</v>
      </c>
      <c r="AF96" s="6">
        <f ca="1">$M$96*$Z$96</f>
        <v>5794.4789591257149</v>
      </c>
      <c r="AG96" s="6">
        <f>$O$96*$AA$96</f>
        <v>379.6790309032998</v>
      </c>
    </row>
    <row r="97" spans="1:33" ht="11.25" customHeight="1" x14ac:dyDescent="0.3">
      <c r="A97" s="4" t="s">
        <v>21</v>
      </c>
      <c r="B97" s="4" t="s">
        <v>37</v>
      </c>
      <c r="C97" s="4" t="s">
        <v>38</v>
      </c>
      <c r="D97" s="4" t="s">
        <v>36</v>
      </c>
      <c r="E97" s="4" t="s">
        <v>25</v>
      </c>
      <c r="F97" s="4" t="s">
        <v>25</v>
      </c>
      <c r="G97" s="4" t="s">
        <v>25</v>
      </c>
      <c r="H97" s="4" t="s">
        <v>39</v>
      </c>
      <c r="I97" s="5">
        <v>44621</v>
      </c>
      <c r="J97" s="6">
        <v>0</v>
      </c>
      <c r="K97" s="6">
        <v>0</v>
      </c>
      <c r="L97" s="6">
        <v>1.6879999999999999</v>
      </c>
      <c r="M97" s="6">
        <v>1.6879999999999999</v>
      </c>
      <c r="N97" s="6">
        <v>1.6879999999999999</v>
      </c>
      <c r="O97" s="6">
        <v>1.6879999999999999</v>
      </c>
      <c r="P97" s="6">
        <v>0</v>
      </c>
      <c r="Q97" s="4" t="s">
        <v>26</v>
      </c>
      <c r="R97" s="4">
        <v>0</v>
      </c>
      <c r="S97" s="6">
        <v>0</v>
      </c>
      <c r="T97" s="6">
        <v>1</v>
      </c>
      <c r="U97" s="6">
        <v>73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4589.68</v>
      </c>
      <c r="X97" s="6">
        <f>IF(ISERROR(VLOOKUP($U$97,'TAR FIN'!$A$1:$O$85,15,0)),0,VLOOKUP($U$97,'TAR FIN'!$A$1:$O$85,15,0))</f>
        <v>240.29</v>
      </c>
      <c r="Y97" s="6"/>
      <c r="Z97" s="6">
        <f ca="1">('TUSD BE'!$AM$11+'TUSD BF'!$AM$11+'TUSD CVA'!$AM$11)*1</f>
        <v>5047.4555393081146</v>
      </c>
      <c r="AA97" s="6">
        <f>('TE BE'!$AA$5+'TE BF'!$AA$5+'TE CVA'!$AA$5)*1</f>
        <v>330.73086315618451</v>
      </c>
      <c r="AB97" s="6">
        <f>$K$97*$V$97</f>
        <v>0</v>
      </c>
      <c r="AC97" s="6">
        <f>$M$97*$W$97</f>
        <v>7747.3798400000005</v>
      </c>
      <c r="AD97" s="6">
        <f>$O$97*$X$97</f>
        <v>405.60951999999997</v>
      </c>
      <c r="AE97" s="6">
        <f>$K$97*$Y$97</f>
        <v>0</v>
      </c>
      <c r="AF97" s="6">
        <f ca="1">$M$97*$Z$97</f>
        <v>8520.1049503520971</v>
      </c>
      <c r="AG97" s="6">
        <f>$O$97*$AA$97</f>
        <v>558.27369700763938</v>
      </c>
    </row>
    <row r="98" spans="1:33" ht="11.25" customHeight="1" x14ac:dyDescent="0.3">
      <c r="A98" s="4" t="s">
        <v>21</v>
      </c>
      <c r="B98" s="4" t="s">
        <v>37</v>
      </c>
      <c r="C98" s="4" t="s">
        <v>38</v>
      </c>
      <c r="D98" s="4" t="s">
        <v>44</v>
      </c>
      <c r="E98" s="4" t="s">
        <v>52</v>
      </c>
      <c r="F98" s="4" t="s">
        <v>54</v>
      </c>
      <c r="G98" s="4" t="s">
        <v>25</v>
      </c>
      <c r="H98" s="4" t="s">
        <v>34</v>
      </c>
      <c r="I98" s="5">
        <v>44287</v>
      </c>
      <c r="J98" s="6">
        <v>0</v>
      </c>
      <c r="K98" s="6">
        <v>0</v>
      </c>
      <c r="L98" s="6">
        <v>5.9349999999999996</v>
      </c>
      <c r="M98" s="6">
        <v>1.7805</v>
      </c>
      <c r="N98" s="6">
        <v>5.9349999999999996</v>
      </c>
      <c r="O98" s="6">
        <v>1.7805</v>
      </c>
      <c r="P98" s="6">
        <v>0</v>
      </c>
      <c r="Q98" s="4" t="s">
        <v>26</v>
      </c>
      <c r="R98" s="4">
        <v>0</v>
      </c>
      <c r="S98" s="6">
        <v>0</v>
      </c>
      <c r="T98" s="6">
        <v>2</v>
      </c>
      <c r="U98" s="6">
        <v>74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93.48</v>
      </c>
      <c r="X98" s="6">
        <f>IF(ISERROR(VLOOKUP($U$98,'TAR FIN'!$A$1:$O$85,15,0)),0,VLOOKUP($U$98,'TAR FIN'!$A$1:$O$85,15,0))</f>
        <v>240.29</v>
      </c>
      <c r="Y98" s="6"/>
      <c r="Z98" s="6">
        <f ca="1">('TUSD BE'!$AM$12+'TUSD BF'!$AM$12+'TUSD CVA'!$AM$12)*1</f>
        <v>133.17611987332398</v>
      </c>
      <c r="AA98" s="6">
        <f>('TE BE'!$AA$6+'TE BF'!$AA$6+'TE CVA'!$AA$6)*1</f>
        <v>330.73086315618451</v>
      </c>
      <c r="AB98" s="6">
        <f>$K$98*$V$98</f>
        <v>0</v>
      </c>
      <c r="AC98" s="6">
        <f>$M$98*$W$98</f>
        <v>166.44114000000002</v>
      </c>
      <c r="AD98" s="6">
        <f>$O$98*$X$98</f>
        <v>427.83634499999999</v>
      </c>
      <c r="AE98" s="6">
        <f>$K$98*$Y$98</f>
        <v>0</v>
      </c>
      <c r="AF98" s="6">
        <f ca="1">$M$98*$Z$98</f>
        <v>237.12008143445334</v>
      </c>
      <c r="AG98" s="6">
        <f>$O$98*$AA$98</f>
        <v>588.86630184958653</v>
      </c>
    </row>
    <row r="99" spans="1:33" ht="11.25" customHeight="1" x14ac:dyDescent="0.3">
      <c r="A99" s="4" t="s">
        <v>21</v>
      </c>
      <c r="B99" s="4" t="s">
        <v>37</v>
      </c>
      <c r="C99" s="4" t="s">
        <v>38</v>
      </c>
      <c r="D99" s="4" t="s">
        <v>44</v>
      </c>
      <c r="E99" s="4" t="s">
        <v>52</v>
      </c>
      <c r="F99" s="4" t="s">
        <v>54</v>
      </c>
      <c r="G99" s="4" t="s">
        <v>25</v>
      </c>
      <c r="H99" s="4" t="s">
        <v>34</v>
      </c>
      <c r="I99" s="5">
        <v>44317</v>
      </c>
      <c r="J99" s="6">
        <v>0</v>
      </c>
      <c r="K99" s="6">
        <v>0</v>
      </c>
      <c r="L99" s="6">
        <v>2.78</v>
      </c>
      <c r="M99" s="6">
        <v>0.83399999999999996</v>
      </c>
      <c r="N99" s="6">
        <v>2.78</v>
      </c>
      <c r="O99" s="6">
        <v>0.83399999999999996</v>
      </c>
      <c r="P99" s="6">
        <v>0</v>
      </c>
      <c r="Q99" s="4" t="s">
        <v>26</v>
      </c>
      <c r="R99" s="4">
        <v>0</v>
      </c>
      <c r="S99" s="6">
        <v>0</v>
      </c>
      <c r="T99" s="6">
        <v>2</v>
      </c>
      <c r="U99" s="6">
        <v>74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93.48</v>
      </c>
      <c r="X99" s="6">
        <f>IF(ISERROR(VLOOKUP($U$99,'TAR FIN'!$A$1:$O$85,15,0)),0,VLOOKUP($U$99,'TAR FIN'!$A$1:$O$85,15,0))</f>
        <v>240.29</v>
      </c>
      <c r="Y99" s="6"/>
      <c r="Z99" s="6">
        <f ca="1">('TUSD BE'!$AM$12+'TUSD BF'!$AM$12+'TUSD CVA'!$AM$12)*1</f>
        <v>133.17611987332398</v>
      </c>
      <c r="AA99" s="6">
        <f>('TE BE'!$AA$6+'TE BF'!$AA$6+'TE CVA'!$AA$6)*1</f>
        <v>330.73086315618451</v>
      </c>
      <c r="AB99" s="6">
        <f>$K$99*$V$99</f>
        <v>0</v>
      </c>
      <c r="AC99" s="6">
        <f>$M$99*$W$99</f>
        <v>77.962320000000005</v>
      </c>
      <c r="AD99" s="6">
        <f>$O$99*$X$99</f>
        <v>200.40185999999997</v>
      </c>
      <c r="AE99" s="6">
        <f>$K$99*$Y$99</f>
        <v>0</v>
      </c>
      <c r="AF99" s="6">
        <f ca="1">$M$99*$Z$99</f>
        <v>111.0688839743522</v>
      </c>
      <c r="AG99" s="6">
        <f>$O$99*$AA$99</f>
        <v>275.8295398722579</v>
      </c>
    </row>
    <row r="100" spans="1:33" ht="11.25" customHeight="1" x14ac:dyDescent="0.3">
      <c r="A100" s="4" t="s">
        <v>21</v>
      </c>
      <c r="B100" s="4" t="s">
        <v>37</v>
      </c>
      <c r="C100" s="4" t="s">
        <v>38</v>
      </c>
      <c r="D100" s="4" t="s">
        <v>44</v>
      </c>
      <c r="E100" s="4" t="s">
        <v>52</v>
      </c>
      <c r="F100" s="4" t="s">
        <v>54</v>
      </c>
      <c r="G100" s="4" t="s">
        <v>25</v>
      </c>
      <c r="H100" s="4" t="s">
        <v>34</v>
      </c>
      <c r="I100" s="5">
        <v>44348</v>
      </c>
      <c r="J100" s="6">
        <v>0</v>
      </c>
      <c r="K100" s="6">
        <v>0</v>
      </c>
      <c r="L100" s="6">
        <v>5.0410000000000004</v>
      </c>
      <c r="M100" s="6">
        <v>1.5123</v>
      </c>
      <c r="N100" s="6">
        <v>5.0410000000000004</v>
      </c>
      <c r="O100" s="6">
        <v>1.5123</v>
      </c>
      <c r="P100" s="6">
        <v>0</v>
      </c>
      <c r="Q100" s="4" t="s">
        <v>26</v>
      </c>
      <c r="R100" s="4">
        <v>0</v>
      </c>
      <c r="S100" s="6">
        <v>0</v>
      </c>
      <c r="T100" s="6">
        <v>2</v>
      </c>
      <c r="U100" s="6">
        <v>74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93.48</v>
      </c>
      <c r="X100" s="6">
        <f>IF(ISERROR(VLOOKUP($U$100,'TAR FIN'!$A$1:$O$85,15,0)),0,VLOOKUP($U$100,'TAR FIN'!$A$1:$O$85,15,0))</f>
        <v>240.29</v>
      </c>
      <c r="Y100" s="6"/>
      <c r="Z100" s="6">
        <f ca="1">('TUSD BE'!$AM$12+'TUSD BF'!$AM$12+'TUSD CVA'!$AM$12)*1</f>
        <v>133.17611987332398</v>
      </c>
      <c r="AA100" s="6">
        <f>('TE BE'!$AA$6+'TE BF'!$AA$6+'TE CVA'!$AA$6)*1</f>
        <v>330.73086315618451</v>
      </c>
      <c r="AB100" s="6">
        <f>$K$100*$V$100</f>
        <v>0</v>
      </c>
      <c r="AC100" s="6">
        <f>$M$100*$W$100</f>
        <v>141.36980400000002</v>
      </c>
      <c r="AD100" s="6">
        <f>$O$100*$X$100</f>
        <v>363.39056699999998</v>
      </c>
      <c r="AE100" s="6">
        <f>$K$100*$Y$100</f>
        <v>0</v>
      </c>
      <c r="AF100" s="6">
        <f ca="1">$M$100*$Z$100</f>
        <v>201.40224608442784</v>
      </c>
      <c r="AG100" s="6">
        <f>$O$100*$AA$100</f>
        <v>500.16428435109782</v>
      </c>
    </row>
    <row r="101" spans="1:33" ht="11.25" customHeight="1" x14ac:dyDescent="0.3">
      <c r="A101" s="4" t="s">
        <v>21</v>
      </c>
      <c r="B101" s="4" t="s">
        <v>37</v>
      </c>
      <c r="C101" s="4" t="s">
        <v>38</v>
      </c>
      <c r="D101" s="4" t="s">
        <v>44</v>
      </c>
      <c r="E101" s="4" t="s">
        <v>52</v>
      </c>
      <c r="F101" s="4" t="s">
        <v>54</v>
      </c>
      <c r="G101" s="4" t="s">
        <v>25</v>
      </c>
      <c r="H101" s="4" t="s">
        <v>34</v>
      </c>
      <c r="I101" s="5">
        <v>44378</v>
      </c>
      <c r="J101" s="6">
        <v>0</v>
      </c>
      <c r="K101" s="6">
        <v>0</v>
      </c>
      <c r="L101" s="6">
        <v>13.784000000000001</v>
      </c>
      <c r="M101" s="6">
        <v>4.1352000000000002</v>
      </c>
      <c r="N101" s="6">
        <v>13.784000000000001</v>
      </c>
      <c r="O101" s="6">
        <v>4.1352000000000002</v>
      </c>
      <c r="P101" s="6">
        <v>0</v>
      </c>
      <c r="Q101" s="4" t="s">
        <v>26</v>
      </c>
      <c r="R101" s="4">
        <v>0</v>
      </c>
      <c r="S101" s="6">
        <v>0</v>
      </c>
      <c r="T101" s="6">
        <v>2</v>
      </c>
      <c r="U101" s="6">
        <v>74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93.48</v>
      </c>
      <c r="X101" s="6">
        <f>IF(ISERROR(VLOOKUP($U$101,'TAR FIN'!$A$1:$O$85,15,0)),0,VLOOKUP($U$101,'TAR FIN'!$A$1:$O$85,15,0))</f>
        <v>240.29</v>
      </c>
      <c r="Y101" s="6"/>
      <c r="Z101" s="6">
        <f ca="1">('TUSD BE'!$AM$12+'TUSD BF'!$AM$12+'TUSD CVA'!$AM$12)*1</f>
        <v>133.17611987332398</v>
      </c>
      <c r="AA101" s="6">
        <f>('TE BE'!$AA$6+'TE BF'!$AA$6+'TE CVA'!$AA$6)*1</f>
        <v>330.73086315618451</v>
      </c>
      <c r="AB101" s="6">
        <f>$K$101*$V$101</f>
        <v>0</v>
      </c>
      <c r="AC101" s="6">
        <f>$M$101*$W$101</f>
        <v>386.55849600000005</v>
      </c>
      <c r="AD101" s="6">
        <f>$O$101*$X$101</f>
        <v>993.64720799999998</v>
      </c>
      <c r="AE101" s="6">
        <f>$K$101*$Y$101</f>
        <v>0</v>
      </c>
      <c r="AF101" s="6">
        <f ca="1">$M$101*$Z$101</f>
        <v>550.7098909001694</v>
      </c>
      <c r="AG101" s="6">
        <f>$O$101*$AA$101</f>
        <v>1367.6382653234543</v>
      </c>
    </row>
    <row r="102" spans="1:33" ht="11.25" customHeight="1" x14ac:dyDescent="0.3">
      <c r="A102" s="4" t="s">
        <v>21</v>
      </c>
      <c r="B102" s="4" t="s">
        <v>37</v>
      </c>
      <c r="C102" s="4" t="s">
        <v>38</v>
      </c>
      <c r="D102" s="4" t="s">
        <v>44</v>
      </c>
      <c r="E102" s="4" t="s">
        <v>52</v>
      </c>
      <c r="F102" s="4" t="s">
        <v>54</v>
      </c>
      <c r="G102" s="4" t="s">
        <v>25</v>
      </c>
      <c r="H102" s="4" t="s">
        <v>34</v>
      </c>
      <c r="I102" s="5">
        <v>44409</v>
      </c>
      <c r="J102" s="6">
        <v>0</v>
      </c>
      <c r="K102" s="6">
        <v>0</v>
      </c>
      <c r="L102" s="6">
        <v>14.56</v>
      </c>
      <c r="M102" s="6">
        <v>4.3680000000000003</v>
      </c>
      <c r="N102" s="6">
        <v>14.56</v>
      </c>
      <c r="O102" s="6">
        <v>4.3680000000000003</v>
      </c>
      <c r="P102" s="6">
        <v>0</v>
      </c>
      <c r="Q102" s="4" t="s">
        <v>26</v>
      </c>
      <c r="R102" s="4">
        <v>0</v>
      </c>
      <c r="S102" s="6">
        <v>0</v>
      </c>
      <c r="T102" s="6">
        <v>2</v>
      </c>
      <c r="U102" s="6">
        <v>74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93.48</v>
      </c>
      <c r="X102" s="6">
        <f>IF(ISERROR(VLOOKUP($U$102,'TAR FIN'!$A$1:$O$85,15,0)),0,VLOOKUP($U$102,'TAR FIN'!$A$1:$O$85,15,0))</f>
        <v>240.29</v>
      </c>
      <c r="Y102" s="6"/>
      <c r="Z102" s="6">
        <f ca="1">('TUSD BE'!$AM$12+'TUSD BF'!$AM$12+'TUSD CVA'!$AM$12)*1</f>
        <v>133.17611987332398</v>
      </c>
      <c r="AA102" s="6">
        <f>('TE BE'!$AA$6+'TE BF'!$AA$6+'TE CVA'!$AA$6)*1</f>
        <v>330.73086315618451</v>
      </c>
      <c r="AB102" s="6">
        <f>$K$102*$V$102</f>
        <v>0</v>
      </c>
      <c r="AC102" s="6">
        <f>$M$102*$W$102</f>
        <v>408.32064000000003</v>
      </c>
      <c r="AD102" s="6">
        <f>$O$102*$X$102</f>
        <v>1049.58672</v>
      </c>
      <c r="AE102" s="6">
        <f>$K$102*$Y$102</f>
        <v>0</v>
      </c>
      <c r="AF102" s="6">
        <f ca="1">$M$102*$Z$102</f>
        <v>581.71329160667915</v>
      </c>
      <c r="AG102" s="6">
        <f>$O$102*$AA$102</f>
        <v>1444.632410266214</v>
      </c>
    </row>
    <row r="103" spans="1:33" ht="11.25" customHeight="1" x14ac:dyDescent="0.3">
      <c r="A103" s="4" t="s">
        <v>21</v>
      </c>
      <c r="B103" s="4" t="s">
        <v>37</v>
      </c>
      <c r="C103" s="4" t="s">
        <v>38</v>
      </c>
      <c r="D103" s="4" t="s">
        <v>44</v>
      </c>
      <c r="E103" s="4" t="s">
        <v>52</v>
      </c>
      <c r="F103" s="4" t="s">
        <v>54</v>
      </c>
      <c r="G103" s="4" t="s">
        <v>25</v>
      </c>
      <c r="H103" s="4" t="s">
        <v>34</v>
      </c>
      <c r="I103" s="5">
        <v>44440</v>
      </c>
      <c r="J103" s="6">
        <v>0</v>
      </c>
      <c r="K103" s="6">
        <v>0</v>
      </c>
      <c r="L103" s="6">
        <v>13.875</v>
      </c>
      <c r="M103" s="6">
        <v>4.1624999999999996</v>
      </c>
      <c r="N103" s="6">
        <v>13.875</v>
      </c>
      <c r="O103" s="6">
        <v>4.1624999999999996</v>
      </c>
      <c r="P103" s="6">
        <v>0</v>
      </c>
      <c r="Q103" s="4" t="s">
        <v>26</v>
      </c>
      <c r="R103" s="4">
        <v>0</v>
      </c>
      <c r="S103" s="6">
        <v>0</v>
      </c>
      <c r="T103" s="6">
        <v>2</v>
      </c>
      <c r="U103" s="6">
        <v>74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93.48</v>
      </c>
      <c r="X103" s="6">
        <f>IF(ISERROR(VLOOKUP($U$103,'TAR FIN'!$A$1:$O$85,15,0)),0,VLOOKUP($U$103,'TAR FIN'!$A$1:$O$85,15,0))</f>
        <v>240.29</v>
      </c>
      <c r="Y103" s="6"/>
      <c r="Z103" s="6">
        <f ca="1">('TUSD BE'!$AM$12+'TUSD BF'!$AM$12+'TUSD CVA'!$AM$12)*1</f>
        <v>133.17611987332398</v>
      </c>
      <c r="AA103" s="6">
        <f>('TE BE'!$AA$6+'TE BF'!$AA$6+'TE CVA'!$AA$6)*1</f>
        <v>330.73086315618451</v>
      </c>
      <c r="AB103" s="6">
        <f>$K$103*$V$103</f>
        <v>0</v>
      </c>
      <c r="AC103" s="6">
        <f>$M$103*$W$103</f>
        <v>389.1105</v>
      </c>
      <c r="AD103" s="6">
        <f>$O$103*$X$103</f>
        <v>1000.2071249999999</v>
      </c>
      <c r="AE103" s="6">
        <f>$K$103*$Y$103</f>
        <v>0</v>
      </c>
      <c r="AF103" s="6">
        <f ca="1">$M$103*$Z$103</f>
        <v>554.34559897271106</v>
      </c>
      <c r="AG103" s="6">
        <f>$O$103*$AA$103</f>
        <v>1376.6672178876179</v>
      </c>
    </row>
    <row r="104" spans="1:33" ht="11.25" customHeight="1" x14ac:dyDescent="0.3">
      <c r="A104" s="4" t="s">
        <v>21</v>
      </c>
      <c r="B104" s="4" t="s">
        <v>37</v>
      </c>
      <c r="C104" s="4" t="s">
        <v>38</v>
      </c>
      <c r="D104" s="4" t="s">
        <v>44</v>
      </c>
      <c r="E104" s="4" t="s">
        <v>52</v>
      </c>
      <c r="F104" s="4" t="s">
        <v>54</v>
      </c>
      <c r="G104" s="4" t="s">
        <v>25</v>
      </c>
      <c r="H104" s="4" t="s">
        <v>34</v>
      </c>
      <c r="I104" s="5">
        <v>44470</v>
      </c>
      <c r="J104" s="6">
        <v>0</v>
      </c>
      <c r="K104" s="6">
        <v>0</v>
      </c>
      <c r="L104" s="6">
        <v>6.3449999999999998</v>
      </c>
      <c r="M104" s="6">
        <v>1.9035</v>
      </c>
      <c r="N104" s="6">
        <v>6.3449999999999998</v>
      </c>
      <c r="O104" s="6">
        <v>1.9035</v>
      </c>
      <c r="P104" s="6">
        <v>0</v>
      </c>
      <c r="Q104" s="4" t="s">
        <v>26</v>
      </c>
      <c r="R104" s="4">
        <v>0</v>
      </c>
      <c r="S104" s="6">
        <v>0</v>
      </c>
      <c r="T104" s="6">
        <v>2</v>
      </c>
      <c r="U104" s="6">
        <v>74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93.48</v>
      </c>
      <c r="X104" s="6">
        <f>IF(ISERROR(VLOOKUP($U$104,'TAR FIN'!$A$1:$O$85,15,0)),0,VLOOKUP($U$104,'TAR FIN'!$A$1:$O$85,15,0))</f>
        <v>240.29</v>
      </c>
      <c r="Y104" s="6"/>
      <c r="Z104" s="6">
        <f ca="1">('TUSD BE'!$AM$12+'TUSD BF'!$AM$12+'TUSD CVA'!$AM$12)*1</f>
        <v>133.17611987332398</v>
      </c>
      <c r="AA104" s="6">
        <f>('TE BE'!$AA$6+'TE BF'!$AA$6+'TE CVA'!$AA$6)*1</f>
        <v>330.73086315618451</v>
      </c>
      <c r="AB104" s="6">
        <f>$K$104*$V$104</f>
        <v>0</v>
      </c>
      <c r="AC104" s="6">
        <f>$M$104*$W$104</f>
        <v>177.93917999999999</v>
      </c>
      <c r="AD104" s="6">
        <f>$O$104*$X$104</f>
        <v>457.39201499999996</v>
      </c>
      <c r="AE104" s="6">
        <f>$K$104*$Y$104</f>
        <v>0</v>
      </c>
      <c r="AF104" s="6">
        <f ca="1">$M$104*$Z$104</f>
        <v>253.5007441788722</v>
      </c>
      <c r="AG104" s="6">
        <f>$O$104*$AA$104</f>
        <v>629.54619801779722</v>
      </c>
    </row>
    <row r="105" spans="1:33" ht="11.25" customHeight="1" x14ac:dyDescent="0.3">
      <c r="A105" s="4" t="s">
        <v>21</v>
      </c>
      <c r="B105" s="4" t="s">
        <v>37</v>
      </c>
      <c r="C105" s="4" t="s">
        <v>38</v>
      </c>
      <c r="D105" s="4" t="s">
        <v>44</v>
      </c>
      <c r="E105" s="4" t="s">
        <v>52</v>
      </c>
      <c r="F105" s="4" t="s">
        <v>54</v>
      </c>
      <c r="G105" s="4" t="s">
        <v>25</v>
      </c>
      <c r="H105" s="4" t="s">
        <v>34</v>
      </c>
      <c r="I105" s="5">
        <v>44501</v>
      </c>
      <c r="J105" s="6">
        <v>0</v>
      </c>
      <c r="K105" s="6">
        <v>0</v>
      </c>
      <c r="L105" s="6">
        <v>10.101000000000001</v>
      </c>
      <c r="M105" s="6">
        <v>3.0303</v>
      </c>
      <c r="N105" s="6">
        <v>10.101000000000001</v>
      </c>
      <c r="O105" s="6">
        <v>3.0303</v>
      </c>
      <c r="P105" s="6">
        <v>0</v>
      </c>
      <c r="Q105" s="4" t="s">
        <v>26</v>
      </c>
      <c r="R105" s="4">
        <v>0</v>
      </c>
      <c r="S105" s="6">
        <v>0</v>
      </c>
      <c r="T105" s="6">
        <v>2</v>
      </c>
      <c r="U105" s="6">
        <v>74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93.48</v>
      </c>
      <c r="X105" s="6">
        <f>IF(ISERROR(VLOOKUP($U$105,'TAR FIN'!$A$1:$O$85,15,0)),0,VLOOKUP($U$105,'TAR FIN'!$A$1:$O$85,15,0))</f>
        <v>240.29</v>
      </c>
      <c r="Y105" s="6"/>
      <c r="Z105" s="6">
        <f ca="1">('TUSD BE'!$AM$12+'TUSD BF'!$AM$12+'TUSD CVA'!$AM$12)*1</f>
        <v>133.17611987332398</v>
      </c>
      <c r="AA105" s="6">
        <f>('TE BE'!$AA$6+'TE BF'!$AA$6+'TE CVA'!$AA$6)*1</f>
        <v>330.73086315618451</v>
      </c>
      <c r="AB105" s="6">
        <f>$K$105*$V$105</f>
        <v>0</v>
      </c>
      <c r="AC105" s="6">
        <f>$M$105*$W$105</f>
        <v>283.27244400000001</v>
      </c>
      <c r="AD105" s="6">
        <f>$O$105*$X$105</f>
        <v>728.15078699999992</v>
      </c>
      <c r="AE105" s="6">
        <f>$K$105*$Y$105</f>
        <v>0</v>
      </c>
      <c r="AF105" s="6">
        <f ca="1">$M$105*$Z$105</f>
        <v>403.56359605213368</v>
      </c>
      <c r="AG105" s="6">
        <f>$O$105*$AA$105</f>
        <v>1002.2137346221859</v>
      </c>
    </row>
    <row r="106" spans="1:33" ht="11.25" customHeight="1" x14ac:dyDescent="0.3">
      <c r="A106" s="4" t="s">
        <v>21</v>
      </c>
      <c r="B106" s="4" t="s">
        <v>37</v>
      </c>
      <c r="C106" s="4" t="s">
        <v>38</v>
      </c>
      <c r="D106" s="4" t="s">
        <v>44</v>
      </c>
      <c r="E106" s="4" t="s">
        <v>52</v>
      </c>
      <c r="F106" s="4" t="s">
        <v>54</v>
      </c>
      <c r="G106" s="4" t="s">
        <v>25</v>
      </c>
      <c r="H106" s="4" t="s">
        <v>34</v>
      </c>
      <c r="I106" s="5">
        <v>44531</v>
      </c>
      <c r="J106" s="6">
        <v>0</v>
      </c>
      <c r="K106" s="6">
        <v>0</v>
      </c>
      <c r="L106" s="6">
        <v>5.0709999999999997</v>
      </c>
      <c r="M106" s="6">
        <v>1.5213000000000001</v>
      </c>
      <c r="N106" s="6">
        <v>5.0709999999999997</v>
      </c>
      <c r="O106" s="6">
        <v>1.5213000000000001</v>
      </c>
      <c r="P106" s="6">
        <v>0</v>
      </c>
      <c r="Q106" s="4" t="s">
        <v>26</v>
      </c>
      <c r="R106" s="4">
        <v>0</v>
      </c>
      <c r="S106" s="6">
        <v>0</v>
      </c>
      <c r="T106" s="6">
        <v>2</v>
      </c>
      <c r="U106" s="6">
        <v>74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93.48</v>
      </c>
      <c r="X106" s="6">
        <f>IF(ISERROR(VLOOKUP($U$106,'TAR FIN'!$A$1:$O$85,15,0)),0,VLOOKUP($U$106,'TAR FIN'!$A$1:$O$85,15,0))</f>
        <v>240.29</v>
      </c>
      <c r="Y106" s="6"/>
      <c r="Z106" s="6">
        <f ca="1">('TUSD BE'!$AM$12+'TUSD BF'!$AM$12+'TUSD CVA'!$AM$12)*1</f>
        <v>133.17611987332398</v>
      </c>
      <c r="AA106" s="6">
        <f>('TE BE'!$AA$6+'TE BF'!$AA$6+'TE CVA'!$AA$6)*1</f>
        <v>330.73086315618451</v>
      </c>
      <c r="AB106" s="6">
        <f>$K$106*$V$106</f>
        <v>0</v>
      </c>
      <c r="AC106" s="6">
        <f>$M$106*$W$106</f>
        <v>142.21112400000001</v>
      </c>
      <c r="AD106" s="6">
        <f>$O$106*$X$106</f>
        <v>365.55317700000001</v>
      </c>
      <c r="AE106" s="6">
        <f>$K$106*$Y$106</f>
        <v>0</v>
      </c>
      <c r="AF106" s="6">
        <f ca="1">$M$106*$Z$106</f>
        <v>202.60083116328778</v>
      </c>
      <c r="AG106" s="6">
        <f>$O$106*$AA$106</f>
        <v>503.14086211950354</v>
      </c>
    </row>
    <row r="107" spans="1:33" ht="11.25" customHeight="1" x14ac:dyDescent="0.3">
      <c r="A107" s="4" t="s">
        <v>21</v>
      </c>
      <c r="B107" s="4" t="s">
        <v>37</v>
      </c>
      <c r="C107" s="4" t="s">
        <v>38</v>
      </c>
      <c r="D107" s="4" t="s">
        <v>44</v>
      </c>
      <c r="E107" s="4" t="s">
        <v>52</v>
      </c>
      <c r="F107" s="4" t="s">
        <v>54</v>
      </c>
      <c r="G107" s="4" t="s">
        <v>25</v>
      </c>
      <c r="H107" s="4" t="s">
        <v>34</v>
      </c>
      <c r="I107" s="5">
        <v>44562</v>
      </c>
      <c r="J107" s="6">
        <v>0</v>
      </c>
      <c r="K107" s="6">
        <v>0</v>
      </c>
      <c r="L107" s="6">
        <v>11.662000000000001</v>
      </c>
      <c r="M107" s="6">
        <v>3.4986000000000002</v>
      </c>
      <c r="N107" s="6">
        <v>11.662000000000001</v>
      </c>
      <c r="O107" s="6">
        <v>3.4986000000000002</v>
      </c>
      <c r="P107" s="6">
        <v>0</v>
      </c>
      <c r="Q107" s="4" t="s">
        <v>26</v>
      </c>
      <c r="R107" s="4">
        <v>0</v>
      </c>
      <c r="S107" s="6">
        <v>0</v>
      </c>
      <c r="T107" s="6">
        <v>2</v>
      </c>
      <c r="U107" s="6">
        <v>74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93.48</v>
      </c>
      <c r="X107" s="6">
        <f>IF(ISERROR(VLOOKUP($U$107,'TAR FIN'!$A$1:$O$85,15,0)),0,VLOOKUP($U$107,'TAR FIN'!$A$1:$O$85,15,0))</f>
        <v>240.29</v>
      </c>
      <c r="Y107" s="6"/>
      <c r="Z107" s="6">
        <f ca="1">('TUSD BE'!$AM$12+'TUSD BF'!$AM$12+'TUSD CVA'!$AM$12)*1</f>
        <v>133.17611987332398</v>
      </c>
      <c r="AA107" s="6">
        <f>('TE BE'!$AA$6+'TE BF'!$AA$6+'TE CVA'!$AA$6)*1</f>
        <v>330.73086315618451</v>
      </c>
      <c r="AB107" s="6">
        <f>$K$107*$V$107</f>
        <v>0</v>
      </c>
      <c r="AC107" s="6">
        <f>$M$107*$W$107</f>
        <v>327.04912800000005</v>
      </c>
      <c r="AD107" s="6">
        <f>$O$107*$X$107</f>
        <v>840.67859399999998</v>
      </c>
      <c r="AE107" s="6">
        <f>$K$107*$Y$107</f>
        <v>0</v>
      </c>
      <c r="AF107" s="6">
        <f ca="1">$M$107*$Z$107</f>
        <v>465.9299729888113</v>
      </c>
      <c r="AG107" s="6">
        <f>$O$107*$AA$107</f>
        <v>1157.0949978382271</v>
      </c>
    </row>
    <row r="108" spans="1:33" ht="11.25" customHeight="1" x14ac:dyDescent="0.3">
      <c r="A108" s="4" t="s">
        <v>21</v>
      </c>
      <c r="B108" s="4" t="s">
        <v>37</v>
      </c>
      <c r="C108" s="4" t="s">
        <v>38</v>
      </c>
      <c r="D108" s="4" t="s">
        <v>44</v>
      </c>
      <c r="E108" s="4" t="s">
        <v>52</v>
      </c>
      <c r="F108" s="4" t="s">
        <v>54</v>
      </c>
      <c r="G108" s="4" t="s">
        <v>25</v>
      </c>
      <c r="H108" s="4" t="s">
        <v>34</v>
      </c>
      <c r="I108" s="5">
        <v>44593</v>
      </c>
      <c r="J108" s="6">
        <v>0</v>
      </c>
      <c r="K108" s="6">
        <v>0</v>
      </c>
      <c r="L108" s="6">
        <v>3.1</v>
      </c>
      <c r="M108" s="6">
        <v>0.93</v>
      </c>
      <c r="N108" s="6">
        <v>3.1</v>
      </c>
      <c r="O108" s="6">
        <v>0.93</v>
      </c>
      <c r="P108" s="6">
        <v>0</v>
      </c>
      <c r="Q108" s="4" t="s">
        <v>26</v>
      </c>
      <c r="R108" s="4">
        <v>0</v>
      </c>
      <c r="S108" s="6">
        <v>0</v>
      </c>
      <c r="T108" s="6">
        <v>2</v>
      </c>
      <c r="U108" s="6">
        <v>74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93.48</v>
      </c>
      <c r="X108" s="6">
        <f>IF(ISERROR(VLOOKUP($U$108,'TAR FIN'!$A$1:$O$85,15,0)),0,VLOOKUP($U$108,'TAR FIN'!$A$1:$O$85,15,0))</f>
        <v>240.29</v>
      </c>
      <c r="Y108" s="6"/>
      <c r="Z108" s="6">
        <f ca="1">('TUSD BE'!$AM$12+'TUSD BF'!$AM$12+'TUSD CVA'!$AM$12)*1</f>
        <v>133.17611987332398</v>
      </c>
      <c r="AA108" s="6">
        <f>('TE BE'!$AA$6+'TE BF'!$AA$6+'TE CVA'!$AA$6)*1</f>
        <v>330.73086315618451</v>
      </c>
      <c r="AB108" s="6">
        <f>$K$108*$V$108</f>
        <v>0</v>
      </c>
      <c r="AC108" s="6">
        <f>$M$108*$W$108</f>
        <v>86.936400000000006</v>
      </c>
      <c r="AD108" s="6">
        <f>$O$108*$X$108</f>
        <v>223.46970000000002</v>
      </c>
      <c r="AE108" s="6">
        <f>$K$108*$Y$108</f>
        <v>0</v>
      </c>
      <c r="AF108" s="6">
        <f ca="1">$M$108*$Z$108</f>
        <v>123.85379148219131</v>
      </c>
      <c r="AG108" s="6">
        <f>$O$108*$AA$108</f>
        <v>307.5797027352516</v>
      </c>
    </row>
    <row r="109" spans="1:33" ht="11.25" customHeight="1" x14ac:dyDescent="0.3">
      <c r="A109" s="4" t="s">
        <v>21</v>
      </c>
      <c r="B109" s="4" t="s">
        <v>37</v>
      </c>
      <c r="C109" s="4" t="s">
        <v>38</v>
      </c>
      <c r="D109" s="4" t="s">
        <v>44</v>
      </c>
      <c r="E109" s="4" t="s">
        <v>52</v>
      </c>
      <c r="F109" s="4" t="s">
        <v>54</v>
      </c>
      <c r="G109" s="4" t="s">
        <v>25</v>
      </c>
      <c r="H109" s="4" t="s">
        <v>34</v>
      </c>
      <c r="I109" s="5">
        <v>44621</v>
      </c>
      <c r="J109" s="6">
        <v>0</v>
      </c>
      <c r="K109" s="6">
        <v>0</v>
      </c>
      <c r="L109" s="6">
        <v>33.869999999999997</v>
      </c>
      <c r="M109" s="6">
        <v>10.161</v>
      </c>
      <c r="N109" s="6">
        <v>33.869999999999997</v>
      </c>
      <c r="O109" s="6">
        <v>10.161</v>
      </c>
      <c r="P109" s="6">
        <v>0</v>
      </c>
      <c r="Q109" s="4" t="s">
        <v>26</v>
      </c>
      <c r="R109" s="4">
        <v>0</v>
      </c>
      <c r="S109" s="6">
        <v>0</v>
      </c>
      <c r="T109" s="6">
        <v>2</v>
      </c>
      <c r="U109" s="6">
        <v>74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93.48</v>
      </c>
      <c r="X109" s="6">
        <f>IF(ISERROR(VLOOKUP($U$109,'TAR FIN'!$A$1:$O$85,15,0)),0,VLOOKUP($U$109,'TAR FIN'!$A$1:$O$85,15,0))</f>
        <v>240.29</v>
      </c>
      <c r="Y109" s="6"/>
      <c r="Z109" s="6">
        <f ca="1">('TUSD BE'!$AM$12+'TUSD BF'!$AM$12+'TUSD CVA'!$AM$12)*1</f>
        <v>133.17611987332398</v>
      </c>
      <c r="AA109" s="6">
        <f>('TE BE'!$AA$6+'TE BF'!$AA$6+'TE CVA'!$AA$6)*1</f>
        <v>330.73086315618451</v>
      </c>
      <c r="AB109" s="6">
        <f>$K$109*$V$109</f>
        <v>0</v>
      </c>
      <c r="AC109" s="6">
        <f>$M$109*$W$109</f>
        <v>949.85028</v>
      </c>
      <c r="AD109" s="6">
        <f>$O$109*$X$109</f>
        <v>2441.5866899999996</v>
      </c>
      <c r="AE109" s="6">
        <f>$K$109*$Y$109</f>
        <v>0</v>
      </c>
      <c r="AF109" s="6">
        <f ca="1">$M$109*$Z$109</f>
        <v>1353.202554032845</v>
      </c>
      <c r="AG109" s="6">
        <f>$O$109*$AA$109</f>
        <v>3360.5563005299905</v>
      </c>
    </row>
    <row r="110" spans="1:33" ht="11.25" customHeight="1" x14ac:dyDescent="0.3">
      <c r="A110" s="4" t="s">
        <v>21</v>
      </c>
      <c r="B110" s="4" t="s">
        <v>37</v>
      </c>
      <c r="C110" s="4" t="s">
        <v>38</v>
      </c>
      <c r="D110" s="4" t="s">
        <v>44</v>
      </c>
      <c r="E110" s="4" t="s">
        <v>52</v>
      </c>
      <c r="F110" s="4" t="s">
        <v>25</v>
      </c>
      <c r="G110" s="4" t="s">
        <v>25</v>
      </c>
      <c r="H110" s="4" t="s">
        <v>34</v>
      </c>
      <c r="I110" s="5">
        <v>44287</v>
      </c>
      <c r="J110" s="6">
        <v>0</v>
      </c>
      <c r="K110" s="70">
        <v>0</v>
      </c>
      <c r="L110" s="6">
        <v>9.7230000000000008</v>
      </c>
      <c r="M110" s="70">
        <v>9.7230000000000008</v>
      </c>
      <c r="N110" s="6">
        <v>9.7230000000000008</v>
      </c>
      <c r="O110" s="70">
        <v>9.7230000000000008</v>
      </c>
      <c r="P110" s="6">
        <v>0</v>
      </c>
      <c r="Q110" s="4" t="s">
        <v>26</v>
      </c>
      <c r="R110" s="4">
        <v>0</v>
      </c>
      <c r="S110" s="6">
        <v>0</v>
      </c>
      <c r="T110" s="6">
        <v>2</v>
      </c>
      <c r="U110" s="6">
        <v>74</v>
      </c>
      <c r="V110" s="70">
        <f>IF(ISERROR(VLOOKUP($S$110,'TAR FIN'!$A$1:$O$85,15,0)),0,VLOOKUP($S$110,'TAR FIN'!$A$1:$O$85,15,0))</f>
        <v>0</v>
      </c>
      <c r="W110" s="70">
        <f>IF(ISERROR(VLOOKUP($T$110,'TAR FIN'!$A$1:$O$85,15,0)),0,VLOOKUP($T$110,'TAR FIN'!$A$1:$O$85,15,0))*(1-0.04)</f>
        <v>89.740800000000007</v>
      </c>
      <c r="X110" s="70">
        <f>IF(ISERROR(VLOOKUP($U$110,'TAR FIN'!$A$1:$O$85,15,0)),0,VLOOKUP($U$110,'TAR FIN'!$A$1:$O$85,15,0))*(1-0.04)</f>
        <v>230.67839999999998</v>
      </c>
      <c r="Y110" s="70"/>
      <c r="Z110" s="70">
        <f ca="1">('TUSD BE'!$AM$12+'TUSD BF'!$AM$12+'TUSD CVA'!$AM$12)*1*(1-0.02)</f>
        <v>130.51259747585749</v>
      </c>
      <c r="AA110" s="70">
        <f>('TE BE'!$AA$6+'TE BF'!$AA$6+'TE CVA'!$AA$6)*1*(1-0.02)</f>
        <v>324.11624589306081</v>
      </c>
      <c r="AB110" s="6">
        <f>$K$110*$V$110</f>
        <v>0</v>
      </c>
      <c r="AC110" s="6">
        <f>$M$110*$W$110</f>
        <v>872.5497984000001</v>
      </c>
      <c r="AD110" s="6">
        <f>$O$110*$X$110</f>
        <v>2242.8860832</v>
      </c>
      <c r="AE110" s="6">
        <f>$K$110*$Y$110</f>
        <v>0</v>
      </c>
      <c r="AF110" s="6">
        <f ca="1">$M$110*$Z$110</f>
        <v>1268.9739852577625</v>
      </c>
      <c r="AG110" s="6">
        <f>$O$110*$AA$110</f>
        <v>3151.3822588182306</v>
      </c>
    </row>
    <row r="111" spans="1:33" ht="11.25" customHeight="1" x14ac:dyDescent="0.3">
      <c r="A111" s="4" t="s">
        <v>21</v>
      </c>
      <c r="B111" s="4" t="s">
        <v>37</v>
      </c>
      <c r="C111" s="4" t="s">
        <v>38</v>
      </c>
      <c r="D111" s="4" t="s">
        <v>44</v>
      </c>
      <c r="E111" s="4" t="s">
        <v>52</v>
      </c>
      <c r="F111" s="4" t="s">
        <v>25</v>
      </c>
      <c r="G111" s="4" t="s">
        <v>25</v>
      </c>
      <c r="H111" s="4" t="s">
        <v>34</v>
      </c>
      <c r="I111" s="5">
        <v>44317</v>
      </c>
      <c r="J111" s="6">
        <v>0</v>
      </c>
      <c r="K111" s="70">
        <v>0</v>
      </c>
      <c r="L111" s="6">
        <v>5.8380000000000001</v>
      </c>
      <c r="M111" s="70">
        <v>5.8380000000000001</v>
      </c>
      <c r="N111" s="6">
        <v>5.8380000000000001</v>
      </c>
      <c r="O111" s="70">
        <v>5.8380000000000001</v>
      </c>
      <c r="P111" s="6">
        <v>0</v>
      </c>
      <c r="Q111" s="4" t="s">
        <v>26</v>
      </c>
      <c r="R111" s="4">
        <v>0</v>
      </c>
      <c r="S111" s="6">
        <v>0</v>
      </c>
      <c r="T111" s="6">
        <v>2</v>
      </c>
      <c r="U111" s="6">
        <v>74</v>
      </c>
      <c r="V111" s="70">
        <f>IF(ISERROR(VLOOKUP($S$111,'TAR FIN'!$A$1:$O$85,15,0)),0,VLOOKUP($S$111,'TAR FIN'!$A$1:$O$85,15,0))</f>
        <v>0</v>
      </c>
      <c r="W111" s="70">
        <f>IF(ISERROR(VLOOKUP($T$111,'TAR FIN'!$A$1:$O$85,15,0)),0,VLOOKUP($T$111,'TAR FIN'!$A$1:$O$85,15,0))*(1-0.04)</f>
        <v>89.740800000000007</v>
      </c>
      <c r="X111" s="70">
        <f>IF(ISERROR(VLOOKUP($U$111,'TAR FIN'!$A$1:$O$85,15,0)),0,VLOOKUP($U$111,'TAR FIN'!$A$1:$O$85,15,0))*(1-0.04)</f>
        <v>230.67839999999998</v>
      </c>
      <c r="Y111" s="70"/>
      <c r="Z111" s="70">
        <f ca="1">('TUSD BE'!$AM$12+'TUSD BF'!$AM$12+'TUSD CVA'!$AM$12)*1*(1-0.02)</f>
        <v>130.51259747585749</v>
      </c>
      <c r="AA111" s="70">
        <f>('TE BE'!$AA$6+'TE BF'!$AA$6+'TE CVA'!$AA$6)*1*(1-0.02)</f>
        <v>324.11624589306081</v>
      </c>
      <c r="AB111" s="6">
        <f>$K$111*$V$111</f>
        <v>0</v>
      </c>
      <c r="AC111" s="6">
        <f>$M$111*$W$111</f>
        <v>523.90679040000009</v>
      </c>
      <c r="AD111" s="6">
        <f>$O$111*$X$111</f>
        <v>1346.7004992</v>
      </c>
      <c r="AE111" s="6">
        <f>$K$111*$Y$111</f>
        <v>0</v>
      </c>
      <c r="AF111" s="6">
        <f ca="1">$M$111*$Z$111</f>
        <v>761.93254406405606</v>
      </c>
      <c r="AG111" s="6">
        <f>$O$111*$AA$111</f>
        <v>1892.190643523689</v>
      </c>
    </row>
    <row r="112" spans="1:33" ht="11.25" customHeight="1" x14ac:dyDescent="0.3">
      <c r="A112" s="4" t="s">
        <v>21</v>
      </c>
      <c r="B112" s="4" t="s">
        <v>37</v>
      </c>
      <c r="C112" s="4" t="s">
        <v>38</v>
      </c>
      <c r="D112" s="4" t="s">
        <v>44</v>
      </c>
      <c r="E112" s="4" t="s">
        <v>52</v>
      </c>
      <c r="F112" s="4" t="s">
        <v>25</v>
      </c>
      <c r="G112" s="4" t="s">
        <v>25</v>
      </c>
      <c r="H112" s="4" t="s">
        <v>34</v>
      </c>
      <c r="I112" s="5">
        <v>44348</v>
      </c>
      <c r="J112" s="6">
        <v>0</v>
      </c>
      <c r="K112" s="70">
        <v>0</v>
      </c>
      <c r="L112" s="6">
        <v>11.494999999999999</v>
      </c>
      <c r="M112" s="70">
        <v>11.494999999999999</v>
      </c>
      <c r="N112" s="6">
        <v>11.494999999999999</v>
      </c>
      <c r="O112" s="70">
        <v>11.494999999999999</v>
      </c>
      <c r="P112" s="6">
        <v>0</v>
      </c>
      <c r="Q112" s="4" t="s">
        <v>26</v>
      </c>
      <c r="R112" s="4">
        <v>0</v>
      </c>
      <c r="S112" s="6">
        <v>0</v>
      </c>
      <c r="T112" s="6">
        <v>2</v>
      </c>
      <c r="U112" s="6">
        <v>74</v>
      </c>
      <c r="V112" s="70">
        <f>IF(ISERROR(VLOOKUP($S$112,'TAR FIN'!$A$1:$O$85,15,0)),0,VLOOKUP($S$112,'TAR FIN'!$A$1:$O$85,15,0))</f>
        <v>0</v>
      </c>
      <c r="W112" s="70">
        <f>IF(ISERROR(VLOOKUP($T$112,'TAR FIN'!$A$1:$O$85,15,0)),0,VLOOKUP($T$112,'TAR FIN'!$A$1:$O$85,15,0))*(1-0.04)</f>
        <v>89.740800000000007</v>
      </c>
      <c r="X112" s="70">
        <f>IF(ISERROR(VLOOKUP($U$112,'TAR FIN'!$A$1:$O$85,15,0)),0,VLOOKUP($U$112,'TAR FIN'!$A$1:$O$85,15,0))*(1-0.04)</f>
        <v>230.67839999999998</v>
      </c>
      <c r="Y112" s="70"/>
      <c r="Z112" s="70">
        <f ca="1">('TUSD BE'!$AM$12+'TUSD BF'!$AM$12+'TUSD CVA'!$AM$12)*1*(1-0.02)</f>
        <v>130.51259747585749</v>
      </c>
      <c r="AA112" s="70">
        <f>('TE BE'!$AA$6+'TE BF'!$AA$6+'TE CVA'!$AA$6)*1*(1-0.02)</f>
        <v>324.11624589306081</v>
      </c>
      <c r="AB112" s="6">
        <f>$K$112*$V$112</f>
        <v>0</v>
      </c>
      <c r="AC112" s="6">
        <f>$M$112*$W$112</f>
        <v>1031.570496</v>
      </c>
      <c r="AD112" s="6">
        <f>$O$112*$X$112</f>
        <v>2651.6482079999996</v>
      </c>
      <c r="AE112" s="6">
        <f>$K$112*$Y$112</f>
        <v>0</v>
      </c>
      <c r="AF112" s="6">
        <f ca="1">$M$112*$Z$112</f>
        <v>1500.2423079849818</v>
      </c>
      <c r="AG112" s="6">
        <f>$O$112*$AA$112</f>
        <v>3725.7162465407337</v>
      </c>
    </row>
    <row r="113" spans="1:33" ht="11.25" customHeight="1" x14ac:dyDescent="0.3">
      <c r="A113" s="4" t="s">
        <v>21</v>
      </c>
      <c r="B113" s="4" t="s">
        <v>37</v>
      </c>
      <c r="C113" s="4" t="s">
        <v>38</v>
      </c>
      <c r="D113" s="4" t="s">
        <v>44</v>
      </c>
      <c r="E113" s="4" t="s">
        <v>52</v>
      </c>
      <c r="F113" s="4" t="s">
        <v>25</v>
      </c>
      <c r="G113" s="4" t="s">
        <v>25</v>
      </c>
      <c r="H113" s="4" t="s">
        <v>34</v>
      </c>
      <c r="I113" s="5">
        <v>44378</v>
      </c>
      <c r="J113" s="6">
        <v>0</v>
      </c>
      <c r="K113" s="70">
        <v>0</v>
      </c>
      <c r="L113" s="6">
        <v>26.024999999999999</v>
      </c>
      <c r="M113" s="70">
        <v>26.024999999999999</v>
      </c>
      <c r="N113" s="6">
        <v>26.024999999999999</v>
      </c>
      <c r="O113" s="70">
        <v>26.024999999999999</v>
      </c>
      <c r="P113" s="6">
        <v>0</v>
      </c>
      <c r="Q113" s="4" t="s">
        <v>26</v>
      </c>
      <c r="R113" s="4">
        <v>0</v>
      </c>
      <c r="S113" s="6">
        <v>0</v>
      </c>
      <c r="T113" s="6">
        <v>2</v>
      </c>
      <c r="U113" s="6">
        <v>74</v>
      </c>
      <c r="V113" s="70">
        <f>IF(ISERROR(VLOOKUP($S$113,'TAR FIN'!$A$1:$O$85,15,0)),0,VLOOKUP($S$113,'TAR FIN'!$A$1:$O$85,15,0))</f>
        <v>0</v>
      </c>
      <c r="W113" s="70">
        <f>IF(ISERROR(VLOOKUP($T$113,'TAR FIN'!$A$1:$O$85,15,0)),0,VLOOKUP($T$113,'TAR FIN'!$A$1:$O$85,15,0))*(1-0.04)</f>
        <v>89.740800000000007</v>
      </c>
      <c r="X113" s="70">
        <f>IF(ISERROR(VLOOKUP($U$113,'TAR FIN'!$A$1:$O$85,15,0)),0,VLOOKUP($U$113,'TAR FIN'!$A$1:$O$85,15,0))*(1-0.04)</f>
        <v>230.67839999999998</v>
      </c>
      <c r="Y113" s="70"/>
      <c r="Z113" s="70">
        <f ca="1">('TUSD BE'!$AM$12+'TUSD BF'!$AM$12+'TUSD CVA'!$AM$12)*1*(1-0.02)</f>
        <v>130.51259747585749</v>
      </c>
      <c r="AA113" s="70">
        <f>('TE BE'!$AA$6+'TE BF'!$AA$6+'TE CVA'!$AA$6)*1*(1-0.02)</f>
        <v>324.11624589306081</v>
      </c>
      <c r="AB113" s="6">
        <f>$K$113*$V$113</f>
        <v>0</v>
      </c>
      <c r="AC113" s="6">
        <f>$M$113*$W$113</f>
        <v>2335.50432</v>
      </c>
      <c r="AD113" s="6">
        <f>$O$113*$X$113</f>
        <v>6003.4053599999988</v>
      </c>
      <c r="AE113" s="6">
        <f>$K$113*$Y$113</f>
        <v>0</v>
      </c>
      <c r="AF113" s="6">
        <f ca="1">$M$113*$Z$113</f>
        <v>3396.590349309191</v>
      </c>
      <c r="AG113" s="6">
        <f>$O$113*$AA$113</f>
        <v>8435.1252993669077</v>
      </c>
    </row>
    <row r="114" spans="1:33" ht="11.25" customHeight="1" x14ac:dyDescent="0.3">
      <c r="A114" s="4" t="s">
        <v>21</v>
      </c>
      <c r="B114" s="4" t="s">
        <v>37</v>
      </c>
      <c r="C114" s="4" t="s">
        <v>38</v>
      </c>
      <c r="D114" s="4" t="s">
        <v>44</v>
      </c>
      <c r="E114" s="4" t="s">
        <v>52</v>
      </c>
      <c r="F114" s="4" t="s">
        <v>25</v>
      </c>
      <c r="G114" s="4" t="s">
        <v>25</v>
      </c>
      <c r="H114" s="4" t="s">
        <v>34</v>
      </c>
      <c r="I114" s="5">
        <v>44409</v>
      </c>
      <c r="J114" s="6">
        <v>0</v>
      </c>
      <c r="K114" s="70">
        <v>0</v>
      </c>
      <c r="L114" s="6">
        <v>25.484999999999999</v>
      </c>
      <c r="M114" s="70">
        <v>25.484999999999999</v>
      </c>
      <c r="N114" s="6">
        <v>25.484999999999999</v>
      </c>
      <c r="O114" s="70">
        <v>25.484999999999999</v>
      </c>
      <c r="P114" s="6">
        <v>0</v>
      </c>
      <c r="Q114" s="4" t="s">
        <v>26</v>
      </c>
      <c r="R114" s="4">
        <v>0</v>
      </c>
      <c r="S114" s="6">
        <v>0</v>
      </c>
      <c r="T114" s="6">
        <v>2</v>
      </c>
      <c r="U114" s="6">
        <v>74</v>
      </c>
      <c r="V114" s="70">
        <f>IF(ISERROR(VLOOKUP($S$114,'TAR FIN'!$A$1:$O$85,15,0)),0,VLOOKUP($S$114,'TAR FIN'!$A$1:$O$85,15,0))</f>
        <v>0</v>
      </c>
      <c r="W114" s="70">
        <f>IF(ISERROR(VLOOKUP($T$114,'TAR FIN'!$A$1:$O$85,15,0)),0,VLOOKUP($T$114,'TAR FIN'!$A$1:$O$85,15,0))*(1-0.04)</f>
        <v>89.740800000000007</v>
      </c>
      <c r="X114" s="70">
        <f>IF(ISERROR(VLOOKUP($U$114,'TAR FIN'!$A$1:$O$85,15,0)),0,VLOOKUP($U$114,'TAR FIN'!$A$1:$O$85,15,0))*(1-0.04)</f>
        <v>230.67839999999998</v>
      </c>
      <c r="Y114" s="70"/>
      <c r="Z114" s="70">
        <f ca="1">('TUSD BE'!$AM$12+'TUSD BF'!$AM$12+'TUSD CVA'!$AM$12)*1*(1-0.02)</f>
        <v>130.51259747585749</v>
      </c>
      <c r="AA114" s="70">
        <f>('TE BE'!$AA$6+'TE BF'!$AA$6+'TE CVA'!$AA$6)*1*(1-0.02)</f>
        <v>324.11624589306081</v>
      </c>
      <c r="AB114" s="6">
        <f>$K$114*$V$114</f>
        <v>0</v>
      </c>
      <c r="AC114" s="6">
        <f>$M$114*$W$114</f>
        <v>2287.0442880000001</v>
      </c>
      <c r="AD114" s="6">
        <f>$O$114*$X$114</f>
        <v>5878.839023999999</v>
      </c>
      <c r="AE114" s="6">
        <f>$K$114*$Y$114</f>
        <v>0</v>
      </c>
      <c r="AF114" s="6">
        <f ca="1">$M$114*$Z$114</f>
        <v>3326.113546672228</v>
      </c>
      <c r="AG114" s="6">
        <f>$O$114*$AA$114</f>
        <v>8260.1025265846547</v>
      </c>
    </row>
    <row r="115" spans="1:33" ht="11.25" customHeight="1" x14ac:dyDescent="0.3">
      <c r="A115" s="4" t="s">
        <v>21</v>
      </c>
      <c r="B115" s="4" t="s">
        <v>37</v>
      </c>
      <c r="C115" s="4" t="s">
        <v>38</v>
      </c>
      <c r="D115" s="4" t="s">
        <v>44</v>
      </c>
      <c r="E115" s="4" t="s">
        <v>52</v>
      </c>
      <c r="F115" s="4" t="s">
        <v>25</v>
      </c>
      <c r="G115" s="4" t="s">
        <v>25</v>
      </c>
      <c r="H115" s="4" t="s">
        <v>34</v>
      </c>
      <c r="I115" s="5">
        <v>44440</v>
      </c>
      <c r="J115" s="6">
        <v>0</v>
      </c>
      <c r="K115" s="70">
        <v>0</v>
      </c>
      <c r="L115" s="6">
        <v>23.448</v>
      </c>
      <c r="M115" s="70">
        <v>23.448</v>
      </c>
      <c r="N115" s="6">
        <v>23.448</v>
      </c>
      <c r="O115" s="70">
        <v>23.448</v>
      </c>
      <c r="P115" s="6">
        <v>0</v>
      </c>
      <c r="Q115" s="4" t="s">
        <v>26</v>
      </c>
      <c r="R115" s="4">
        <v>0</v>
      </c>
      <c r="S115" s="6">
        <v>0</v>
      </c>
      <c r="T115" s="6">
        <v>2</v>
      </c>
      <c r="U115" s="6">
        <v>74</v>
      </c>
      <c r="V115" s="70">
        <f>IF(ISERROR(VLOOKUP($S$115,'TAR FIN'!$A$1:$O$85,15,0)),0,VLOOKUP($S$115,'TAR FIN'!$A$1:$O$85,15,0))</f>
        <v>0</v>
      </c>
      <c r="W115" s="70">
        <f>IF(ISERROR(VLOOKUP($T$115,'TAR FIN'!$A$1:$O$85,15,0)),0,VLOOKUP($T$115,'TAR FIN'!$A$1:$O$85,15,0))*(1-0.04)</f>
        <v>89.740800000000007</v>
      </c>
      <c r="X115" s="70">
        <f>IF(ISERROR(VLOOKUP($U$115,'TAR FIN'!$A$1:$O$85,15,0)),0,VLOOKUP($U$115,'TAR FIN'!$A$1:$O$85,15,0))*(1-0.04)</f>
        <v>230.67839999999998</v>
      </c>
      <c r="Y115" s="70"/>
      <c r="Z115" s="70">
        <f ca="1">('TUSD BE'!$AM$12+'TUSD BF'!$AM$12+'TUSD CVA'!$AM$12)*1*(1-0.02)</f>
        <v>130.51259747585749</v>
      </c>
      <c r="AA115" s="70">
        <f>('TE BE'!$AA$6+'TE BF'!$AA$6+'TE CVA'!$AA$6)*1*(1-0.02)</f>
        <v>324.11624589306081</v>
      </c>
      <c r="AB115" s="6">
        <f>$K$115*$V$115</f>
        <v>0</v>
      </c>
      <c r="AC115" s="6">
        <f>$M$115*$W$115</f>
        <v>2104.2422784</v>
      </c>
      <c r="AD115" s="6">
        <f>$O$115*$X$115</f>
        <v>5408.9471231999996</v>
      </c>
      <c r="AE115" s="6">
        <f>$K$115*$Y$115</f>
        <v>0</v>
      </c>
      <c r="AF115" s="6">
        <f ca="1">$M$115*$Z$115</f>
        <v>3060.2593856139065</v>
      </c>
      <c r="AG115" s="6">
        <f>$O$115*$AA$115</f>
        <v>7599.8777337004904</v>
      </c>
    </row>
    <row r="116" spans="1:33" ht="11.25" customHeight="1" x14ac:dyDescent="0.3">
      <c r="A116" s="4" t="s">
        <v>21</v>
      </c>
      <c r="B116" s="4" t="s">
        <v>37</v>
      </c>
      <c r="C116" s="4" t="s">
        <v>38</v>
      </c>
      <c r="D116" s="4" t="s">
        <v>44</v>
      </c>
      <c r="E116" s="4" t="s">
        <v>52</v>
      </c>
      <c r="F116" s="4" t="s">
        <v>25</v>
      </c>
      <c r="G116" s="4" t="s">
        <v>25</v>
      </c>
      <c r="H116" s="4" t="s">
        <v>34</v>
      </c>
      <c r="I116" s="5">
        <v>44470</v>
      </c>
      <c r="J116" s="6">
        <v>0</v>
      </c>
      <c r="K116" s="70">
        <v>0</v>
      </c>
      <c r="L116" s="6">
        <v>12.372999999999999</v>
      </c>
      <c r="M116" s="70">
        <v>12.372999999999999</v>
      </c>
      <c r="N116" s="6">
        <v>12.372999999999999</v>
      </c>
      <c r="O116" s="70">
        <v>12.372999999999999</v>
      </c>
      <c r="P116" s="6">
        <v>0</v>
      </c>
      <c r="Q116" s="4" t="s">
        <v>26</v>
      </c>
      <c r="R116" s="4">
        <v>0</v>
      </c>
      <c r="S116" s="6">
        <v>0</v>
      </c>
      <c r="T116" s="6">
        <v>2</v>
      </c>
      <c r="U116" s="6">
        <v>74</v>
      </c>
      <c r="V116" s="70">
        <f>IF(ISERROR(VLOOKUP($S$116,'TAR FIN'!$A$1:$O$85,15,0)),0,VLOOKUP($S$116,'TAR FIN'!$A$1:$O$85,15,0))</f>
        <v>0</v>
      </c>
      <c r="W116" s="70">
        <f>IF(ISERROR(VLOOKUP($T$116,'TAR FIN'!$A$1:$O$85,15,0)),0,VLOOKUP($T$116,'TAR FIN'!$A$1:$O$85,15,0))*(1-0.04)</f>
        <v>89.740800000000007</v>
      </c>
      <c r="X116" s="70">
        <f>IF(ISERROR(VLOOKUP($U$116,'TAR FIN'!$A$1:$O$85,15,0)),0,VLOOKUP($U$116,'TAR FIN'!$A$1:$O$85,15,0))*(1-0.04)</f>
        <v>230.67839999999998</v>
      </c>
      <c r="Y116" s="70"/>
      <c r="Z116" s="70">
        <f ca="1">('TUSD BE'!$AM$12+'TUSD BF'!$AM$12+'TUSD CVA'!$AM$12)*1*(1-0.02)</f>
        <v>130.51259747585749</v>
      </c>
      <c r="AA116" s="70">
        <f>('TE BE'!$AA$6+'TE BF'!$AA$6+'TE CVA'!$AA$6)*1*(1-0.02)</f>
        <v>324.11624589306081</v>
      </c>
      <c r="AB116" s="6">
        <f>$K$116*$V$116</f>
        <v>0</v>
      </c>
      <c r="AC116" s="6">
        <f>$M$116*$W$116</f>
        <v>1110.3629184000001</v>
      </c>
      <c r="AD116" s="6">
        <f>$O$116*$X$116</f>
        <v>2854.1838431999995</v>
      </c>
      <c r="AE116" s="6">
        <f>$K$116*$Y$116</f>
        <v>0</v>
      </c>
      <c r="AF116" s="6">
        <f ca="1">$M$116*$Z$116</f>
        <v>1614.8323685687847</v>
      </c>
      <c r="AG116" s="6">
        <f>$O$116*$AA$116</f>
        <v>4010.2903104348411</v>
      </c>
    </row>
    <row r="117" spans="1:33" ht="11.25" customHeight="1" x14ac:dyDescent="0.3">
      <c r="A117" s="4" t="s">
        <v>21</v>
      </c>
      <c r="B117" s="4" t="s">
        <v>37</v>
      </c>
      <c r="C117" s="4" t="s">
        <v>38</v>
      </c>
      <c r="D117" s="4" t="s">
        <v>44</v>
      </c>
      <c r="E117" s="4" t="s">
        <v>52</v>
      </c>
      <c r="F117" s="4" t="s">
        <v>25</v>
      </c>
      <c r="G117" s="4" t="s">
        <v>25</v>
      </c>
      <c r="H117" s="4" t="s">
        <v>34</v>
      </c>
      <c r="I117" s="5">
        <v>44501</v>
      </c>
      <c r="J117" s="6">
        <v>0</v>
      </c>
      <c r="K117" s="70">
        <v>0</v>
      </c>
      <c r="L117" s="6">
        <v>10.742000000000001</v>
      </c>
      <c r="M117" s="70">
        <v>10.742000000000001</v>
      </c>
      <c r="N117" s="6">
        <v>10.742000000000001</v>
      </c>
      <c r="O117" s="70">
        <v>10.742000000000001</v>
      </c>
      <c r="P117" s="6">
        <v>0</v>
      </c>
      <c r="Q117" s="4" t="s">
        <v>26</v>
      </c>
      <c r="R117" s="4">
        <v>0</v>
      </c>
      <c r="S117" s="6">
        <v>0</v>
      </c>
      <c r="T117" s="6">
        <v>2</v>
      </c>
      <c r="U117" s="6">
        <v>74</v>
      </c>
      <c r="V117" s="70">
        <f>IF(ISERROR(VLOOKUP($S$117,'TAR FIN'!$A$1:$O$85,15,0)),0,VLOOKUP($S$117,'TAR FIN'!$A$1:$O$85,15,0))</f>
        <v>0</v>
      </c>
      <c r="W117" s="70">
        <f>IF(ISERROR(VLOOKUP($T$117,'TAR FIN'!$A$1:$O$85,15,0)),0,VLOOKUP($T$117,'TAR FIN'!$A$1:$O$85,15,0))*(1-0.04)</f>
        <v>89.740800000000007</v>
      </c>
      <c r="X117" s="70">
        <f>IF(ISERROR(VLOOKUP($U$117,'TAR FIN'!$A$1:$O$85,15,0)),0,VLOOKUP($U$117,'TAR FIN'!$A$1:$O$85,15,0))*(1-0.04)</f>
        <v>230.67839999999998</v>
      </c>
      <c r="Y117" s="70"/>
      <c r="Z117" s="70">
        <f ca="1">('TUSD BE'!$AM$12+'TUSD BF'!$AM$12+'TUSD CVA'!$AM$12)*1*(1-0.02)</f>
        <v>130.51259747585749</v>
      </c>
      <c r="AA117" s="70">
        <f>('TE BE'!$AA$6+'TE BF'!$AA$6+'TE CVA'!$AA$6)*1*(1-0.02)</f>
        <v>324.11624589306081</v>
      </c>
      <c r="AB117" s="6">
        <f>$K$117*$V$117</f>
        <v>0</v>
      </c>
      <c r="AC117" s="6">
        <f>$M$117*$W$117</f>
        <v>963.99567360000015</v>
      </c>
      <c r="AD117" s="6">
        <f>$O$117*$X$117</f>
        <v>2477.9473727999998</v>
      </c>
      <c r="AE117" s="6">
        <f>$K$117*$Y$117</f>
        <v>0</v>
      </c>
      <c r="AF117" s="6">
        <f ca="1">$M$117*$Z$117</f>
        <v>1401.9663220856612</v>
      </c>
      <c r="AG117" s="6">
        <f>$O$117*$AA$117</f>
        <v>3481.6567133832596</v>
      </c>
    </row>
    <row r="118" spans="1:33" ht="11.25" customHeight="1" x14ac:dyDescent="0.3">
      <c r="A118" s="4" t="s">
        <v>21</v>
      </c>
      <c r="B118" s="4" t="s">
        <v>37</v>
      </c>
      <c r="C118" s="4" t="s">
        <v>38</v>
      </c>
      <c r="D118" s="4" t="s">
        <v>44</v>
      </c>
      <c r="E118" s="4" t="s">
        <v>52</v>
      </c>
      <c r="F118" s="4" t="s">
        <v>25</v>
      </c>
      <c r="G118" s="4" t="s">
        <v>25</v>
      </c>
      <c r="H118" s="4" t="s">
        <v>34</v>
      </c>
      <c r="I118" s="5">
        <v>44531</v>
      </c>
      <c r="J118" s="6">
        <v>0</v>
      </c>
      <c r="K118" s="70">
        <v>0</v>
      </c>
      <c r="L118" s="6">
        <v>7.7220000000000004</v>
      </c>
      <c r="M118" s="70">
        <v>7.7220000000000004</v>
      </c>
      <c r="N118" s="6">
        <v>7.7220000000000004</v>
      </c>
      <c r="O118" s="70">
        <v>7.7220000000000004</v>
      </c>
      <c r="P118" s="6">
        <v>0</v>
      </c>
      <c r="Q118" s="4" t="s">
        <v>26</v>
      </c>
      <c r="R118" s="4">
        <v>0</v>
      </c>
      <c r="S118" s="6">
        <v>0</v>
      </c>
      <c r="T118" s="6">
        <v>2</v>
      </c>
      <c r="U118" s="6">
        <v>74</v>
      </c>
      <c r="V118" s="70">
        <f>IF(ISERROR(VLOOKUP($S$118,'TAR FIN'!$A$1:$O$85,15,0)),0,VLOOKUP($S$118,'TAR FIN'!$A$1:$O$85,15,0))</f>
        <v>0</v>
      </c>
      <c r="W118" s="70">
        <f>IF(ISERROR(VLOOKUP($T$118,'TAR FIN'!$A$1:$O$85,15,0)),0,VLOOKUP($T$118,'TAR FIN'!$A$1:$O$85,15,0))*(1-0.04)</f>
        <v>89.740800000000007</v>
      </c>
      <c r="X118" s="70">
        <f>IF(ISERROR(VLOOKUP($U$118,'TAR FIN'!$A$1:$O$85,15,0)),0,VLOOKUP($U$118,'TAR FIN'!$A$1:$O$85,15,0))*(1-0.04)</f>
        <v>230.67839999999998</v>
      </c>
      <c r="Y118" s="70"/>
      <c r="Z118" s="70">
        <f ca="1">('TUSD BE'!$AM$12+'TUSD BF'!$AM$12+'TUSD CVA'!$AM$12)*1*(1-0.02)</f>
        <v>130.51259747585749</v>
      </c>
      <c r="AA118" s="70">
        <f>('TE BE'!$AA$6+'TE BF'!$AA$6+'TE CVA'!$AA$6)*1*(1-0.02)</f>
        <v>324.11624589306081</v>
      </c>
      <c r="AB118" s="6">
        <f>$K$118*$V$118</f>
        <v>0</v>
      </c>
      <c r="AC118" s="6">
        <f>$M$118*$W$118</f>
        <v>692.97845760000007</v>
      </c>
      <c r="AD118" s="6">
        <f>$O$118*$X$118</f>
        <v>1781.2986048</v>
      </c>
      <c r="AE118" s="6">
        <f>$K$118*$Y$118</f>
        <v>0</v>
      </c>
      <c r="AF118" s="6">
        <f ca="1">$M$118*$Z$118</f>
        <v>1007.8182777085716</v>
      </c>
      <c r="AG118" s="6">
        <f>$O$118*$AA$118</f>
        <v>2502.8256507862156</v>
      </c>
    </row>
    <row r="119" spans="1:33" ht="11.25" customHeight="1" x14ac:dyDescent="0.3">
      <c r="A119" s="4" t="s">
        <v>21</v>
      </c>
      <c r="B119" s="4" t="s">
        <v>37</v>
      </c>
      <c r="C119" s="4" t="s">
        <v>38</v>
      </c>
      <c r="D119" s="4" t="s">
        <v>44</v>
      </c>
      <c r="E119" s="4" t="s">
        <v>52</v>
      </c>
      <c r="F119" s="4" t="s">
        <v>25</v>
      </c>
      <c r="G119" s="4" t="s">
        <v>25</v>
      </c>
      <c r="H119" s="4" t="s">
        <v>34</v>
      </c>
      <c r="I119" s="5">
        <v>44562</v>
      </c>
      <c r="J119" s="6">
        <v>0</v>
      </c>
      <c r="K119" s="70">
        <v>0</v>
      </c>
      <c r="L119" s="6">
        <v>13.231999999999999</v>
      </c>
      <c r="M119" s="70">
        <v>13.231999999999999</v>
      </c>
      <c r="N119" s="6">
        <v>13.231999999999999</v>
      </c>
      <c r="O119" s="70">
        <v>13.231999999999999</v>
      </c>
      <c r="P119" s="6">
        <v>0</v>
      </c>
      <c r="Q119" s="4" t="s">
        <v>26</v>
      </c>
      <c r="R119" s="4">
        <v>0</v>
      </c>
      <c r="S119" s="6">
        <v>0</v>
      </c>
      <c r="T119" s="6">
        <v>2</v>
      </c>
      <c r="U119" s="6">
        <v>74</v>
      </c>
      <c r="V119" s="70">
        <f>IF(ISERROR(VLOOKUP($S$119,'TAR FIN'!$A$1:$O$85,15,0)),0,VLOOKUP($S$119,'TAR FIN'!$A$1:$O$85,15,0))</f>
        <v>0</v>
      </c>
      <c r="W119" s="70">
        <f>IF(ISERROR(VLOOKUP($T$119,'TAR FIN'!$A$1:$O$85,15,0)),0,VLOOKUP($T$119,'TAR FIN'!$A$1:$O$85,15,0))*(1-0.04)</f>
        <v>89.740800000000007</v>
      </c>
      <c r="X119" s="70">
        <f>IF(ISERROR(VLOOKUP($U$119,'TAR FIN'!$A$1:$O$85,15,0)),0,VLOOKUP($U$119,'TAR FIN'!$A$1:$O$85,15,0))*(1-0.04)</f>
        <v>230.67839999999998</v>
      </c>
      <c r="Y119" s="70"/>
      <c r="Z119" s="70">
        <f ca="1">('TUSD BE'!$AM$12+'TUSD BF'!$AM$12+'TUSD CVA'!$AM$12)*1*(1-0.02)</f>
        <v>130.51259747585749</v>
      </c>
      <c r="AA119" s="70">
        <f>('TE BE'!$AA$6+'TE BF'!$AA$6+'TE CVA'!$AA$6)*1*(1-0.02)</f>
        <v>324.11624589306081</v>
      </c>
      <c r="AB119" s="6">
        <f>$K$119*$V$119</f>
        <v>0</v>
      </c>
      <c r="AC119" s="6">
        <f>$M$119*$W$119</f>
        <v>1187.4502656</v>
      </c>
      <c r="AD119" s="6">
        <f>$O$119*$X$119</f>
        <v>3052.3365887999994</v>
      </c>
      <c r="AE119" s="6">
        <f>$K$119*$Y$119</f>
        <v>0</v>
      </c>
      <c r="AF119" s="6">
        <f ca="1">$M$119*$Z$119</f>
        <v>1726.9426898005463</v>
      </c>
      <c r="AG119" s="6">
        <f>$O$119*$AA$119</f>
        <v>4288.7061656569804</v>
      </c>
    </row>
    <row r="120" spans="1:33" ht="11.25" customHeight="1" x14ac:dyDescent="0.3">
      <c r="A120" s="4" t="s">
        <v>21</v>
      </c>
      <c r="B120" s="4" t="s">
        <v>37</v>
      </c>
      <c r="C120" s="4" t="s">
        <v>38</v>
      </c>
      <c r="D120" s="4" t="s">
        <v>44</v>
      </c>
      <c r="E120" s="4" t="s">
        <v>52</v>
      </c>
      <c r="F120" s="4" t="s">
        <v>25</v>
      </c>
      <c r="G120" s="4" t="s">
        <v>25</v>
      </c>
      <c r="H120" s="4" t="s">
        <v>34</v>
      </c>
      <c r="I120" s="5">
        <v>44593</v>
      </c>
      <c r="J120" s="6">
        <v>0</v>
      </c>
      <c r="K120" s="70">
        <v>0</v>
      </c>
      <c r="L120" s="6">
        <v>8.24</v>
      </c>
      <c r="M120" s="70">
        <v>8.24</v>
      </c>
      <c r="N120" s="6">
        <v>8.24</v>
      </c>
      <c r="O120" s="70">
        <v>8.24</v>
      </c>
      <c r="P120" s="6">
        <v>0</v>
      </c>
      <c r="Q120" s="4" t="s">
        <v>26</v>
      </c>
      <c r="R120" s="4">
        <v>0</v>
      </c>
      <c r="S120" s="6">
        <v>0</v>
      </c>
      <c r="T120" s="6">
        <v>2</v>
      </c>
      <c r="U120" s="6">
        <v>74</v>
      </c>
      <c r="V120" s="70">
        <f>IF(ISERROR(VLOOKUP($S$120,'TAR FIN'!$A$1:$O$85,15,0)),0,VLOOKUP($S$120,'TAR FIN'!$A$1:$O$85,15,0))</f>
        <v>0</v>
      </c>
      <c r="W120" s="70">
        <f>IF(ISERROR(VLOOKUP($T$120,'TAR FIN'!$A$1:$O$85,15,0)),0,VLOOKUP($T$120,'TAR FIN'!$A$1:$O$85,15,0))*(1-0.04)</f>
        <v>89.740800000000007</v>
      </c>
      <c r="X120" s="70">
        <f>IF(ISERROR(VLOOKUP($U$120,'TAR FIN'!$A$1:$O$85,15,0)),0,VLOOKUP($U$120,'TAR FIN'!$A$1:$O$85,15,0))*(1-0.04)</f>
        <v>230.67839999999998</v>
      </c>
      <c r="Y120" s="70"/>
      <c r="Z120" s="70">
        <f ca="1">('TUSD BE'!$AM$12+'TUSD BF'!$AM$12+'TUSD CVA'!$AM$12)*1*(1-0.02)</f>
        <v>130.51259747585749</v>
      </c>
      <c r="AA120" s="70">
        <f>('TE BE'!$AA$6+'TE BF'!$AA$6+'TE CVA'!$AA$6)*1*(1-0.02)</f>
        <v>324.11624589306081</v>
      </c>
      <c r="AB120" s="6">
        <f>$K$120*$V$120</f>
        <v>0</v>
      </c>
      <c r="AC120" s="6">
        <f>$M$120*$W$120</f>
        <v>739.46419200000003</v>
      </c>
      <c r="AD120" s="6">
        <f>$O$120*$X$120</f>
        <v>1900.7900159999999</v>
      </c>
      <c r="AE120" s="6">
        <f>$K$120*$Y$120</f>
        <v>0</v>
      </c>
      <c r="AF120" s="6">
        <f ca="1">$M$120*$Z$120</f>
        <v>1075.4238032010658</v>
      </c>
      <c r="AG120" s="6">
        <f>$O$120*$AA$120</f>
        <v>2670.7178661588209</v>
      </c>
    </row>
    <row r="121" spans="1:33" ht="11.25" customHeight="1" x14ac:dyDescent="0.3">
      <c r="A121" s="4" t="s">
        <v>21</v>
      </c>
      <c r="B121" s="4" t="s">
        <v>37</v>
      </c>
      <c r="C121" s="4" t="s">
        <v>38</v>
      </c>
      <c r="D121" s="4" t="s">
        <v>44</v>
      </c>
      <c r="E121" s="4" t="s">
        <v>52</v>
      </c>
      <c r="F121" s="4" t="s">
        <v>25</v>
      </c>
      <c r="G121" s="4" t="s">
        <v>25</v>
      </c>
      <c r="H121" s="4" t="s">
        <v>34</v>
      </c>
      <c r="I121" s="5">
        <v>44621</v>
      </c>
      <c r="J121" s="6">
        <v>0</v>
      </c>
      <c r="K121" s="70">
        <v>0</v>
      </c>
      <c r="L121" s="6">
        <v>38.784999999999997</v>
      </c>
      <c r="M121" s="70">
        <v>38.784999999999997</v>
      </c>
      <c r="N121" s="6">
        <v>38.784999999999997</v>
      </c>
      <c r="O121" s="70">
        <v>38.784999999999997</v>
      </c>
      <c r="P121" s="6">
        <v>0</v>
      </c>
      <c r="Q121" s="4" t="s">
        <v>26</v>
      </c>
      <c r="R121" s="4">
        <v>0</v>
      </c>
      <c r="S121" s="6">
        <v>0</v>
      </c>
      <c r="T121" s="6">
        <v>2</v>
      </c>
      <c r="U121" s="6">
        <v>74</v>
      </c>
      <c r="V121" s="70">
        <f>IF(ISERROR(VLOOKUP($S$121,'TAR FIN'!$A$1:$O$85,15,0)),0,VLOOKUP($S$121,'TAR FIN'!$A$1:$O$85,15,0))</f>
        <v>0</v>
      </c>
      <c r="W121" s="70">
        <f>IF(ISERROR(VLOOKUP($T$121,'TAR FIN'!$A$1:$O$85,15,0)),0,VLOOKUP($T$121,'TAR FIN'!$A$1:$O$85,15,0))*(1-0.04)</f>
        <v>89.740800000000007</v>
      </c>
      <c r="X121" s="70">
        <f>IF(ISERROR(VLOOKUP($U$121,'TAR FIN'!$A$1:$O$85,15,0)),0,VLOOKUP($U$121,'TAR FIN'!$A$1:$O$85,15,0))*(1-0.04)</f>
        <v>230.67839999999998</v>
      </c>
      <c r="Y121" s="70"/>
      <c r="Z121" s="70">
        <f ca="1">('TUSD BE'!$AM$12+'TUSD BF'!$AM$12+'TUSD CVA'!$AM$12)*1*(1-0.02)</f>
        <v>130.51259747585749</v>
      </c>
      <c r="AA121" s="70">
        <f>('TE BE'!$AA$6+'TE BF'!$AA$6+'TE CVA'!$AA$6)*1*(1-0.02)</f>
        <v>324.11624589306081</v>
      </c>
      <c r="AB121" s="6">
        <f>$K$121*$V$121</f>
        <v>0</v>
      </c>
      <c r="AC121" s="6">
        <f>$M$121*$W$121</f>
        <v>3480.5969279999999</v>
      </c>
      <c r="AD121" s="6">
        <f>$O$121*$X$121</f>
        <v>8946.861743999998</v>
      </c>
      <c r="AE121" s="6">
        <f>$K$121*$Y$121</f>
        <v>0</v>
      </c>
      <c r="AF121" s="6">
        <f ca="1">$M$121*$Z$121</f>
        <v>5061.9310931011323</v>
      </c>
      <c r="AG121" s="6">
        <f>$O$121*$AA$121</f>
        <v>12570.848596962362</v>
      </c>
    </row>
    <row r="122" spans="1:33" ht="11.25" customHeight="1" x14ac:dyDescent="0.3">
      <c r="A122" s="4" t="s">
        <v>21</v>
      </c>
      <c r="B122" s="4" t="s">
        <v>37</v>
      </c>
      <c r="C122" s="4" t="s">
        <v>38</v>
      </c>
      <c r="D122" s="4" t="s">
        <v>44</v>
      </c>
      <c r="E122" s="4" t="s">
        <v>52</v>
      </c>
      <c r="F122" s="4" t="s">
        <v>25</v>
      </c>
      <c r="G122" s="4" t="s">
        <v>25</v>
      </c>
      <c r="H122" s="4" t="s">
        <v>25</v>
      </c>
      <c r="I122" s="5">
        <v>44287</v>
      </c>
      <c r="J122" s="6">
        <v>217</v>
      </c>
      <c r="K122" s="70">
        <v>217</v>
      </c>
      <c r="L122" s="6">
        <v>0</v>
      </c>
      <c r="M122" s="70">
        <v>0</v>
      </c>
      <c r="N122" s="6">
        <v>0</v>
      </c>
      <c r="O122" s="70">
        <v>0</v>
      </c>
      <c r="P122" s="6">
        <v>2</v>
      </c>
      <c r="Q122" s="4" t="s">
        <v>26</v>
      </c>
      <c r="R122" s="4">
        <v>0</v>
      </c>
      <c r="S122" s="6">
        <v>50</v>
      </c>
      <c r="T122" s="6">
        <v>0</v>
      </c>
      <c r="U122" s="6">
        <v>0</v>
      </c>
      <c r="V122" s="70">
        <f>IF(ISERROR(VLOOKUP($S$122,'TAR FIN'!$A$1:$O$85,15,0)),0,VLOOKUP($S$122,'TAR FIN'!$A$1:$O$85,15,0))*(1-0.04)</f>
        <v>71.433599999999998</v>
      </c>
      <c r="W122" s="70">
        <f>IF(ISERROR(VLOOKUP($T$122,'TAR FIN'!$A$1:$O$85,15,0)),0,VLOOKUP($T$122,'TAR FIN'!$A$1:$O$85,15,0))</f>
        <v>0</v>
      </c>
      <c r="X122" s="70">
        <f>IF(ISERROR(VLOOKUP($U$122,'TAR FIN'!$A$1:$O$85,15,0)),0,VLOOKUP($U$122,'TAR FIN'!$A$1:$O$85,15,0))</f>
        <v>0</v>
      </c>
      <c r="Y122" s="70">
        <f ca="1">('TUSD BE'!$AM$10+'TUSD BF'!$AM$10+'TUSD CVA'!$AM$10)*1*(1-0.02)</f>
        <v>79.42015681272045</v>
      </c>
      <c r="Z122" s="70"/>
      <c r="AA122" s="70"/>
      <c r="AB122" s="6">
        <f>$K$122*$V$122</f>
        <v>15501.091199999999</v>
      </c>
      <c r="AC122" s="6">
        <f>$M$122*$W$122</f>
        <v>0</v>
      </c>
      <c r="AD122" s="6">
        <f>$O$122*$X$122</f>
        <v>0</v>
      </c>
      <c r="AE122" s="6">
        <f ca="1">$K$122*$Y$122</f>
        <v>17234.174028360336</v>
      </c>
      <c r="AF122" s="6">
        <f>$M$122*$Z$122</f>
        <v>0</v>
      </c>
      <c r="AG122" s="6">
        <f>$O$122*$AA$122</f>
        <v>0</v>
      </c>
    </row>
    <row r="123" spans="1:33" ht="11.25" customHeight="1" x14ac:dyDescent="0.3">
      <c r="A123" s="4" t="s">
        <v>21</v>
      </c>
      <c r="B123" s="4" t="s">
        <v>37</v>
      </c>
      <c r="C123" s="4" t="s">
        <v>38</v>
      </c>
      <c r="D123" s="4" t="s">
        <v>44</v>
      </c>
      <c r="E123" s="4" t="s">
        <v>52</v>
      </c>
      <c r="F123" s="4" t="s">
        <v>25</v>
      </c>
      <c r="G123" s="4" t="s">
        <v>25</v>
      </c>
      <c r="H123" s="4" t="s">
        <v>25</v>
      </c>
      <c r="I123" s="5">
        <v>44317</v>
      </c>
      <c r="J123" s="6">
        <v>226</v>
      </c>
      <c r="K123" s="70">
        <v>226</v>
      </c>
      <c r="L123" s="6">
        <v>0</v>
      </c>
      <c r="M123" s="70">
        <v>0</v>
      </c>
      <c r="N123" s="6">
        <v>0</v>
      </c>
      <c r="O123" s="70">
        <v>0</v>
      </c>
      <c r="P123" s="6">
        <v>2</v>
      </c>
      <c r="Q123" s="4" t="s">
        <v>26</v>
      </c>
      <c r="R123" s="4">
        <v>0</v>
      </c>
      <c r="S123" s="6">
        <v>50</v>
      </c>
      <c r="T123" s="6">
        <v>0</v>
      </c>
      <c r="U123" s="6">
        <v>0</v>
      </c>
      <c r="V123" s="70">
        <f>IF(ISERROR(VLOOKUP($S$123,'TAR FIN'!$A$1:$O$85,15,0)),0,VLOOKUP($S$123,'TAR FIN'!$A$1:$O$85,15,0))*(1-0.04)</f>
        <v>71.433599999999998</v>
      </c>
      <c r="W123" s="70">
        <f>IF(ISERROR(VLOOKUP($T$123,'TAR FIN'!$A$1:$O$85,15,0)),0,VLOOKUP($T$123,'TAR FIN'!$A$1:$O$85,15,0))</f>
        <v>0</v>
      </c>
      <c r="X123" s="70">
        <f>IF(ISERROR(VLOOKUP($U$123,'TAR FIN'!$A$1:$O$85,15,0)),0,VLOOKUP($U$123,'TAR FIN'!$A$1:$O$85,15,0))</f>
        <v>0</v>
      </c>
      <c r="Y123" s="70">
        <f ca="1">('TUSD BE'!$AM$10+'TUSD BF'!$AM$10+'TUSD CVA'!$AM$10)*1*(1-0.02)</f>
        <v>79.42015681272045</v>
      </c>
      <c r="Z123" s="70"/>
      <c r="AA123" s="70"/>
      <c r="AB123" s="6">
        <f>$K$123*$V$123</f>
        <v>16143.9936</v>
      </c>
      <c r="AC123" s="6">
        <f>$M$123*$W$123</f>
        <v>0</v>
      </c>
      <c r="AD123" s="6">
        <f>$O$123*$X$123</f>
        <v>0</v>
      </c>
      <c r="AE123" s="6">
        <f ca="1">$K$123*$Y$123</f>
        <v>17948.955439674821</v>
      </c>
      <c r="AF123" s="6">
        <f>$M$123*$Z$123</f>
        <v>0</v>
      </c>
      <c r="AG123" s="6">
        <f>$O$123*$AA$123</f>
        <v>0</v>
      </c>
    </row>
    <row r="124" spans="1:33" ht="11.25" customHeight="1" x14ac:dyDescent="0.3">
      <c r="A124" s="4" t="s">
        <v>21</v>
      </c>
      <c r="B124" s="4" t="s">
        <v>37</v>
      </c>
      <c r="C124" s="4" t="s">
        <v>38</v>
      </c>
      <c r="D124" s="4" t="s">
        <v>44</v>
      </c>
      <c r="E124" s="4" t="s">
        <v>52</v>
      </c>
      <c r="F124" s="4" t="s">
        <v>25</v>
      </c>
      <c r="G124" s="4" t="s">
        <v>25</v>
      </c>
      <c r="H124" s="4" t="s">
        <v>25</v>
      </c>
      <c r="I124" s="5">
        <v>44348</v>
      </c>
      <c r="J124" s="6">
        <v>224</v>
      </c>
      <c r="K124" s="70">
        <v>224</v>
      </c>
      <c r="L124" s="6">
        <v>0</v>
      </c>
      <c r="M124" s="70">
        <v>0</v>
      </c>
      <c r="N124" s="6">
        <v>0</v>
      </c>
      <c r="O124" s="70">
        <v>0</v>
      </c>
      <c r="P124" s="6">
        <v>2</v>
      </c>
      <c r="Q124" s="4" t="s">
        <v>26</v>
      </c>
      <c r="R124" s="4">
        <v>0</v>
      </c>
      <c r="S124" s="6">
        <v>50</v>
      </c>
      <c r="T124" s="6">
        <v>0</v>
      </c>
      <c r="U124" s="6">
        <v>0</v>
      </c>
      <c r="V124" s="70">
        <f>IF(ISERROR(VLOOKUP($S$124,'TAR FIN'!$A$1:$O$85,15,0)),0,VLOOKUP($S$124,'TAR FIN'!$A$1:$O$85,15,0))*(1-0.04)</f>
        <v>71.433599999999998</v>
      </c>
      <c r="W124" s="70">
        <f>IF(ISERROR(VLOOKUP($T$124,'TAR FIN'!$A$1:$O$85,15,0)),0,VLOOKUP($T$124,'TAR FIN'!$A$1:$O$85,15,0))</f>
        <v>0</v>
      </c>
      <c r="X124" s="70">
        <f>IF(ISERROR(VLOOKUP($U$124,'TAR FIN'!$A$1:$O$85,15,0)),0,VLOOKUP($U$124,'TAR FIN'!$A$1:$O$85,15,0))</f>
        <v>0</v>
      </c>
      <c r="Y124" s="70">
        <f ca="1">('TUSD BE'!$AM$10+'TUSD BF'!$AM$10+'TUSD CVA'!$AM$10)*1*(1-0.02)</f>
        <v>79.42015681272045</v>
      </c>
      <c r="Z124" s="70"/>
      <c r="AA124" s="70"/>
      <c r="AB124" s="6">
        <f>$K$124*$V$124</f>
        <v>16001.126399999999</v>
      </c>
      <c r="AC124" s="6">
        <f>$M$124*$W$124</f>
        <v>0</v>
      </c>
      <c r="AD124" s="6">
        <f>$O$124*$X$124</f>
        <v>0</v>
      </c>
      <c r="AE124" s="6">
        <f ca="1">$K$124*$Y$124</f>
        <v>17790.115126049379</v>
      </c>
      <c r="AF124" s="6">
        <f>$M$124*$Z$124</f>
        <v>0</v>
      </c>
      <c r="AG124" s="6">
        <f>$O$124*$AA$124</f>
        <v>0</v>
      </c>
    </row>
    <row r="125" spans="1:33" ht="11.25" customHeight="1" x14ac:dyDescent="0.3">
      <c r="A125" s="4" t="s">
        <v>21</v>
      </c>
      <c r="B125" s="4" t="s">
        <v>37</v>
      </c>
      <c r="C125" s="4" t="s">
        <v>38</v>
      </c>
      <c r="D125" s="4" t="s">
        <v>44</v>
      </c>
      <c r="E125" s="4" t="s">
        <v>52</v>
      </c>
      <c r="F125" s="4" t="s">
        <v>25</v>
      </c>
      <c r="G125" s="4" t="s">
        <v>25</v>
      </c>
      <c r="H125" s="4" t="s">
        <v>25</v>
      </c>
      <c r="I125" s="5">
        <v>44378</v>
      </c>
      <c r="J125" s="6">
        <v>230</v>
      </c>
      <c r="K125" s="70">
        <v>230</v>
      </c>
      <c r="L125" s="6">
        <v>0</v>
      </c>
      <c r="M125" s="70">
        <v>0</v>
      </c>
      <c r="N125" s="6">
        <v>0</v>
      </c>
      <c r="O125" s="70">
        <v>0</v>
      </c>
      <c r="P125" s="6">
        <v>2</v>
      </c>
      <c r="Q125" s="4" t="s">
        <v>26</v>
      </c>
      <c r="R125" s="4">
        <v>0</v>
      </c>
      <c r="S125" s="6">
        <v>50</v>
      </c>
      <c r="T125" s="6">
        <v>0</v>
      </c>
      <c r="U125" s="6">
        <v>0</v>
      </c>
      <c r="V125" s="70">
        <f>IF(ISERROR(VLOOKUP($S$125,'TAR FIN'!$A$1:$O$85,15,0)),0,VLOOKUP($S$125,'TAR FIN'!$A$1:$O$85,15,0))*(1-0.04)</f>
        <v>71.433599999999998</v>
      </c>
      <c r="W125" s="70">
        <f>IF(ISERROR(VLOOKUP($T$125,'TAR FIN'!$A$1:$O$85,15,0)),0,VLOOKUP($T$125,'TAR FIN'!$A$1:$O$85,15,0))</f>
        <v>0</v>
      </c>
      <c r="X125" s="70">
        <f>IF(ISERROR(VLOOKUP($U$125,'TAR FIN'!$A$1:$O$85,15,0)),0,VLOOKUP($U$125,'TAR FIN'!$A$1:$O$85,15,0))</f>
        <v>0</v>
      </c>
      <c r="Y125" s="70">
        <f ca="1">('TUSD BE'!$AM$10+'TUSD BF'!$AM$10+'TUSD CVA'!$AM$10)*1*(1-0.02)</f>
        <v>79.42015681272045</v>
      </c>
      <c r="Z125" s="70"/>
      <c r="AA125" s="70"/>
      <c r="AB125" s="6">
        <f>$K$125*$V$125</f>
        <v>16429.727999999999</v>
      </c>
      <c r="AC125" s="6">
        <f>$M$125*$W$125</f>
        <v>0</v>
      </c>
      <c r="AD125" s="6">
        <f>$O$125*$X$125</f>
        <v>0</v>
      </c>
      <c r="AE125" s="6">
        <f ca="1">$K$125*$Y$125</f>
        <v>18266.636066925705</v>
      </c>
      <c r="AF125" s="6">
        <f>$M$125*$Z$125</f>
        <v>0</v>
      </c>
      <c r="AG125" s="6">
        <f>$O$125*$AA$125</f>
        <v>0</v>
      </c>
    </row>
    <row r="126" spans="1:33" ht="11.25" customHeight="1" x14ac:dyDescent="0.3">
      <c r="A126" s="4" t="s">
        <v>21</v>
      </c>
      <c r="B126" s="4" t="s">
        <v>37</v>
      </c>
      <c r="C126" s="4" t="s">
        <v>38</v>
      </c>
      <c r="D126" s="4" t="s">
        <v>44</v>
      </c>
      <c r="E126" s="4" t="s">
        <v>52</v>
      </c>
      <c r="F126" s="4" t="s">
        <v>25</v>
      </c>
      <c r="G126" s="4" t="s">
        <v>25</v>
      </c>
      <c r="H126" s="4" t="s">
        <v>25</v>
      </c>
      <c r="I126" s="5">
        <v>44409</v>
      </c>
      <c r="J126" s="6">
        <v>272</v>
      </c>
      <c r="K126" s="70">
        <v>272</v>
      </c>
      <c r="L126" s="6">
        <v>0</v>
      </c>
      <c r="M126" s="70">
        <v>0</v>
      </c>
      <c r="N126" s="6">
        <v>0</v>
      </c>
      <c r="O126" s="70">
        <v>0</v>
      </c>
      <c r="P126" s="6">
        <v>2</v>
      </c>
      <c r="Q126" s="4" t="s">
        <v>26</v>
      </c>
      <c r="R126" s="4">
        <v>0</v>
      </c>
      <c r="S126" s="6">
        <v>50</v>
      </c>
      <c r="T126" s="6">
        <v>0</v>
      </c>
      <c r="U126" s="6">
        <v>0</v>
      </c>
      <c r="V126" s="70">
        <f>IF(ISERROR(VLOOKUP($S$126,'TAR FIN'!$A$1:$O$85,15,0)),0,VLOOKUP($S$126,'TAR FIN'!$A$1:$O$85,15,0))*(1-0.04)</f>
        <v>71.433599999999998</v>
      </c>
      <c r="W126" s="70">
        <f>IF(ISERROR(VLOOKUP($T$126,'TAR FIN'!$A$1:$O$85,15,0)),0,VLOOKUP($T$126,'TAR FIN'!$A$1:$O$85,15,0))</f>
        <v>0</v>
      </c>
      <c r="X126" s="70">
        <f>IF(ISERROR(VLOOKUP($U$126,'TAR FIN'!$A$1:$O$85,15,0)),0,VLOOKUP($U$126,'TAR FIN'!$A$1:$O$85,15,0))</f>
        <v>0</v>
      </c>
      <c r="Y126" s="70">
        <f ca="1">('TUSD BE'!$AM$10+'TUSD BF'!$AM$10+'TUSD CVA'!$AM$10)*1*(1-0.02)</f>
        <v>79.42015681272045</v>
      </c>
      <c r="Z126" s="70"/>
      <c r="AA126" s="70"/>
      <c r="AB126" s="6">
        <f>$K$126*$V$126</f>
        <v>19429.939200000001</v>
      </c>
      <c r="AC126" s="6">
        <f>$M$126*$W$126</f>
        <v>0</v>
      </c>
      <c r="AD126" s="6">
        <f>$O$126*$X$126</f>
        <v>0</v>
      </c>
      <c r="AE126" s="6">
        <f ca="1">$K$126*$Y$126</f>
        <v>21602.282653059963</v>
      </c>
      <c r="AF126" s="6">
        <f>$M$126*$Z$126</f>
        <v>0</v>
      </c>
      <c r="AG126" s="6">
        <f>$O$126*$AA$126</f>
        <v>0</v>
      </c>
    </row>
    <row r="127" spans="1:33" ht="11.25" customHeight="1" x14ac:dyDescent="0.3">
      <c r="A127" s="4" t="s">
        <v>21</v>
      </c>
      <c r="B127" s="4" t="s">
        <v>37</v>
      </c>
      <c r="C127" s="4" t="s">
        <v>38</v>
      </c>
      <c r="D127" s="4" t="s">
        <v>44</v>
      </c>
      <c r="E127" s="4" t="s">
        <v>52</v>
      </c>
      <c r="F127" s="4" t="s">
        <v>25</v>
      </c>
      <c r="G127" s="4" t="s">
        <v>25</v>
      </c>
      <c r="H127" s="4" t="s">
        <v>25</v>
      </c>
      <c r="I127" s="5">
        <v>44440</v>
      </c>
      <c r="J127" s="6">
        <v>272</v>
      </c>
      <c r="K127" s="70">
        <v>272</v>
      </c>
      <c r="L127" s="6">
        <v>0</v>
      </c>
      <c r="M127" s="70">
        <v>0</v>
      </c>
      <c r="N127" s="6">
        <v>0</v>
      </c>
      <c r="O127" s="70">
        <v>0</v>
      </c>
      <c r="P127" s="6">
        <v>2</v>
      </c>
      <c r="Q127" s="4" t="s">
        <v>26</v>
      </c>
      <c r="R127" s="4">
        <v>0</v>
      </c>
      <c r="S127" s="6">
        <v>50</v>
      </c>
      <c r="T127" s="6">
        <v>0</v>
      </c>
      <c r="U127" s="6">
        <v>0</v>
      </c>
      <c r="V127" s="70">
        <f>IF(ISERROR(VLOOKUP($S$127,'TAR FIN'!$A$1:$O$85,15,0)),0,VLOOKUP($S$127,'TAR FIN'!$A$1:$O$85,15,0))*(1-0.04)</f>
        <v>71.433599999999998</v>
      </c>
      <c r="W127" s="70">
        <f>IF(ISERROR(VLOOKUP($T$127,'TAR FIN'!$A$1:$O$85,15,0)),0,VLOOKUP($T$127,'TAR FIN'!$A$1:$O$85,15,0))</f>
        <v>0</v>
      </c>
      <c r="X127" s="70">
        <f>IF(ISERROR(VLOOKUP($U$127,'TAR FIN'!$A$1:$O$85,15,0)),0,VLOOKUP($U$127,'TAR FIN'!$A$1:$O$85,15,0))</f>
        <v>0</v>
      </c>
      <c r="Y127" s="70">
        <f ca="1">('TUSD BE'!$AM$10+'TUSD BF'!$AM$10+'TUSD CVA'!$AM$10)*1*(1-0.02)</f>
        <v>79.42015681272045</v>
      </c>
      <c r="Z127" s="70"/>
      <c r="AA127" s="70"/>
      <c r="AB127" s="6">
        <f>$K$127*$V$127</f>
        <v>19429.939200000001</v>
      </c>
      <c r="AC127" s="6">
        <f>$M$127*$W$127</f>
        <v>0</v>
      </c>
      <c r="AD127" s="6">
        <f>$O$127*$X$127</f>
        <v>0</v>
      </c>
      <c r="AE127" s="6">
        <f ca="1">$K$127*$Y$127</f>
        <v>21602.282653059963</v>
      </c>
      <c r="AF127" s="6">
        <f>$M$127*$Z$127</f>
        <v>0</v>
      </c>
      <c r="AG127" s="6">
        <f>$O$127*$AA$127</f>
        <v>0</v>
      </c>
    </row>
    <row r="128" spans="1:33" ht="11.25" customHeight="1" x14ac:dyDescent="0.3">
      <c r="A128" s="4" t="s">
        <v>21</v>
      </c>
      <c r="B128" s="4" t="s">
        <v>37</v>
      </c>
      <c r="C128" s="4" t="s">
        <v>38</v>
      </c>
      <c r="D128" s="4" t="s">
        <v>44</v>
      </c>
      <c r="E128" s="4" t="s">
        <v>52</v>
      </c>
      <c r="F128" s="4" t="s">
        <v>25</v>
      </c>
      <c r="G128" s="4" t="s">
        <v>25</v>
      </c>
      <c r="H128" s="4" t="s">
        <v>25</v>
      </c>
      <c r="I128" s="5">
        <v>44470</v>
      </c>
      <c r="J128" s="6">
        <v>269</v>
      </c>
      <c r="K128" s="70">
        <v>269</v>
      </c>
      <c r="L128" s="6">
        <v>0</v>
      </c>
      <c r="M128" s="70">
        <v>0</v>
      </c>
      <c r="N128" s="6">
        <v>0</v>
      </c>
      <c r="O128" s="70">
        <v>0</v>
      </c>
      <c r="P128" s="6">
        <v>2</v>
      </c>
      <c r="Q128" s="4" t="s">
        <v>26</v>
      </c>
      <c r="R128" s="4">
        <v>0</v>
      </c>
      <c r="S128" s="6">
        <v>50</v>
      </c>
      <c r="T128" s="6">
        <v>0</v>
      </c>
      <c r="U128" s="6">
        <v>0</v>
      </c>
      <c r="V128" s="70">
        <f>IF(ISERROR(VLOOKUP($S$128,'TAR FIN'!$A$1:$O$85,15,0)),0,VLOOKUP($S$128,'TAR FIN'!$A$1:$O$85,15,0))*(1-0.04)</f>
        <v>71.433599999999998</v>
      </c>
      <c r="W128" s="70">
        <f>IF(ISERROR(VLOOKUP($T$128,'TAR FIN'!$A$1:$O$85,15,0)),0,VLOOKUP($T$128,'TAR FIN'!$A$1:$O$85,15,0))</f>
        <v>0</v>
      </c>
      <c r="X128" s="70">
        <f>IF(ISERROR(VLOOKUP($U$128,'TAR FIN'!$A$1:$O$85,15,0)),0,VLOOKUP($U$128,'TAR FIN'!$A$1:$O$85,15,0))</f>
        <v>0</v>
      </c>
      <c r="Y128" s="70">
        <f ca="1">('TUSD BE'!$AM$10+'TUSD BF'!$AM$10+'TUSD CVA'!$AM$10)*1*(1-0.02)</f>
        <v>79.42015681272045</v>
      </c>
      <c r="Z128" s="70"/>
      <c r="AA128" s="70"/>
      <c r="AB128" s="6">
        <f>$K$128*$V$128</f>
        <v>19215.6384</v>
      </c>
      <c r="AC128" s="6">
        <f>$M$128*$W$128</f>
        <v>0</v>
      </c>
      <c r="AD128" s="6">
        <f>$O$128*$X$128</f>
        <v>0</v>
      </c>
      <c r="AE128" s="6">
        <f ca="1">$K$128*$Y$128</f>
        <v>21364.0221826218</v>
      </c>
      <c r="AF128" s="6">
        <f>$M$128*$Z$128</f>
        <v>0</v>
      </c>
      <c r="AG128" s="6">
        <f>$O$128*$AA$128</f>
        <v>0</v>
      </c>
    </row>
    <row r="129" spans="1:33" ht="11.25" customHeight="1" x14ac:dyDescent="0.3">
      <c r="A129" s="4" t="s">
        <v>21</v>
      </c>
      <c r="B129" s="4" t="s">
        <v>37</v>
      </c>
      <c r="C129" s="4" t="s">
        <v>38</v>
      </c>
      <c r="D129" s="4" t="s">
        <v>44</v>
      </c>
      <c r="E129" s="4" t="s">
        <v>52</v>
      </c>
      <c r="F129" s="4" t="s">
        <v>25</v>
      </c>
      <c r="G129" s="4" t="s">
        <v>25</v>
      </c>
      <c r="H129" s="4" t="s">
        <v>25</v>
      </c>
      <c r="I129" s="5">
        <v>44501</v>
      </c>
      <c r="J129" s="6">
        <v>273</v>
      </c>
      <c r="K129" s="70">
        <v>273</v>
      </c>
      <c r="L129" s="6">
        <v>0</v>
      </c>
      <c r="M129" s="70">
        <v>0</v>
      </c>
      <c r="N129" s="6">
        <v>0</v>
      </c>
      <c r="O129" s="70">
        <v>0</v>
      </c>
      <c r="P129" s="6">
        <v>2</v>
      </c>
      <c r="Q129" s="4" t="s">
        <v>26</v>
      </c>
      <c r="R129" s="4">
        <v>0</v>
      </c>
      <c r="S129" s="6">
        <v>50</v>
      </c>
      <c r="T129" s="6">
        <v>0</v>
      </c>
      <c r="U129" s="6">
        <v>0</v>
      </c>
      <c r="V129" s="70">
        <f>IF(ISERROR(VLOOKUP($S$129,'TAR FIN'!$A$1:$O$85,15,0)),0,VLOOKUP($S$129,'TAR FIN'!$A$1:$O$85,15,0))*(1-0.04)</f>
        <v>71.433599999999998</v>
      </c>
      <c r="W129" s="70">
        <f>IF(ISERROR(VLOOKUP($T$129,'TAR FIN'!$A$1:$O$85,15,0)),0,VLOOKUP($T$129,'TAR FIN'!$A$1:$O$85,15,0))</f>
        <v>0</v>
      </c>
      <c r="X129" s="70">
        <f>IF(ISERROR(VLOOKUP($U$129,'TAR FIN'!$A$1:$O$85,15,0)),0,VLOOKUP($U$129,'TAR FIN'!$A$1:$O$85,15,0))</f>
        <v>0</v>
      </c>
      <c r="Y129" s="70">
        <f ca="1">('TUSD BE'!$AM$10+'TUSD BF'!$AM$10+'TUSD CVA'!$AM$10)*1*(1-0.02)</f>
        <v>79.42015681272045</v>
      </c>
      <c r="Z129" s="70"/>
      <c r="AA129" s="70"/>
      <c r="AB129" s="6">
        <f>$K$129*$V$129</f>
        <v>19501.372800000001</v>
      </c>
      <c r="AC129" s="6">
        <f>$M$129*$W$129</f>
        <v>0</v>
      </c>
      <c r="AD129" s="6">
        <f>$O$129*$X$129</f>
        <v>0</v>
      </c>
      <c r="AE129" s="6">
        <f ca="1">$K$129*$Y$129</f>
        <v>21681.702809872684</v>
      </c>
      <c r="AF129" s="6">
        <f>$M$129*$Z$129</f>
        <v>0</v>
      </c>
      <c r="AG129" s="6">
        <f>$O$129*$AA$129</f>
        <v>0</v>
      </c>
    </row>
    <row r="130" spans="1:33" ht="11.25" customHeight="1" x14ac:dyDescent="0.3">
      <c r="A130" s="4" t="s">
        <v>21</v>
      </c>
      <c r="B130" s="4" t="s">
        <v>37</v>
      </c>
      <c r="C130" s="4" t="s">
        <v>38</v>
      </c>
      <c r="D130" s="4" t="s">
        <v>44</v>
      </c>
      <c r="E130" s="4" t="s">
        <v>52</v>
      </c>
      <c r="F130" s="4" t="s">
        <v>25</v>
      </c>
      <c r="G130" s="4" t="s">
        <v>25</v>
      </c>
      <c r="H130" s="4" t="s">
        <v>25</v>
      </c>
      <c r="I130" s="5">
        <v>44531</v>
      </c>
      <c r="J130" s="6">
        <v>269</v>
      </c>
      <c r="K130" s="70">
        <v>269</v>
      </c>
      <c r="L130" s="6">
        <v>0</v>
      </c>
      <c r="M130" s="70">
        <v>0</v>
      </c>
      <c r="N130" s="6">
        <v>0</v>
      </c>
      <c r="O130" s="70">
        <v>0</v>
      </c>
      <c r="P130" s="6">
        <v>2</v>
      </c>
      <c r="Q130" s="4" t="s">
        <v>26</v>
      </c>
      <c r="R130" s="4">
        <v>0</v>
      </c>
      <c r="S130" s="6">
        <v>50</v>
      </c>
      <c r="T130" s="6">
        <v>0</v>
      </c>
      <c r="U130" s="6">
        <v>0</v>
      </c>
      <c r="V130" s="70">
        <f>IF(ISERROR(VLOOKUP($S$130,'TAR FIN'!$A$1:$O$85,15,0)),0,VLOOKUP($S$130,'TAR FIN'!$A$1:$O$85,15,0))*(1-0.04)</f>
        <v>71.433599999999998</v>
      </c>
      <c r="W130" s="70">
        <f>IF(ISERROR(VLOOKUP($T$130,'TAR FIN'!$A$1:$O$85,15,0)),0,VLOOKUP($T$130,'TAR FIN'!$A$1:$O$85,15,0))</f>
        <v>0</v>
      </c>
      <c r="X130" s="70">
        <f>IF(ISERROR(VLOOKUP($U$130,'TAR FIN'!$A$1:$O$85,15,0)),0,VLOOKUP($U$130,'TAR FIN'!$A$1:$O$85,15,0))</f>
        <v>0</v>
      </c>
      <c r="Y130" s="70">
        <f ca="1">('TUSD BE'!$AM$10+'TUSD BF'!$AM$10+'TUSD CVA'!$AM$10)*1*(1-0.02)</f>
        <v>79.42015681272045</v>
      </c>
      <c r="Z130" s="70"/>
      <c r="AA130" s="70"/>
      <c r="AB130" s="6">
        <f>$K$130*$V$130</f>
        <v>19215.6384</v>
      </c>
      <c r="AC130" s="6">
        <f>$M$130*$W$130</f>
        <v>0</v>
      </c>
      <c r="AD130" s="6">
        <f>$O$130*$X$130</f>
        <v>0</v>
      </c>
      <c r="AE130" s="6">
        <f ca="1">$K$130*$Y$130</f>
        <v>21364.0221826218</v>
      </c>
      <c r="AF130" s="6">
        <f>$M$130*$Z$130</f>
        <v>0</v>
      </c>
      <c r="AG130" s="6">
        <f>$O$130*$AA$130</f>
        <v>0</v>
      </c>
    </row>
    <row r="131" spans="1:33" ht="11.25" customHeight="1" x14ac:dyDescent="0.3">
      <c r="A131" s="4" t="s">
        <v>21</v>
      </c>
      <c r="B131" s="4" t="s">
        <v>37</v>
      </c>
      <c r="C131" s="4" t="s">
        <v>38</v>
      </c>
      <c r="D131" s="4" t="s">
        <v>44</v>
      </c>
      <c r="E131" s="4" t="s">
        <v>52</v>
      </c>
      <c r="F131" s="4" t="s">
        <v>25</v>
      </c>
      <c r="G131" s="4" t="s">
        <v>25</v>
      </c>
      <c r="H131" s="4" t="s">
        <v>25</v>
      </c>
      <c r="I131" s="5">
        <v>44562</v>
      </c>
      <c r="J131" s="6">
        <v>269</v>
      </c>
      <c r="K131" s="70">
        <v>269</v>
      </c>
      <c r="L131" s="6">
        <v>0</v>
      </c>
      <c r="M131" s="70">
        <v>0</v>
      </c>
      <c r="N131" s="6">
        <v>0</v>
      </c>
      <c r="O131" s="70">
        <v>0</v>
      </c>
      <c r="P131" s="6">
        <v>2</v>
      </c>
      <c r="Q131" s="4" t="s">
        <v>26</v>
      </c>
      <c r="R131" s="4">
        <v>0</v>
      </c>
      <c r="S131" s="6">
        <v>50</v>
      </c>
      <c r="T131" s="6">
        <v>0</v>
      </c>
      <c r="U131" s="6">
        <v>0</v>
      </c>
      <c r="V131" s="70">
        <f>IF(ISERROR(VLOOKUP($S$131,'TAR FIN'!$A$1:$O$85,15,0)),0,VLOOKUP($S$131,'TAR FIN'!$A$1:$O$85,15,0))*(1-0.04)</f>
        <v>71.433599999999998</v>
      </c>
      <c r="W131" s="70">
        <f>IF(ISERROR(VLOOKUP($T$131,'TAR FIN'!$A$1:$O$85,15,0)),0,VLOOKUP($T$131,'TAR FIN'!$A$1:$O$85,15,0))</f>
        <v>0</v>
      </c>
      <c r="X131" s="70">
        <f>IF(ISERROR(VLOOKUP($U$131,'TAR FIN'!$A$1:$O$85,15,0)),0,VLOOKUP($U$131,'TAR FIN'!$A$1:$O$85,15,0))</f>
        <v>0</v>
      </c>
      <c r="Y131" s="70">
        <f ca="1">('TUSD BE'!$AM$10+'TUSD BF'!$AM$10+'TUSD CVA'!$AM$10)*1*(1-0.02)</f>
        <v>79.42015681272045</v>
      </c>
      <c r="Z131" s="70"/>
      <c r="AA131" s="70"/>
      <c r="AB131" s="6">
        <f>$K$131*$V$131</f>
        <v>19215.6384</v>
      </c>
      <c r="AC131" s="6">
        <f>$M$131*$W$131</f>
        <v>0</v>
      </c>
      <c r="AD131" s="6">
        <f>$O$131*$X$131</f>
        <v>0</v>
      </c>
      <c r="AE131" s="6">
        <f ca="1">$K$131*$Y$131</f>
        <v>21364.0221826218</v>
      </c>
      <c r="AF131" s="6">
        <f>$M$131*$Z$131</f>
        <v>0</v>
      </c>
      <c r="AG131" s="6">
        <f>$O$131*$AA$131</f>
        <v>0</v>
      </c>
    </row>
    <row r="132" spans="1:33" ht="11.25" customHeight="1" x14ac:dyDescent="0.3">
      <c r="A132" s="4" t="s">
        <v>21</v>
      </c>
      <c r="B132" s="4" t="s">
        <v>37</v>
      </c>
      <c r="C132" s="4" t="s">
        <v>38</v>
      </c>
      <c r="D132" s="4" t="s">
        <v>44</v>
      </c>
      <c r="E132" s="4" t="s">
        <v>52</v>
      </c>
      <c r="F132" s="4" t="s">
        <v>25</v>
      </c>
      <c r="G132" s="4" t="s">
        <v>25</v>
      </c>
      <c r="H132" s="4" t="s">
        <v>25</v>
      </c>
      <c r="I132" s="5">
        <v>44593</v>
      </c>
      <c r="J132" s="6">
        <v>269</v>
      </c>
      <c r="K132" s="70">
        <v>269</v>
      </c>
      <c r="L132" s="6">
        <v>0</v>
      </c>
      <c r="M132" s="70">
        <v>0</v>
      </c>
      <c r="N132" s="6">
        <v>0</v>
      </c>
      <c r="O132" s="70">
        <v>0</v>
      </c>
      <c r="P132" s="6">
        <v>2</v>
      </c>
      <c r="Q132" s="4" t="s">
        <v>26</v>
      </c>
      <c r="R132" s="4">
        <v>0</v>
      </c>
      <c r="S132" s="6">
        <v>50</v>
      </c>
      <c r="T132" s="6">
        <v>0</v>
      </c>
      <c r="U132" s="6">
        <v>0</v>
      </c>
      <c r="V132" s="70">
        <f>IF(ISERROR(VLOOKUP($S$132,'TAR FIN'!$A$1:$O$85,15,0)),0,VLOOKUP($S$132,'TAR FIN'!$A$1:$O$85,15,0))*(1-0.04)</f>
        <v>71.433599999999998</v>
      </c>
      <c r="W132" s="70">
        <f>IF(ISERROR(VLOOKUP($T$132,'TAR FIN'!$A$1:$O$85,15,0)),0,VLOOKUP($T$132,'TAR FIN'!$A$1:$O$85,15,0))</f>
        <v>0</v>
      </c>
      <c r="X132" s="70">
        <f>IF(ISERROR(VLOOKUP($U$132,'TAR FIN'!$A$1:$O$85,15,0)),0,VLOOKUP($U$132,'TAR FIN'!$A$1:$O$85,15,0))</f>
        <v>0</v>
      </c>
      <c r="Y132" s="70">
        <f ca="1">('TUSD BE'!$AM$10+'TUSD BF'!$AM$10+'TUSD CVA'!$AM$10)*1*(1-0.02)</f>
        <v>79.42015681272045</v>
      </c>
      <c r="Z132" s="70"/>
      <c r="AA132" s="70"/>
      <c r="AB132" s="6">
        <f>$K$132*$V$132</f>
        <v>19215.6384</v>
      </c>
      <c r="AC132" s="6">
        <f>$M$132*$W$132</f>
        <v>0</v>
      </c>
      <c r="AD132" s="6">
        <f>$O$132*$X$132</f>
        <v>0</v>
      </c>
      <c r="AE132" s="6">
        <f ca="1">$K$132*$Y$132</f>
        <v>21364.0221826218</v>
      </c>
      <c r="AF132" s="6">
        <f>$M$132*$Z$132</f>
        <v>0</v>
      </c>
      <c r="AG132" s="6">
        <f>$O$132*$AA$132</f>
        <v>0</v>
      </c>
    </row>
    <row r="133" spans="1:33" ht="11.25" customHeight="1" x14ac:dyDescent="0.3">
      <c r="A133" s="4" t="s">
        <v>21</v>
      </c>
      <c r="B133" s="4" t="s">
        <v>37</v>
      </c>
      <c r="C133" s="4" t="s">
        <v>38</v>
      </c>
      <c r="D133" s="4" t="s">
        <v>44</v>
      </c>
      <c r="E133" s="4" t="s">
        <v>52</v>
      </c>
      <c r="F133" s="4" t="s">
        <v>25</v>
      </c>
      <c r="G133" s="4" t="s">
        <v>25</v>
      </c>
      <c r="H133" s="4" t="s">
        <v>25</v>
      </c>
      <c r="I133" s="5">
        <v>44621</v>
      </c>
      <c r="J133" s="6">
        <v>274</v>
      </c>
      <c r="K133" s="70">
        <v>274</v>
      </c>
      <c r="L133" s="6">
        <v>0</v>
      </c>
      <c r="M133" s="70">
        <v>0</v>
      </c>
      <c r="N133" s="6">
        <v>0</v>
      </c>
      <c r="O133" s="70">
        <v>0</v>
      </c>
      <c r="P133" s="6">
        <v>2</v>
      </c>
      <c r="Q133" s="4" t="s">
        <v>26</v>
      </c>
      <c r="R133" s="4">
        <v>0</v>
      </c>
      <c r="S133" s="6">
        <v>50</v>
      </c>
      <c r="T133" s="6">
        <v>0</v>
      </c>
      <c r="U133" s="6">
        <v>0</v>
      </c>
      <c r="V133" s="70">
        <f>IF(ISERROR(VLOOKUP($S$133,'TAR FIN'!$A$1:$O$85,15,0)),0,VLOOKUP($S$133,'TAR FIN'!$A$1:$O$85,15,0))*(1-0.04)</f>
        <v>71.433599999999998</v>
      </c>
      <c r="W133" s="70">
        <f>IF(ISERROR(VLOOKUP($T$133,'TAR FIN'!$A$1:$O$85,15,0)),0,VLOOKUP($T$133,'TAR FIN'!$A$1:$O$85,15,0))</f>
        <v>0</v>
      </c>
      <c r="X133" s="70">
        <f>IF(ISERROR(VLOOKUP($U$133,'TAR FIN'!$A$1:$O$85,15,0)),0,VLOOKUP($U$133,'TAR FIN'!$A$1:$O$85,15,0))</f>
        <v>0</v>
      </c>
      <c r="Y133" s="70">
        <f ca="1">('TUSD BE'!$AM$10+'TUSD BF'!$AM$10+'TUSD CVA'!$AM$10)*1*(1-0.02)</f>
        <v>79.42015681272045</v>
      </c>
      <c r="Z133" s="70"/>
      <c r="AA133" s="70"/>
      <c r="AB133" s="6">
        <f>$K$133*$V$133</f>
        <v>19572.806400000001</v>
      </c>
      <c r="AC133" s="6">
        <f>$M$133*$W$133</f>
        <v>0</v>
      </c>
      <c r="AD133" s="6">
        <f>$O$133*$X$133</f>
        <v>0</v>
      </c>
      <c r="AE133" s="6">
        <f ca="1">$K$133*$Y$133</f>
        <v>21761.122966685401</v>
      </c>
      <c r="AF133" s="6">
        <f>$M$133*$Z$133</f>
        <v>0</v>
      </c>
      <c r="AG133" s="6">
        <f>$O$133*$AA$133</f>
        <v>0</v>
      </c>
    </row>
    <row r="134" spans="1:33" ht="11.25" customHeight="1" x14ac:dyDescent="0.3">
      <c r="A134" s="4" t="s">
        <v>21</v>
      </c>
      <c r="B134" s="4" t="s">
        <v>37</v>
      </c>
      <c r="C134" s="4" t="s">
        <v>38</v>
      </c>
      <c r="D134" s="4" t="s">
        <v>44</v>
      </c>
      <c r="E134" s="4" t="s">
        <v>52</v>
      </c>
      <c r="F134" s="4" t="s">
        <v>25</v>
      </c>
      <c r="G134" s="4" t="s">
        <v>25</v>
      </c>
      <c r="H134" s="4" t="s">
        <v>39</v>
      </c>
      <c r="I134" s="5">
        <v>44287</v>
      </c>
      <c r="J134" s="6">
        <v>0</v>
      </c>
      <c r="K134" s="70">
        <v>0</v>
      </c>
      <c r="L134" s="6">
        <v>0.34200000000000003</v>
      </c>
      <c r="M134" s="70">
        <v>0.34200000000000003</v>
      </c>
      <c r="N134" s="6">
        <v>0.34200000000000003</v>
      </c>
      <c r="O134" s="70">
        <v>0.34200000000000003</v>
      </c>
      <c r="P134" s="6">
        <v>0</v>
      </c>
      <c r="Q134" s="4" t="s">
        <v>26</v>
      </c>
      <c r="R134" s="4">
        <v>0</v>
      </c>
      <c r="S134" s="6">
        <v>0</v>
      </c>
      <c r="T134" s="6">
        <v>1</v>
      </c>
      <c r="U134" s="6">
        <v>73</v>
      </c>
      <c r="V134" s="70">
        <f>IF(ISERROR(VLOOKUP($S$134,'TAR FIN'!$A$1:$O$85,15,0)),0,VLOOKUP($S$134,'TAR FIN'!$A$1:$O$85,15,0))</f>
        <v>0</v>
      </c>
      <c r="W134" s="70">
        <f>IF(ISERROR(VLOOKUP($T$134,'TAR FIN'!$A$1:$O$85,15,0)),0,VLOOKUP($T$134,'TAR FIN'!$A$1:$O$85,15,0))*(1-0.04)</f>
        <v>4406.0928000000004</v>
      </c>
      <c r="X134" s="70">
        <f>IF(ISERROR(VLOOKUP($U$134,'TAR FIN'!$A$1:$O$85,15,0)),0,VLOOKUP($U$134,'TAR FIN'!$A$1:$O$85,15,0))*(1-0.04)</f>
        <v>230.67839999999998</v>
      </c>
      <c r="Y134" s="70"/>
      <c r="Z134" s="70">
        <f ca="1">('TUSD BE'!$AM$11+'TUSD BF'!$AM$11+'TUSD CVA'!$AM$11)*1*(1-0.02)</f>
        <v>4946.5064285219523</v>
      </c>
      <c r="AA134" s="70">
        <f>('TE BE'!$AA$5+'TE BF'!$AA$5+'TE CVA'!$AA$5)*1*(1-0.02)</f>
        <v>324.11624589306081</v>
      </c>
      <c r="AB134" s="6">
        <f>$K$134*$V$134</f>
        <v>0</v>
      </c>
      <c r="AC134" s="6">
        <f>$M$134*$W$134</f>
        <v>1506.8837376000001</v>
      </c>
      <c r="AD134" s="6">
        <f>$O$134*$X$134</f>
        <v>78.892012800000003</v>
      </c>
      <c r="AE134" s="6">
        <f>$K$134*$Y$134</f>
        <v>0</v>
      </c>
      <c r="AF134" s="6">
        <f ca="1">$M$134*$Z$134</f>
        <v>1691.7051985545079</v>
      </c>
      <c r="AG134" s="6">
        <f>$O$134*$AA$134</f>
        <v>110.8477560954268</v>
      </c>
    </row>
    <row r="135" spans="1:33" ht="11.25" customHeight="1" x14ac:dyDescent="0.3">
      <c r="A135" s="4" t="s">
        <v>21</v>
      </c>
      <c r="B135" s="4" t="s">
        <v>37</v>
      </c>
      <c r="C135" s="4" t="s">
        <v>38</v>
      </c>
      <c r="D135" s="4" t="s">
        <v>44</v>
      </c>
      <c r="E135" s="4" t="s">
        <v>52</v>
      </c>
      <c r="F135" s="4" t="s">
        <v>25</v>
      </c>
      <c r="G135" s="4" t="s">
        <v>25</v>
      </c>
      <c r="H135" s="4" t="s">
        <v>39</v>
      </c>
      <c r="I135" s="5">
        <v>44317</v>
      </c>
      <c r="J135" s="6">
        <v>0</v>
      </c>
      <c r="K135" s="70">
        <v>0</v>
      </c>
      <c r="L135" s="6">
        <v>0.33</v>
      </c>
      <c r="M135" s="70">
        <v>0.33</v>
      </c>
      <c r="N135" s="6">
        <v>0.33</v>
      </c>
      <c r="O135" s="70">
        <v>0.33</v>
      </c>
      <c r="P135" s="6">
        <v>0</v>
      </c>
      <c r="Q135" s="4" t="s">
        <v>26</v>
      </c>
      <c r="R135" s="4">
        <v>0</v>
      </c>
      <c r="S135" s="6">
        <v>0</v>
      </c>
      <c r="T135" s="6">
        <v>1</v>
      </c>
      <c r="U135" s="6">
        <v>73</v>
      </c>
      <c r="V135" s="70">
        <f>IF(ISERROR(VLOOKUP($S$135,'TAR FIN'!$A$1:$O$85,15,0)),0,VLOOKUP($S$135,'TAR FIN'!$A$1:$O$85,15,0))</f>
        <v>0</v>
      </c>
      <c r="W135" s="70">
        <f>IF(ISERROR(VLOOKUP($T$135,'TAR FIN'!$A$1:$O$85,15,0)),0,VLOOKUP($T$135,'TAR FIN'!$A$1:$O$85,15,0))*(1-0.04)</f>
        <v>4406.0928000000004</v>
      </c>
      <c r="X135" s="70">
        <f>IF(ISERROR(VLOOKUP($U$135,'TAR FIN'!$A$1:$O$85,15,0)),0,VLOOKUP($U$135,'TAR FIN'!$A$1:$O$85,15,0))*(1-0.04)</f>
        <v>230.67839999999998</v>
      </c>
      <c r="Y135" s="70"/>
      <c r="Z135" s="70">
        <f ca="1">('TUSD BE'!$AM$11+'TUSD BF'!$AM$11+'TUSD CVA'!$AM$11)*1*(1-0.02)</f>
        <v>4946.5064285219523</v>
      </c>
      <c r="AA135" s="70">
        <f>('TE BE'!$AA$5+'TE BF'!$AA$5+'TE CVA'!$AA$5)*1*(1-0.02)</f>
        <v>324.11624589306081</v>
      </c>
      <c r="AB135" s="6">
        <f>$K$135*$V$135</f>
        <v>0</v>
      </c>
      <c r="AC135" s="6">
        <f>$M$135*$W$135</f>
        <v>1454.0106240000002</v>
      </c>
      <c r="AD135" s="6">
        <f>$O$135*$X$135</f>
        <v>76.123871999999992</v>
      </c>
      <c r="AE135" s="6">
        <f>$K$135*$Y$135</f>
        <v>0</v>
      </c>
      <c r="AF135" s="6">
        <f ca="1">$M$135*$Z$135</f>
        <v>1632.3471214122444</v>
      </c>
      <c r="AG135" s="6">
        <f>$O$135*$AA$135</f>
        <v>106.95836114471007</v>
      </c>
    </row>
    <row r="136" spans="1:33" ht="11.25" customHeight="1" x14ac:dyDescent="0.3">
      <c r="A136" s="4" t="s">
        <v>21</v>
      </c>
      <c r="B136" s="4" t="s">
        <v>37</v>
      </c>
      <c r="C136" s="4" t="s">
        <v>38</v>
      </c>
      <c r="D136" s="4" t="s">
        <v>44</v>
      </c>
      <c r="E136" s="4" t="s">
        <v>52</v>
      </c>
      <c r="F136" s="4" t="s">
        <v>25</v>
      </c>
      <c r="G136" s="4" t="s">
        <v>25</v>
      </c>
      <c r="H136" s="4" t="s">
        <v>39</v>
      </c>
      <c r="I136" s="5">
        <v>44348</v>
      </c>
      <c r="J136" s="6">
        <v>0</v>
      </c>
      <c r="K136" s="70">
        <v>0</v>
      </c>
      <c r="L136" s="6">
        <v>0.375</v>
      </c>
      <c r="M136" s="70">
        <v>0.375</v>
      </c>
      <c r="N136" s="6">
        <v>0.375</v>
      </c>
      <c r="O136" s="70">
        <v>0.375</v>
      </c>
      <c r="P136" s="6">
        <v>0</v>
      </c>
      <c r="Q136" s="4" t="s">
        <v>26</v>
      </c>
      <c r="R136" s="4">
        <v>0</v>
      </c>
      <c r="S136" s="6">
        <v>0</v>
      </c>
      <c r="T136" s="6">
        <v>1</v>
      </c>
      <c r="U136" s="6">
        <v>73</v>
      </c>
      <c r="V136" s="70">
        <f>IF(ISERROR(VLOOKUP($S$136,'TAR FIN'!$A$1:$O$85,15,0)),0,VLOOKUP($S$136,'TAR FIN'!$A$1:$O$85,15,0))</f>
        <v>0</v>
      </c>
      <c r="W136" s="70">
        <f>IF(ISERROR(VLOOKUP($T$136,'TAR FIN'!$A$1:$O$85,15,0)),0,VLOOKUP($T$136,'TAR FIN'!$A$1:$O$85,15,0))*(1-0.04)</f>
        <v>4406.0928000000004</v>
      </c>
      <c r="X136" s="70">
        <f>IF(ISERROR(VLOOKUP($U$136,'TAR FIN'!$A$1:$O$85,15,0)),0,VLOOKUP($U$136,'TAR FIN'!$A$1:$O$85,15,0))*(1-0.04)</f>
        <v>230.67839999999998</v>
      </c>
      <c r="Y136" s="70"/>
      <c r="Z136" s="70">
        <f ca="1">('TUSD BE'!$AM$11+'TUSD BF'!$AM$11+'TUSD CVA'!$AM$11)*1*(1-0.02)</f>
        <v>4946.5064285219523</v>
      </c>
      <c r="AA136" s="70">
        <f>('TE BE'!$AA$5+'TE BF'!$AA$5+'TE CVA'!$AA$5)*1*(1-0.02)</f>
        <v>324.11624589306081</v>
      </c>
      <c r="AB136" s="6">
        <f>$K$136*$V$136</f>
        <v>0</v>
      </c>
      <c r="AC136" s="6">
        <f>$M$136*$W$136</f>
        <v>1652.2848000000001</v>
      </c>
      <c r="AD136" s="6">
        <f>$O$136*$X$136</f>
        <v>86.50439999999999</v>
      </c>
      <c r="AE136" s="6">
        <f>$K$136*$Y$136</f>
        <v>0</v>
      </c>
      <c r="AF136" s="6">
        <f ca="1">$M$136*$Z$136</f>
        <v>1854.9399106957321</v>
      </c>
      <c r="AG136" s="6">
        <f>$O$136*$AA$136</f>
        <v>121.54359220989781</v>
      </c>
    </row>
    <row r="137" spans="1:33" ht="11.25" customHeight="1" x14ac:dyDescent="0.3">
      <c r="A137" s="4" t="s">
        <v>21</v>
      </c>
      <c r="B137" s="4" t="s">
        <v>37</v>
      </c>
      <c r="C137" s="4" t="s">
        <v>38</v>
      </c>
      <c r="D137" s="4" t="s">
        <v>44</v>
      </c>
      <c r="E137" s="4" t="s">
        <v>52</v>
      </c>
      <c r="F137" s="4" t="s">
        <v>25</v>
      </c>
      <c r="G137" s="4" t="s">
        <v>25</v>
      </c>
      <c r="H137" s="4" t="s">
        <v>39</v>
      </c>
      <c r="I137" s="5">
        <v>44378</v>
      </c>
      <c r="J137" s="6">
        <v>0</v>
      </c>
      <c r="K137" s="70">
        <v>0</v>
      </c>
      <c r="L137" s="6">
        <v>0.42399999999999999</v>
      </c>
      <c r="M137" s="70">
        <v>0.42399999999999999</v>
      </c>
      <c r="N137" s="6">
        <v>0.42399999999999999</v>
      </c>
      <c r="O137" s="70">
        <v>0.42399999999999999</v>
      </c>
      <c r="P137" s="6">
        <v>0</v>
      </c>
      <c r="Q137" s="4" t="s">
        <v>26</v>
      </c>
      <c r="R137" s="4">
        <v>0</v>
      </c>
      <c r="S137" s="6">
        <v>0</v>
      </c>
      <c r="T137" s="6">
        <v>1</v>
      </c>
      <c r="U137" s="6">
        <v>73</v>
      </c>
      <c r="V137" s="70">
        <f>IF(ISERROR(VLOOKUP($S$137,'TAR FIN'!$A$1:$O$85,15,0)),0,VLOOKUP($S$137,'TAR FIN'!$A$1:$O$85,15,0))</f>
        <v>0</v>
      </c>
      <c r="W137" s="70">
        <f>IF(ISERROR(VLOOKUP($T$137,'TAR FIN'!$A$1:$O$85,15,0)),0,VLOOKUP($T$137,'TAR FIN'!$A$1:$O$85,15,0))*(1-0.04)</f>
        <v>4406.0928000000004</v>
      </c>
      <c r="X137" s="70">
        <f>IF(ISERROR(VLOOKUP($U$137,'TAR FIN'!$A$1:$O$85,15,0)),0,VLOOKUP($U$137,'TAR FIN'!$A$1:$O$85,15,0))*(1-0.04)</f>
        <v>230.67839999999998</v>
      </c>
      <c r="Y137" s="70"/>
      <c r="Z137" s="70">
        <f ca="1">('TUSD BE'!$AM$11+'TUSD BF'!$AM$11+'TUSD CVA'!$AM$11)*1*(1-0.02)</f>
        <v>4946.5064285219523</v>
      </c>
      <c r="AA137" s="70">
        <f>('TE BE'!$AA$5+'TE BF'!$AA$5+'TE CVA'!$AA$5)*1*(1-0.02)</f>
        <v>324.11624589306081</v>
      </c>
      <c r="AB137" s="6">
        <f>$K$137*$V$137</f>
        <v>0</v>
      </c>
      <c r="AC137" s="6">
        <f>$M$137*$W$137</f>
        <v>1868.1833472000001</v>
      </c>
      <c r="AD137" s="6">
        <f>$O$137*$X$137</f>
        <v>97.807641599999997</v>
      </c>
      <c r="AE137" s="6">
        <f>$K$137*$Y$137</f>
        <v>0</v>
      </c>
      <c r="AF137" s="6">
        <f ca="1">$M$137*$Z$137</f>
        <v>2097.3187256933079</v>
      </c>
      <c r="AG137" s="6">
        <f>$O$137*$AA$137</f>
        <v>137.42528825865779</v>
      </c>
    </row>
    <row r="138" spans="1:33" ht="11.25" customHeight="1" x14ac:dyDescent="0.3">
      <c r="A138" s="4" t="s">
        <v>21</v>
      </c>
      <c r="B138" s="4" t="s">
        <v>37</v>
      </c>
      <c r="C138" s="4" t="s">
        <v>38</v>
      </c>
      <c r="D138" s="4" t="s">
        <v>44</v>
      </c>
      <c r="E138" s="4" t="s">
        <v>52</v>
      </c>
      <c r="F138" s="4" t="s">
        <v>25</v>
      </c>
      <c r="G138" s="4" t="s">
        <v>25</v>
      </c>
      <c r="H138" s="4" t="s">
        <v>39</v>
      </c>
      <c r="I138" s="5">
        <v>44409</v>
      </c>
      <c r="J138" s="6">
        <v>0</v>
      </c>
      <c r="K138" s="70">
        <v>0</v>
      </c>
      <c r="L138" s="6">
        <v>0.45700000000000002</v>
      </c>
      <c r="M138" s="70">
        <v>0.45700000000000002</v>
      </c>
      <c r="N138" s="6">
        <v>0.45700000000000002</v>
      </c>
      <c r="O138" s="70">
        <v>0.45700000000000002</v>
      </c>
      <c r="P138" s="6">
        <v>0</v>
      </c>
      <c r="Q138" s="4" t="s">
        <v>26</v>
      </c>
      <c r="R138" s="4">
        <v>0</v>
      </c>
      <c r="S138" s="6">
        <v>0</v>
      </c>
      <c r="T138" s="6">
        <v>1</v>
      </c>
      <c r="U138" s="6">
        <v>73</v>
      </c>
      <c r="V138" s="70">
        <f>IF(ISERROR(VLOOKUP($S$138,'TAR FIN'!$A$1:$O$85,15,0)),0,VLOOKUP($S$138,'TAR FIN'!$A$1:$O$85,15,0))</f>
        <v>0</v>
      </c>
      <c r="W138" s="70">
        <f>IF(ISERROR(VLOOKUP($T$138,'TAR FIN'!$A$1:$O$85,15,0)),0,VLOOKUP($T$138,'TAR FIN'!$A$1:$O$85,15,0))*(1-0.04)</f>
        <v>4406.0928000000004</v>
      </c>
      <c r="X138" s="70">
        <f>IF(ISERROR(VLOOKUP($U$138,'TAR FIN'!$A$1:$O$85,15,0)),0,VLOOKUP($U$138,'TAR FIN'!$A$1:$O$85,15,0))*(1-0.04)</f>
        <v>230.67839999999998</v>
      </c>
      <c r="Y138" s="70"/>
      <c r="Z138" s="70">
        <f ca="1">('TUSD BE'!$AM$11+'TUSD BF'!$AM$11+'TUSD CVA'!$AM$11)*1*(1-0.02)</f>
        <v>4946.5064285219523</v>
      </c>
      <c r="AA138" s="70">
        <f>('TE BE'!$AA$5+'TE BF'!$AA$5+'TE CVA'!$AA$5)*1*(1-0.02)</f>
        <v>324.11624589306081</v>
      </c>
      <c r="AB138" s="6">
        <f>$K$138*$V$138</f>
        <v>0</v>
      </c>
      <c r="AC138" s="6">
        <f>$M$138*$W$138</f>
        <v>2013.5844096000003</v>
      </c>
      <c r="AD138" s="6">
        <f>$O$138*$X$138</f>
        <v>105.4200288</v>
      </c>
      <c r="AE138" s="6">
        <f>$K$138*$Y$138</f>
        <v>0</v>
      </c>
      <c r="AF138" s="6">
        <f ca="1">$M$138*$Z$138</f>
        <v>2260.5534378345324</v>
      </c>
      <c r="AG138" s="6">
        <f>$O$138*$AA$138</f>
        <v>148.12112437312879</v>
      </c>
    </row>
    <row r="139" spans="1:33" ht="11.25" customHeight="1" x14ac:dyDescent="0.3">
      <c r="A139" s="4" t="s">
        <v>21</v>
      </c>
      <c r="B139" s="4" t="s">
        <v>37</v>
      </c>
      <c r="C139" s="4" t="s">
        <v>38</v>
      </c>
      <c r="D139" s="4" t="s">
        <v>44</v>
      </c>
      <c r="E139" s="4" t="s">
        <v>52</v>
      </c>
      <c r="F139" s="4" t="s">
        <v>25</v>
      </c>
      <c r="G139" s="4" t="s">
        <v>25</v>
      </c>
      <c r="H139" s="4" t="s">
        <v>39</v>
      </c>
      <c r="I139" s="5">
        <v>44440</v>
      </c>
      <c r="J139" s="6">
        <v>0</v>
      </c>
      <c r="K139" s="70">
        <v>0</v>
      </c>
      <c r="L139" s="6">
        <v>0.39700000000000002</v>
      </c>
      <c r="M139" s="70">
        <v>0.39700000000000002</v>
      </c>
      <c r="N139" s="6">
        <v>0.39700000000000002</v>
      </c>
      <c r="O139" s="70">
        <v>0.39700000000000002</v>
      </c>
      <c r="P139" s="6">
        <v>0</v>
      </c>
      <c r="Q139" s="4" t="s">
        <v>26</v>
      </c>
      <c r="R139" s="4">
        <v>0</v>
      </c>
      <c r="S139" s="6">
        <v>0</v>
      </c>
      <c r="T139" s="6">
        <v>1</v>
      </c>
      <c r="U139" s="6">
        <v>73</v>
      </c>
      <c r="V139" s="70">
        <f>IF(ISERROR(VLOOKUP($S$139,'TAR FIN'!$A$1:$O$85,15,0)),0,VLOOKUP($S$139,'TAR FIN'!$A$1:$O$85,15,0))</f>
        <v>0</v>
      </c>
      <c r="W139" s="70">
        <f>IF(ISERROR(VLOOKUP($T$139,'TAR FIN'!$A$1:$O$85,15,0)),0,VLOOKUP($T$139,'TAR FIN'!$A$1:$O$85,15,0))*(1-0.04)</f>
        <v>4406.0928000000004</v>
      </c>
      <c r="X139" s="70">
        <f>IF(ISERROR(VLOOKUP($U$139,'TAR FIN'!$A$1:$O$85,15,0)),0,VLOOKUP($U$139,'TAR FIN'!$A$1:$O$85,15,0))*(1-0.04)</f>
        <v>230.67839999999998</v>
      </c>
      <c r="Y139" s="70"/>
      <c r="Z139" s="70">
        <f ca="1">('TUSD BE'!$AM$11+'TUSD BF'!$AM$11+'TUSD CVA'!$AM$11)*1*(1-0.02)</f>
        <v>4946.5064285219523</v>
      </c>
      <c r="AA139" s="70">
        <f>('TE BE'!$AA$5+'TE BF'!$AA$5+'TE CVA'!$AA$5)*1*(1-0.02)</f>
        <v>324.11624589306081</v>
      </c>
      <c r="AB139" s="6">
        <f>$K$139*$V$139</f>
        <v>0</v>
      </c>
      <c r="AC139" s="6">
        <f>$M$139*$W$139</f>
        <v>1749.2188416000001</v>
      </c>
      <c r="AD139" s="6">
        <f>$O$139*$X$139</f>
        <v>91.579324799999995</v>
      </c>
      <c r="AE139" s="6">
        <f>$K$139*$Y$139</f>
        <v>0</v>
      </c>
      <c r="AF139" s="6">
        <f ca="1">$M$139*$Z$139</f>
        <v>1963.7630521232152</v>
      </c>
      <c r="AG139" s="6">
        <f>$O$139*$AA$139</f>
        <v>128.67414961954515</v>
      </c>
    </row>
    <row r="140" spans="1:33" ht="11.25" customHeight="1" x14ac:dyDescent="0.3">
      <c r="A140" s="4" t="s">
        <v>21</v>
      </c>
      <c r="B140" s="4" t="s">
        <v>37</v>
      </c>
      <c r="C140" s="4" t="s">
        <v>38</v>
      </c>
      <c r="D140" s="4" t="s">
        <v>44</v>
      </c>
      <c r="E140" s="4" t="s">
        <v>52</v>
      </c>
      <c r="F140" s="4" t="s">
        <v>25</v>
      </c>
      <c r="G140" s="4" t="s">
        <v>25</v>
      </c>
      <c r="H140" s="4" t="s">
        <v>39</v>
      </c>
      <c r="I140" s="5">
        <v>44470</v>
      </c>
      <c r="J140" s="6">
        <v>0</v>
      </c>
      <c r="K140" s="70">
        <v>0</v>
      </c>
      <c r="L140" s="6">
        <v>0.35099999999999998</v>
      </c>
      <c r="M140" s="70">
        <v>0.35099999999999998</v>
      </c>
      <c r="N140" s="6">
        <v>0.35099999999999998</v>
      </c>
      <c r="O140" s="70">
        <v>0.35099999999999998</v>
      </c>
      <c r="P140" s="6">
        <v>0</v>
      </c>
      <c r="Q140" s="4" t="s">
        <v>26</v>
      </c>
      <c r="R140" s="4">
        <v>0</v>
      </c>
      <c r="S140" s="6">
        <v>0</v>
      </c>
      <c r="T140" s="6">
        <v>1</v>
      </c>
      <c r="U140" s="6">
        <v>73</v>
      </c>
      <c r="V140" s="70">
        <f>IF(ISERROR(VLOOKUP($S$140,'TAR FIN'!$A$1:$O$85,15,0)),0,VLOOKUP($S$140,'TAR FIN'!$A$1:$O$85,15,0))</f>
        <v>0</v>
      </c>
      <c r="W140" s="70">
        <f>IF(ISERROR(VLOOKUP($T$140,'TAR FIN'!$A$1:$O$85,15,0)),0,VLOOKUP($T$140,'TAR FIN'!$A$1:$O$85,15,0))*(1-0.04)</f>
        <v>4406.0928000000004</v>
      </c>
      <c r="X140" s="70">
        <f>IF(ISERROR(VLOOKUP($U$140,'TAR FIN'!$A$1:$O$85,15,0)),0,VLOOKUP($U$140,'TAR FIN'!$A$1:$O$85,15,0))*(1-0.04)</f>
        <v>230.67839999999998</v>
      </c>
      <c r="Y140" s="70"/>
      <c r="Z140" s="70">
        <f ca="1">('TUSD BE'!$AM$11+'TUSD BF'!$AM$11+'TUSD CVA'!$AM$11)*1*(1-0.02)</f>
        <v>4946.5064285219523</v>
      </c>
      <c r="AA140" s="70">
        <f>('TE BE'!$AA$5+'TE BF'!$AA$5+'TE CVA'!$AA$5)*1*(1-0.02)</f>
        <v>324.11624589306081</v>
      </c>
      <c r="AB140" s="6">
        <f>$K$140*$V$140</f>
        <v>0</v>
      </c>
      <c r="AC140" s="6">
        <f>$M$140*$W$140</f>
        <v>1546.5385728000001</v>
      </c>
      <c r="AD140" s="6">
        <f>$O$140*$X$140</f>
        <v>80.968118399999994</v>
      </c>
      <c r="AE140" s="6">
        <f>$K$140*$Y$140</f>
        <v>0</v>
      </c>
      <c r="AF140" s="6">
        <f ca="1">$M$140*$Z$140</f>
        <v>1736.2237564112052</v>
      </c>
      <c r="AG140" s="6">
        <f>$O$140*$AA$140</f>
        <v>113.76480230846434</v>
      </c>
    </row>
    <row r="141" spans="1:33" ht="11.25" customHeight="1" x14ac:dyDescent="0.3">
      <c r="A141" s="4" t="s">
        <v>21</v>
      </c>
      <c r="B141" s="4" t="s">
        <v>37</v>
      </c>
      <c r="C141" s="4" t="s">
        <v>38</v>
      </c>
      <c r="D141" s="4" t="s">
        <v>44</v>
      </c>
      <c r="E141" s="4" t="s">
        <v>52</v>
      </c>
      <c r="F141" s="4" t="s">
        <v>25</v>
      </c>
      <c r="G141" s="4" t="s">
        <v>25</v>
      </c>
      <c r="H141" s="4" t="s">
        <v>39</v>
      </c>
      <c r="I141" s="5">
        <v>44501</v>
      </c>
      <c r="J141" s="6">
        <v>0</v>
      </c>
      <c r="K141" s="70">
        <v>0</v>
      </c>
      <c r="L141" s="6">
        <v>0.39700000000000002</v>
      </c>
      <c r="M141" s="70">
        <v>0.39700000000000002</v>
      </c>
      <c r="N141" s="6">
        <v>0.39700000000000002</v>
      </c>
      <c r="O141" s="70">
        <v>0.39700000000000002</v>
      </c>
      <c r="P141" s="6">
        <v>0</v>
      </c>
      <c r="Q141" s="4" t="s">
        <v>26</v>
      </c>
      <c r="R141" s="4">
        <v>0</v>
      </c>
      <c r="S141" s="6">
        <v>0</v>
      </c>
      <c r="T141" s="6">
        <v>1</v>
      </c>
      <c r="U141" s="6">
        <v>73</v>
      </c>
      <c r="V141" s="70">
        <f>IF(ISERROR(VLOOKUP($S$141,'TAR FIN'!$A$1:$O$85,15,0)),0,VLOOKUP($S$141,'TAR FIN'!$A$1:$O$85,15,0))</f>
        <v>0</v>
      </c>
      <c r="W141" s="70">
        <f>IF(ISERROR(VLOOKUP($T$141,'TAR FIN'!$A$1:$O$85,15,0)),0,VLOOKUP($T$141,'TAR FIN'!$A$1:$O$85,15,0))*(1-0.04)</f>
        <v>4406.0928000000004</v>
      </c>
      <c r="X141" s="70">
        <f>IF(ISERROR(VLOOKUP($U$141,'TAR FIN'!$A$1:$O$85,15,0)),0,VLOOKUP($U$141,'TAR FIN'!$A$1:$O$85,15,0))*(1-0.04)</f>
        <v>230.67839999999998</v>
      </c>
      <c r="Y141" s="70"/>
      <c r="Z141" s="70">
        <f ca="1">('TUSD BE'!$AM$11+'TUSD BF'!$AM$11+'TUSD CVA'!$AM$11)*1*(1-0.02)</f>
        <v>4946.5064285219523</v>
      </c>
      <c r="AA141" s="70">
        <f>('TE BE'!$AA$5+'TE BF'!$AA$5+'TE CVA'!$AA$5)*1*(1-0.02)</f>
        <v>324.11624589306081</v>
      </c>
      <c r="AB141" s="6">
        <f>$K$141*$V$141</f>
        <v>0</v>
      </c>
      <c r="AC141" s="6">
        <f>$M$141*$W$141</f>
        <v>1749.2188416000001</v>
      </c>
      <c r="AD141" s="6">
        <f>$O$141*$X$141</f>
        <v>91.579324799999995</v>
      </c>
      <c r="AE141" s="6">
        <f>$K$141*$Y$141</f>
        <v>0</v>
      </c>
      <c r="AF141" s="6">
        <f ca="1">$M$141*$Z$141</f>
        <v>1963.7630521232152</v>
      </c>
      <c r="AG141" s="6">
        <f>$O$141*$AA$141</f>
        <v>128.67414961954515</v>
      </c>
    </row>
    <row r="142" spans="1:33" ht="11.25" customHeight="1" x14ac:dyDescent="0.3">
      <c r="A142" s="4" t="s">
        <v>21</v>
      </c>
      <c r="B142" s="4" t="s">
        <v>37</v>
      </c>
      <c r="C142" s="4" t="s">
        <v>38</v>
      </c>
      <c r="D142" s="4" t="s">
        <v>44</v>
      </c>
      <c r="E142" s="4" t="s">
        <v>52</v>
      </c>
      <c r="F142" s="4" t="s">
        <v>25</v>
      </c>
      <c r="G142" s="4" t="s">
        <v>25</v>
      </c>
      <c r="H142" s="4" t="s">
        <v>39</v>
      </c>
      <c r="I142" s="5">
        <v>44531</v>
      </c>
      <c r="J142" s="6">
        <v>0</v>
      </c>
      <c r="K142" s="70">
        <v>0</v>
      </c>
      <c r="L142" s="6">
        <v>0.39500000000000002</v>
      </c>
      <c r="M142" s="70">
        <v>0.39500000000000002</v>
      </c>
      <c r="N142" s="6">
        <v>0.39500000000000002</v>
      </c>
      <c r="O142" s="70">
        <v>0.39500000000000002</v>
      </c>
      <c r="P142" s="6">
        <v>0</v>
      </c>
      <c r="Q142" s="4" t="s">
        <v>26</v>
      </c>
      <c r="R142" s="4">
        <v>0</v>
      </c>
      <c r="S142" s="6">
        <v>0</v>
      </c>
      <c r="T142" s="6">
        <v>1</v>
      </c>
      <c r="U142" s="6">
        <v>73</v>
      </c>
      <c r="V142" s="70">
        <f>IF(ISERROR(VLOOKUP($S$142,'TAR FIN'!$A$1:$O$85,15,0)),0,VLOOKUP($S$142,'TAR FIN'!$A$1:$O$85,15,0))</f>
        <v>0</v>
      </c>
      <c r="W142" s="70">
        <f>IF(ISERROR(VLOOKUP($T$142,'TAR FIN'!$A$1:$O$85,15,0)),0,VLOOKUP($T$142,'TAR FIN'!$A$1:$O$85,15,0))*(1-0.04)</f>
        <v>4406.0928000000004</v>
      </c>
      <c r="X142" s="70">
        <f>IF(ISERROR(VLOOKUP($U$142,'TAR FIN'!$A$1:$O$85,15,0)),0,VLOOKUP($U$142,'TAR FIN'!$A$1:$O$85,15,0))*(1-0.04)</f>
        <v>230.67839999999998</v>
      </c>
      <c r="Y142" s="70"/>
      <c r="Z142" s="70">
        <f ca="1">('TUSD BE'!$AM$11+'TUSD BF'!$AM$11+'TUSD CVA'!$AM$11)*1*(1-0.02)</f>
        <v>4946.5064285219523</v>
      </c>
      <c r="AA142" s="70">
        <f>('TE BE'!$AA$5+'TE BF'!$AA$5+'TE CVA'!$AA$5)*1*(1-0.02)</f>
        <v>324.11624589306081</v>
      </c>
      <c r="AB142" s="6">
        <f>$K$142*$V$142</f>
        <v>0</v>
      </c>
      <c r="AC142" s="6">
        <f>$M$142*$W$142</f>
        <v>1740.4066560000001</v>
      </c>
      <c r="AD142" s="6">
        <f>$O$142*$X$142</f>
        <v>91.117967999999991</v>
      </c>
      <c r="AE142" s="6">
        <f>$K$142*$Y$142</f>
        <v>0</v>
      </c>
      <c r="AF142" s="6">
        <f ca="1">$M$142*$Z$142</f>
        <v>1953.8700392661713</v>
      </c>
      <c r="AG142" s="6">
        <f>$O$142*$AA$142</f>
        <v>128.02591712775902</v>
      </c>
    </row>
    <row r="143" spans="1:33" ht="11.25" customHeight="1" x14ac:dyDescent="0.3">
      <c r="A143" s="4" t="s">
        <v>21</v>
      </c>
      <c r="B143" s="4" t="s">
        <v>37</v>
      </c>
      <c r="C143" s="4" t="s">
        <v>38</v>
      </c>
      <c r="D143" s="4" t="s">
        <v>44</v>
      </c>
      <c r="E143" s="4" t="s">
        <v>52</v>
      </c>
      <c r="F143" s="4" t="s">
        <v>25</v>
      </c>
      <c r="G143" s="4" t="s">
        <v>25</v>
      </c>
      <c r="H143" s="4" t="s">
        <v>39</v>
      </c>
      <c r="I143" s="5">
        <v>44562</v>
      </c>
      <c r="J143" s="6">
        <v>0</v>
      </c>
      <c r="K143" s="70">
        <v>0</v>
      </c>
      <c r="L143" s="6">
        <v>0.40300000000000002</v>
      </c>
      <c r="M143" s="70">
        <v>0.40300000000000002</v>
      </c>
      <c r="N143" s="6">
        <v>0.40300000000000002</v>
      </c>
      <c r="O143" s="70">
        <v>0.40300000000000002</v>
      </c>
      <c r="P143" s="6">
        <v>0</v>
      </c>
      <c r="Q143" s="4" t="s">
        <v>26</v>
      </c>
      <c r="R143" s="4">
        <v>0</v>
      </c>
      <c r="S143" s="6">
        <v>0</v>
      </c>
      <c r="T143" s="6">
        <v>1</v>
      </c>
      <c r="U143" s="6">
        <v>73</v>
      </c>
      <c r="V143" s="70">
        <f>IF(ISERROR(VLOOKUP($S$143,'TAR FIN'!$A$1:$O$85,15,0)),0,VLOOKUP($S$143,'TAR FIN'!$A$1:$O$85,15,0))</f>
        <v>0</v>
      </c>
      <c r="W143" s="70">
        <f>IF(ISERROR(VLOOKUP($T$143,'TAR FIN'!$A$1:$O$85,15,0)),0,VLOOKUP($T$143,'TAR FIN'!$A$1:$O$85,15,0))*(1-0.04)</f>
        <v>4406.0928000000004</v>
      </c>
      <c r="X143" s="70">
        <f>IF(ISERROR(VLOOKUP($U$143,'TAR FIN'!$A$1:$O$85,15,0)),0,VLOOKUP($U$143,'TAR FIN'!$A$1:$O$85,15,0))*(1-0.04)</f>
        <v>230.67839999999998</v>
      </c>
      <c r="Y143" s="70"/>
      <c r="Z143" s="70">
        <f ca="1">('TUSD BE'!$AM$11+'TUSD BF'!$AM$11+'TUSD CVA'!$AM$11)*1*(1-0.02)</f>
        <v>4946.5064285219523</v>
      </c>
      <c r="AA143" s="70">
        <f>('TE BE'!$AA$5+'TE BF'!$AA$5+'TE CVA'!$AA$5)*1*(1-0.02)</f>
        <v>324.11624589306081</v>
      </c>
      <c r="AB143" s="6">
        <f>$K$143*$V$143</f>
        <v>0</v>
      </c>
      <c r="AC143" s="6">
        <f>$M$143*$W$143</f>
        <v>1775.6553984000002</v>
      </c>
      <c r="AD143" s="6">
        <f>$O$143*$X$143</f>
        <v>92.963395199999994</v>
      </c>
      <c r="AE143" s="6">
        <f>$K$143*$Y$143</f>
        <v>0</v>
      </c>
      <c r="AF143" s="6">
        <f ca="1">$M$143*$Z$143</f>
        <v>1993.4420906943469</v>
      </c>
      <c r="AG143" s="6">
        <f>$O$143*$AA$143</f>
        <v>130.61884709490351</v>
      </c>
    </row>
    <row r="144" spans="1:33" ht="11.25" customHeight="1" x14ac:dyDescent="0.3">
      <c r="A144" s="4" t="s">
        <v>21</v>
      </c>
      <c r="B144" s="4" t="s">
        <v>37</v>
      </c>
      <c r="C144" s="4" t="s">
        <v>38</v>
      </c>
      <c r="D144" s="4" t="s">
        <v>44</v>
      </c>
      <c r="E144" s="4" t="s">
        <v>52</v>
      </c>
      <c r="F144" s="4" t="s">
        <v>25</v>
      </c>
      <c r="G144" s="4" t="s">
        <v>25</v>
      </c>
      <c r="H144" s="4" t="s">
        <v>39</v>
      </c>
      <c r="I144" s="5">
        <v>44593</v>
      </c>
      <c r="J144" s="6">
        <v>0</v>
      </c>
      <c r="K144" s="70">
        <v>0</v>
      </c>
      <c r="L144" s="6">
        <v>0.65700000000000003</v>
      </c>
      <c r="M144" s="70">
        <v>0.65700000000000003</v>
      </c>
      <c r="N144" s="6">
        <v>0.65700000000000003</v>
      </c>
      <c r="O144" s="70">
        <v>0.65700000000000003</v>
      </c>
      <c r="P144" s="6">
        <v>0</v>
      </c>
      <c r="Q144" s="4" t="s">
        <v>26</v>
      </c>
      <c r="R144" s="4">
        <v>0</v>
      </c>
      <c r="S144" s="6">
        <v>0</v>
      </c>
      <c r="T144" s="6">
        <v>1</v>
      </c>
      <c r="U144" s="6">
        <v>73</v>
      </c>
      <c r="V144" s="70">
        <f>IF(ISERROR(VLOOKUP($S$144,'TAR FIN'!$A$1:$O$85,15,0)),0,VLOOKUP($S$144,'TAR FIN'!$A$1:$O$85,15,0))</f>
        <v>0</v>
      </c>
      <c r="W144" s="70">
        <f>IF(ISERROR(VLOOKUP($T$144,'TAR FIN'!$A$1:$O$85,15,0)),0,VLOOKUP($T$144,'TAR FIN'!$A$1:$O$85,15,0))*(1-0.04)</f>
        <v>4406.0928000000004</v>
      </c>
      <c r="X144" s="70">
        <f>IF(ISERROR(VLOOKUP($U$144,'TAR FIN'!$A$1:$O$85,15,0)),0,VLOOKUP($U$144,'TAR FIN'!$A$1:$O$85,15,0))*(1-0.04)</f>
        <v>230.67839999999998</v>
      </c>
      <c r="Y144" s="70"/>
      <c r="Z144" s="70">
        <f ca="1">('TUSD BE'!$AM$11+'TUSD BF'!$AM$11+'TUSD CVA'!$AM$11)*1*(1-0.02)</f>
        <v>4946.5064285219523</v>
      </c>
      <c r="AA144" s="70">
        <f>('TE BE'!$AA$5+'TE BF'!$AA$5+'TE CVA'!$AA$5)*1*(1-0.02)</f>
        <v>324.11624589306081</v>
      </c>
      <c r="AB144" s="6">
        <f>$K$144*$V$144</f>
        <v>0</v>
      </c>
      <c r="AC144" s="6">
        <f>$M$144*$W$144</f>
        <v>2894.8029696000003</v>
      </c>
      <c r="AD144" s="6">
        <f>$O$144*$X$144</f>
        <v>151.55570879999999</v>
      </c>
      <c r="AE144" s="6">
        <f>$K$144*$Y$144</f>
        <v>0</v>
      </c>
      <c r="AF144" s="6">
        <f ca="1">$M$144*$Z$144</f>
        <v>3249.8547235389228</v>
      </c>
      <c r="AG144" s="6">
        <f>$O$144*$AA$144</f>
        <v>212.94437355174097</v>
      </c>
    </row>
    <row r="145" spans="1:33" ht="11.25" customHeight="1" x14ac:dyDescent="0.3">
      <c r="A145" s="4" t="s">
        <v>21</v>
      </c>
      <c r="B145" s="4" t="s">
        <v>37</v>
      </c>
      <c r="C145" s="4" t="s">
        <v>38</v>
      </c>
      <c r="D145" s="4" t="s">
        <v>44</v>
      </c>
      <c r="E145" s="4" t="s">
        <v>52</v>
      </c>
      <c r="F145" s="4" t="s">
        <v>25</v>
      </c>
      <c r="G145" s="4" t="s">
        <v>25</v>
      </c>
      <c r="H145" s="4" t="s">
        <v>39</v>
      </c>
      <c r="I145" s="5">
        <v>44621</v>
      </c>
      <c r="J145" s="6">
        <v>0</v>
      </c>
      <c r="K145" s="70">
        <v>0</v>
      </c>
      <c r="L145" s="6">
        <v>0.46300000000000002</v>
      </c>
      <c r="M145" s="70">
        <v>0.46300000000000002</v>
      </c>
      <c r="N145" s="6">
        <v>0.46300000000000002</v>
      </c>
      <c r="O145" s="70">
        <v>0.46300000000000002</v>
      </c>
      <c r="P145" s="6">
        <v>0</v>
      </c>
      <c r="Q145" s="4" t="s">
        <v>26</v>
      </c>
      <c r="R145" s="4">
        <v>0</v>
      </c>
      <c r="S145" s="6">
        <v>0</v>
      </c>
      <c r="T145" s="6">
        <v>1</v>
      </c>
      <c r="U145" s="6">
        <v>73</v>
      </c>
      <c r="V145" s="70">
        <f>IF(ISERROR(VLOOKUP($S$145,'TAR FIN'!$A$1:$O$85,15,0)),0,VLOOKUP($S$145,'TAR FIN'!$A$1:$O$85,15,0))</f>
        <v>0</v>
      </c>
      <c r="W145" s="70">
        <f>IF(ISERROR(VLOOKUP($T$145,'TAR FIN'!$A$1:$O$85,15,0)),0,VLOOKUP($T$145,'TAR FIN'!$A$1:$O$85,15,0))*(1-0.04)</f>
        <v>4406.0928000000004</v>
      </c>
      <c r="X145" s="70">
        <f>IF(ISERROR(VLOOKUP($U$145,'TAR FIN'!$A$1:$O$85,15,0)),0,VLOOKUP($U$145,'TAR FIN'!$A$1:$O$85,15,0))*(1-0.04)</f>
        <v>230.67839999999998</v>
      </c>
      <c r="Y145" s="70"/>
      <c r="Z145" s="70">
        <f ca="1">('TUSD BE'!$AM$11+'TUSD BF'!$AM$11+'TUSD CVA'!$AM$11)*1*(1-0.02)</f>
        <v>4946.5064285219523</v>
      </c>
      <c r="AA145" s="70">
        <f>('TE BE'!$AA$5+'TE BF'!$AA$5+'TE CVA'!$AA$5)*1*(1-0.02)</f>
        <v>324.11624589306081</v>
      </c>
      <c r="AB145" s="6">
        <f>$K$145*$V$145</f>
        <v>0</v>
      </c>
      <c r="AC145" s="6">
        <f>$M$145*$W$145</f>
        <v>2040.0209664000004</v>
      </c>
      <c r="AD145" s="6">
        <f>$O$145*$X$145</f>
        <v>106.8040992</v>
      </c>
      <c r="AE145" s="6">
        <f>$K$145*$Y$145</f>
        <v>0</v>
      </c>
      <c r="AF145" s="6">
        <f ca="1">$M$145*$Z$145</f>
        <v>2290.2324764056639</v>
      </c>
      <c r="AG145" s="6">
        <f>$O$145*$AA$145</f>
        <v>150.06582184848716</v>
      </c>
    </row>
    <row r="146" spans="1:33" ht="11.25" customHeight="1" x14ac:dyDescent="0.3">
      <c r="A146" s="4" t="s">
        <v>21</v>
      </c>
      <c r="B146" s="4" t="s">
        <v>37</v>
      </c>
      <c r="C146" s="4" t="s">
        <v>38</v>
      </c>
      <c r="D146" s="4" t="s">
        <v>49</v>
      </c>
      <c r="E146" s="4" t="s">
        <v>50</v>
      </c>
      <c r="F146" s="4" t="s">
        <v>25</v>
      </c>
      <c r="G146" s="4" t="s">
        <v>25</v>
      </c>
      <c r="H146" s="4" t="s">
        <v>34</v>
      </c>
      <c r="I146" s="5">
        <v>44287</v>
      </c>
      <c r="J146" s="6">
        <v>0</v>
      </c>
      <c r="K146" s="70">
        <v>0</v>
      </c>
      <c r="L146" s="6">
        <v>14.141</v>
      </c>
      <c r="M146" s="70">
        <v>14.141</v>
      </c>
      <c r="N146" s="6">
        <v>14.141</v>
      </c>
      <c r="O146" s="70">
        <v>14.141</v>
      </c>
      <c r="P146" s="6">
        <v>0</v>
      </c>
      <c r="Q146" s="4" t="s">
        <v>26</v>
      </c>
      <c r="R146" s="4">
        <v>0</v>
      </c>
      <c r="S146" s="6">
        <v>0</v>
      </c>
      <c r="T146" s="6">
        <v>2</v>
      </c>
      <c r="U146" s="6">
        <v>74</v>
      </c>
      <c r="V146" s="70">
        <f>IF(ISERROR(VLOOKUP($S$146,'TAR FIN'!$A$1:$O$85,15,0)),0,VLOOKUP($S$146,'TAR FIN'!$A$1:$O$85,15,0))</f>
        <v>0</v>
      </c>
      <c r="W146" s="70">
        <f>IF(ISERROR(VLOOKUP($T$146,'TAR FIN'!$A$1:$O$85,15,0)),0,VLOOKUP($T$146,'TAR FIN'!$A$1:$O$85,15,0))*(1-0.06)</f>
        <v>87.871200000000002</v>
      </c>
      <c r="X146" s="70">
        <f>IF(ISERROR(VLOOKUP($U$146,'TAR FIN'!$A$1:$O$85,15,0)),0,VLOOKUP($U$146,'TAR FIN'!$A$1:$O$85,15,0))*(1-0.06)</f>
        <v>225.87259999999998</v>
      </c>
      <c r="Y146" s="70"/>
      <c r="Z146" s="70">
        <f ca="1">('TUSD BE'!$AM$12+'TUSD BF'!$AM$12+'TUSD CVA'!$AM$12)*1*(1-0.03)</f>
        <v>129.18083627712426</v>
      </c>
      <c r="AA146" s="70">
        <f>('TE BE'!$AA$6+'TE BF'!$AA$6+'TE CVA'!$AA$6)*1*(1-0.03)</f>
        <v>320.80893726149895</v>
      </c>
      <c r="AB146" s="6">
        <f>$K$146*$V$146</f>
        <v>0</v>
      </c>
      <c r="AC146" s="6">
        <f>$M$146*$W$146</f>
        <v>1242.5866392</v>
      </c>
      <c r="AD146" s="6">
        <f>$O$146*$X$146</f>
        <v>3194.0644365999997</v>
      </c>
      <c r="AE146" s="6">
        <f>$K$146*$Y$146</f>
        <v>0</v>
      </c>
      <c r="AF146" s="6">
        <f ca="1">$M$146*$Z$146</f>
        <v>1826.7462057948142</v>
      </c>
      <c r="AG146" s="6">
        <f>$O$146*$AA$146</f>
        <v>4536.5591818148569</v>
      </c>
    </row>
    <row r="147" spans="1:33" ht="11.25" customHeight="1" x14ac:dyDescent="0.3">
      <c r="A147" s="4" t="s">
        <v>21</v>
      </c>
      <c r="B147" s="4" t="s">
        <v>37</v>
      </c>
      <c r="C147" s="4" t="s">
        <v>38</v>
      </c>
      <c r="D147" s="4" t="s">
        <v>49</v>
      </c>
      <c r="E147" s="4" t="s">
        <v>50</v>
      </c>
      <c r="F147" s="4" t="s">
        <v>25</v>
      </c>
      <c r="G147" s="4" t="s">
        <v>25</v>
      </c>
      <c r="H147" s="4" t="s">
        <v>34</v>
      </c>
      <c r="I147" s="5">
        <v>44317</v>
      </c>
      <c r="J147" s="6">
        <v>0</v>
      </c>
      <c r="K147" s="70">
        <v>0</v>
      </c>
      <c r="L147" s="6">
        <v>16.791</v>
      </c>
      <c r="M147" s="70">
        <v>16.791</v>
      </c>
      <c r="N147" s="6">
        <v>16.791</v>
      </c>
      <c r="O147" s="70">
        <v>16.791</v>
      </c>
      <c r="P147" s="6">
        <v>0</v>
      </c>
      <c r="Q147" s="4" t="s">
        <v>26</v>
      </c>
      <c r="R147" s="4">
        <v>0</v>
      </c>
      <c r="S147" s="6">
        <v>0</v>
      </c>
      <c r="T147" s="6">
        <v>2</v>
      </c>
      <c r="U147" s="6">
        <v>74</v>
      </c>
      <c r="V147" s="70">
        <f>IF(ISERROR(VLOOKUP($S$147,'TAR FIN'!$A$1:$O$85,15,0)),0,VLOOKUP($S$147,'TAR FIN'!$A$1:$O$85,15,0))</f>
        <v>0</v>
      </c>
      <c r="W147" s="70">
        <f>IF(ISERROR(VLOOKUP($T$147,'TAR FIN'!$A$1:$O$85,15,0)),0,VLOOKUP($T$147,'TAR FIN'!$A$1:$O$85,15,0))*(1-0.06)</f>
        <v>87.871200000000002</v>
      </c>
      <c r="X147" s="70">
        <f>IF(ISERROR(VLOOKUP($U$147,'TAR FIN'!$A$1:$O$85,15,0)),0,VLOOKUP($U$147,'TAR FIN'!$A$1:$O$85,15,0))*(1-0.06)</f>
        <v>225.87259999999998</v>
      </c>
      <c r="Y147" s="70"/>
      <c r="Z147" s="70">
        <f ca="1">('TUSD BE'!$AM$12+'TUSD BF'!$AM$12+'TUSD CVA'!$AM$12)*1*(1-0.03)</f>
        <v>129.18083627712426</v>
      </c>
      <c r="AA147" s="70">
        <f>('TE BE'!$AA$6+'TE BF'!$AA$6+'TE CVA'!$AA$6)*1*(1-0.03)</f>
        <v>320.80893726149895</v>
      </c>
      <c r="AB147" s="6">
        <f>$K$147*$V$147</f>
        <v>0</v>
      </c>
      <c r="AC147" s="6">
        <f>$M$147*$W$147</f>
        <v>1475.4453192000001</v>
      </c>
      <c r="AD147" s="6">
        <f>$O$147*$X$147</f>
        <v>3792.6268265999997</v>
      </c>
      <c r="AE147" s="6">
        <f>$K$147*$Y$147</f>
        <v>0</v>
      </c>
      <c r="AF147" s="6">
        <f ca="1">$M$147*$Z$147</f>
        <v>2169.0754219291935</v>
      </c>
      <c r="AG147" s="6">
        <f>$O$147*$AA$147</f>
        <v>5386.7028655578288</v>
      </c>
    </row>
    <row r="148" spans="1:33" ht="11.25" customHeight="1" x14ac:dyDescent="0.3">
      <c r="A148" s="4" t="s">
        <v>21</v>
      </c>
      <c r="B148" s="4" t="s">
        <v>37</v>
      </c>
      <c r="C148" s="4" t="s">
        <v>38</v>
      </c>
      <c r="D148" s="4" t="s">
        <v>49</v>
      </c>
      <c r="E148" s="4" t="s">
        <v>50</v>
      </c>
      <c r="F148" s="4" t="s">
        <v>25</v>
      </c>
      <c r="G148" s="4" t="s">
        <v>25</v>
      </c>
      <c r="H148" s="4" t="s">
        <v>34</v>
      </c>
      <c r="I148" s="5">
        <v>44348</v>
      </c>
      <c r="J148" s="6">
        <v>0</v>
      </c>
      <c r="K148" s="70">
        <v>0</v>
      </c>
      <c r="L148" s="6">
        <v>17.077000000000002</v>
      </c>
      <c r="M148" s="70">
        <v>17.077000000000002</v>
      </c>
      <c r="N148" s="6">
        <v>17.077000000000002</v>
      </c>
      <c r="O148" s="70">
        <v>17.077000000000002</v>
      </c>
      <c r="P148" s="6">
        <v>0</v>
      </c>
      <c r="Q148" s="4" t="s">
        <v>26</v>
      </c>
      <c r="R148" s="4">
        <v>0</v>
      </c>
      <c r="S148" s="6">
        <v>0</v>
      </c>
      <c r="T148" s="6">
        <v>2</v>
      </c>
      <c r="U148" s="6">
        <v>74</v>
      </c>
      <c r="V148" s="70">
        <f>IF(ISERROR(VLOOKUP($S$148,'TAR FIN'!$A$1:$O$85,15,0)),0,VLOOKUP($S$148,'TAR FIN'!$A$1:$O$85,15,0))</f>
        <v>0</v>
      </c>
      <c r="W148" s="70">
        <f>IF(ISERROR(VLOOKUP($T$148,'TAR FIN'!$A$1:$O$85,15,0)),0,VLOOKUP($T$148,'TAR FIN'!$A$1:$O$85,15,0))*(1-0.06)</f>
        <v>87.871200000000002</v>
      </c>
      <c r="X148" s="70">
        <f>IF(ISERROR(VLOOKUP($U$148,'TAR FIN'!$A$1:$O$85,15,0)),0,VLOOKUP($U$148,'TAR FIN'!$A$1:$O$85,15,0))*(1-0.06)</f>
        <v>225.87259999999998</v>
      </c>
      <c r="Y148" s="70"/>
      <c r="Z148" s="70">
        <f ca="1">('TUSD BE'!$AM$12+'TUSD BF'!$AM$12+'TUSD CVA'!$AM$12)*1*(1-0.03)</f>
        <v>129.18083627712426</v>
      </c>
      <c r="AA148" s="70">
        <f>('TE BE'!$AA$6+'TE BF'!$AA$6+'TE CVA'!$AA$6)*1*(1-0.03)</f>
        <v>320.80893726149895</v>
      </c>
      <c r="AB148" s="6">
        <f>$K$148*$V$148</f>
        <v>0</v>
      </c>
      <c r="AC148" s="6">
        <f>$M$148*$W$148</f>
        <v>1500.5764824000003</v>
      </c>
      <c r="AD148" s="6">
        <f>$O$148*$X$148</f>
        <v>3857.2263902</v>
      </c>
      <c r="AE148" s="6">
        <f>$K$148*$Y$148</f>
        <v>0</v>
      </c>
      <c r="AF148" s="6">
        <f ca="1">$M$148*$Z$148</f>
        <v>2206.0211411044511</v>
      </c>
      <c r="AG148" s="6">
        <f>$O$148*$AA$148</f>
        <v>5478.4542216146183</v>
      </c>
    </row>
    <row r="149" spans="1:33" ht="11.25" customHeight="1" x14ac:dyDescent="0.3">
      <c r="A149" s="4" t="s">
        <v>21</v>
      </c>
      <c r="B149" s="4" t="s">
        <v>37</v>
      </c>
      <c r="C149" s="4" t="s">
        <v>38</v>
      </c>
      <c r="D149" s="4" t="s">
        <v>49</v>
      </c>
      <c r="E149" s="4" t="s">
        <v>50</v>
      </c>
      <c r="F149" s="4" t="s">
        <v>25</v>
      </c>
      <c r="G149" s="4" t="s">
        <v>25</v>
      </c>
      <c r="H149" s="4" t="s">
        <v>34</v>
      </c>
      <c r="I149" s="5">
        <v>44378</v>
      </c>
      <c r="J149" s="6">
        <v>0</v>
      </c>
      <c r="K149" s="70">
        <v>0</v>
      </c>
      <c r="L149" s="6">
        <v>18.006</v>
      </c>
      <c r="M149" s="70">
        <v>18.006</v>
      </c>
      <c r="N149" s="6">
        <v>18.006</v>
      </c>
      <c r="O149" s="70">
        <v>18.006</v>
      </c>
      <c r="P149" s="6">
        <v>0</v>
      </c>
      <c r="Q149" s="4" t="s">
        <v>26</v>
      </c>
      <c r="R149" s="4">
        <v>0</v>
      </c>
      <c r="S149" s="6">
        <v>0</v>
      </c>
      <c r="T149" s="6">
        <v>2</v>
      </c>
      <c r="U149" s="6">
        <v>74</v>
      </c>
      <c r="V149" s="70">
        <f>IF(ISERROR(VLOOKUP($S$149,'TAR FIN'!$A$1:$O$85,15,0)),0,VLOOKUP($S$149,'TAR FIN'!$A$1:$O$85,15,0))</f>
        <v>0</v>
      </c>
      <c r="W149" s="70">
        <f>IF(ISERROR(VLOOKUP($T$149,'TAR FIN'!$A$1:$O$85,15,0)),0,VLOOKUP($T$149,'TAR FIN'!$A$1:$O$85,15,0))*(1-0.06)</f>
        <v>87.871200000000002</v>
      </c>
      <c r="X149" s="70">
        <f>IF(ISERROR(VLOOKUP($U$149,'TAR FIN'!$A$1:$O$85,15,0)),0,VLOOKUP($U$149,'TAR FIN'!$A$1:$O$85,15,0))*(1-0.06)</f>
        <v>225.87259999999998</v>
      </c>
      <c r="Y149" s="70"/>
      <c r="Z149" s="70">
        <f ca="1">('TUSD BE'!$AM$12+'TUSD BF'!$AM$12+'TUSD CVA'!$AM$12)*1*(1-0.03)</f>
        <v>129.18083627712426</v>
      </c>
      <c r="AA149" s="70">
        <f>('TE BE'!$AA$6+'TE BF'!$AA$6+'TE CVA'!$AA$6)*1*(1-0.03)</f>
        <v>320.80893726149895</v>
      </c>
      <c r="AB149" s="6">
        <f>$K$149*$V$149</f>
        <v>0</v>
      </c>
      <c r="AC149" s="6">
        <f>$M$149*$W$149</f>
        <v>1582.2088272000001</v>
      </c>
      <c r="AD149" s="6">
        <f>$O$149*$X$149</f>
        <v>4067.0620355999995</v>
      </c>
      <c r="AE149" s="6">
        <f>$K$149*$Y$149</f>
        <v>0</v>
      </c>
      <c r="AF149" s="6">
        <f ca="1">$M$149*$Z$149</f>
        <v>2326.0301380058995</v>
      </c>
      <c r="AG149" s="6">
        <f>$O$149*$AA$149</f>
        <v>5776.4857243305505</v>
      </c>
    </row>
    <row r="150" spans="1:33" ht="11.25" customHeight="1" x14ac:dyDescent="0.3">
      <c r="A150" s="4" t="s">
        <v>21</v>
      </c>
      <c r="B150" s="4" t="s">
        <v>37</v>
      </c>
      <c r="C150" s="4" t="s">
        <v>38</v>
      </c>
      <c r="D150" s="4" t="s">
        <v>49</v>
      </c>
      <c r="E150" s="4" t="s">
        <v>50</v>
      </c>
      <c r="F150" s="4" t="s">
        <v>25</v>
      </c>
      <c r="G150" s="4" t="s">
        <v>25</v>
      </c>
      <c r="H150" s="4" t="s">
        <v>34</v>
      </c>
      <c r="I150" s="5">
        <v>44409</v>
      </c>
      <c r="J150" s="6">
        <v>0</v>
      </c>
      <c r="K150" s="70">
        <v>0</v>
      </c>
      <c r="L150" s="6">
        <v>17.623999999999999</v>
      </c>
      <c r="M150" s="70">
        <v>17.623999999999999</v>
      </c>
      <c r="N150" s="6">
        <v>17.623999999999999</v>
      </c>
      <c r="O150" s="70">
        <v>17.623999999999999</v>
      </c>
      <c r="P150" s="6">
        <v>0</v>
      </c>
      <c r="Q150" s="4" t="s">
        <v>26</v>
      </c>
      <c r="R150" s="4">
        <v>0</v>
      </c>
      <c r="S150" s="6">
        <v>0</v>
      </c>
      <c r="T150" s="6">
        <v>2</v>
      </c>
      <c r="U150" s="6">
        <v>74</v>
      </c>
      <c r="V150" s="70">
        <f>IF(ISERROR(VLOOKUP($S$150,'TAR FIN'!$A$1:$O$85,15,0)),0,VLOOKUP($S$150,'TAR FIN'!$A$1:$O$85,15,0))</f>
        <v>0</v>
      </c>
      <c r="W150" s="70">
        <f>IF(ISERROR(VLOOKUP($T$150,'TAR FIN'!$A$1:$O$85,15,0)),0,VLOOKUP($T$150,'TAR FIN'!$A$1:$O$85,15,0))*(1-0.06)</f>
        <v>87.871200000000002</v>
      </c>
      <c r="X150" s="70">
        <f>IF(ISERROR(VLOOKUP($U$150,'TAR FIN'!$A$1:$O$85,15,0)),0,VLOOKUP($U$150,'TAR FIN'!$A$1:$O$85,15,0))*(1-0.06)</f>
        <v>225.87259999999998</v>
      </c>
      <c r="Y150" s="70"/>
      <c r="Z150" s="70">
        <f ca="1">('TUSD BE'!$AM$12+'TUSD BF'!$AM$12+'TUSD CVA'!$AM$12)*1*(1-0.03)</f>
        <v>129.18083627712426</v>
      </c>
      <c r="AA150" s="70">
        <f>('TE BE'!$AA$6+'TE BF'!$AA$6+'TE CVA'!$AA$6)*1*(1-0.03)</f>
        <v>320.80893726149895</v>
      </c>
      <c r="AB150" s="6">
        <f>$K$150*$V$150</f>
        <v>0</v>
      </c>
      <c r="AC150" s="6">
        <f>$M$150*$W$150</f>
        <v>1548.6420287999999</v>
      </c>
      <c r="AD150" s="6">
        <f>$O$150*$X$150</f>
        <v>3980.7787023999995</v>
      </c>
      <c r="AE150" s="6">
        <f>$K$150*$Y$150</f>
        <v>0</v>
      </c>
      <c r="AF150" s="6">
        <f ca="1">$M$150*$Z$150</f>
        <v>2276.6830585480379</v>
      </c>
      <c r="AG150" s="6">
        <f>$O$150*$AA$150</f>
        <v>5653.9367102966571</v>
      </c>
    </row>
    <row r="151" spans="1:33" ht="11.25" customHeight="1" x14ac:dyDescent="0.3">
      <c r="A151" s="4" t="s">
        <v>21</v>
      </c>
      <c r="B151" s="4" t="s">
        <v>37</v>
      </c>
      <c r="C151" s="4" t="s">
        <v>38</v>
      </c>
      <c r="D151" s="4" t="s">
        <v>49</v>
      </c>
      <c r="E151" s="4" t="s">
        <v>50</v>
      </c>
      <c r="F151" s="4" t="s">
        <v>25</v>
      </c>
      <c r="G151" s="4" t="s">
        <v>25</v>
      </c>
      <c r="H151" s="4" t="s">
        <v>34</v>
      </c>
      <c r="I151" s="5">
        <v>44440</v>
      </c>
      <c r="J151" s="6">
        <v>0</v>
      </c>
      <c r="K151" s="70">
        <v>0</v>
      </c>
      <c r="L151" s="6">
        <v>16.919</v>
      </c>
      <c r="M151" s="70">
        <v>16.919</v>
      </c>
      <c r="N151" s="6">
        <v>16.919</v>
      </c>
      <c r="O151" s="70">
        <v>16.919</v>
      </c>
      <c r="P151" s="6">
        <v>0</v>
      </c>
      <c r="Q151" s="4" t="s">
        <v>26</v>
      </c>
      <c r="R151" s="4">
        <v>0</v>
      </c>
      <c r="S151" s="6">
        <v>0</v>
      </c>
      <c r="T151" s="6">
        <v>2</v>
      </c>
      <c r="U151" s="6">
        <v>74</v>
      </c>
      <c r="V151" s="70">
        <f>IF(ISERROR(VLOOKUP($S$151,'TAR FIN'!$A$1:$O$85,15,0)),0,VLOOKUP($S$151,'TAR FIN'!$A$1:$O$85,15,0))</f>
        <v>0</v>
      </c>
      <c r="W151" s="70">
        <f>IF(ISERROR(VLOOKUP($T$151,'TAR FIN'!$A$1:$O$85,15,0)),0,VLOOKUP($T$151,'TAR FIN'!$A$1:$O$85,15,0))*(1-0.06)</f>
        <v>87.871200000000002</v>
      </c>
      <c r="X151" s="70">
        <f>IF(ISERROR(VLOOKUP($U$151,'TAR FIN'!$A$1:$O$85,15,0)),0,VLOOKUP($U$151,'TAR FIN'!$A$1:$O$85,15,0))*(1-0.06)</f>
        <v>225.87259999999998</v>
      </c>
      <c r="Y151" s="70"/>
      <c r="Z151" s="70">
        <f ca="1">('TUSD BE'!$AM$12+'TUSD BF'!$AM$12+'TUSD CVA'!$AM$12)*1*(1-0.03)</f>
        <v>129.18083627712426</v>
      </c>
      <c r="AA151" s="70">
        <f>('TE BE'!$AA$6+'TE BF'!$AA$6+'TE CVA'!$AA$6)*1*(1-0.03)</f>
        <v>320.80893726149895</v>
      </c>
      <c r="AB151" s="6">
        <f>$K$151*$V$151</f>
        <v>0</v>
      </c>
      <c r="AC151" s="6">
        <f>$M$151*$W$151</f>
        <v>1486.6928328000001</v>
      </c>
      <c r="AD151" s="6">
        <f>$O$151*$X$151</f>
        <v>3821.5385193999996</v>
      </c>
      <c r="AE151" s="6">
        <f>$K$151*$Y$151</f>
        <v>0</v>
      </c>
      <c r="AF151" s="6">
        <f ca="1">$M$151*$Z$151</f>
        <v>2185.6105689726655</v>
      </c>
      <c r="AG151" s="6">
        <f>$O$151*$AA$151</f>
        <v>5427.7664095273012</v>
      </c>
    </row>
    <row r="152" spans="1:33" ht="11.25" customHeight="1" x14ac:dyDescent="0.3">
      <c r="A152" s="4" t="s">
        <v>21</v>
      </c>
      <c r="B152" s="4" t="s">
        <v>37</v>
      </c>
      <c r="C152" s="4" t="s">
        <v>38</v>
      </c>
      <c r="D152" s="4" t="s">
        <v>49</v>
      </c>
      <c r="E152" s="4" t="s">
        <v>50</v>
      </c>
      <c r="F152" s="4" t="s">
        <v>25</v>
      </c>
      <c r="G152" s="4" t="s">
        <v>25</v>
      </c>
      <c r="H152" s="4" t="s">
        <v>34</v>
      </c>
      <c r="I152" s="5">
        <v>44470</v>
      </c>
      <c r="J152" s="6">
        <v>0</v>
      </c>
      <c r="K152" s="70">
        <v>0</v>
      </c>
      <c r="L152" s="6">
        <v>17.405000000000001</v>
      </c>
      <c r="M152" s="70">
        <v>17.405000000000001</v>
      </c>
      <c r="N152" s="6">
        <v>17.405000000000001</v>
      </c>
      <c r="O152" s="70">
        <v>17.405000000000001</v>
      </c>
      <c r="P152" s="6">
        <v>0</v>
      </c>
      <c r="Q152" s="4" t="s">
        <v>26</v>
      </c>
      <c r="R152" s="4">
        <v>0</v>
      </c>
      <c r="S152" s="6">
        <v>0</v>
      </c>
      <c r="T152" s="6">
        <v>2</v>
      </c>
      <c r="U152" s="6">
        <v>74</v>
      </c>
      <c r="V152" s="70">
        <f>IF(ISERROR(VLOOKUP($S$152,'TAR FIN'!$A$1:$O$85,15,0)),0,VLOOKUP($S$152,'TAR FIN'!$A$1:$O$85,15,0))</f>
        <v>0</v>
      </c>
      <c r="W152" s="70">
        <f>IF(ISERROR(VLOOKUP($T$152,'TAR FIN'!$A$1:$O$85,15,0)),0,VLOOKUP($T$152,'TAR FIN'!$A$1:$O$85,15,0))*(1-0.06)</f>
        <v>87.871200000000002</v>
      </c>
      <c r="X152" s="70">
        <f>IF(ISERROR(VLOOKUP($U$152,'TAR FIN'!$A$1:$O$85,15,0)),0,VLOOKUP($U$152,'TAR FIN'!$A$1:$O$85,15,0))*(1-0.06)</f>
        <v>225.87259999999998</v>
      </c>
      <c r="Y152" s="70"/>
      <c r="Z152" s="70">
        <f ca="1">('TUSD BE'!$AM$12+'TUSD BF'!$AM$12+'TUSD CVA'!$AM$12)*1*(1-0.03)</f>
        <v>129.18083627712426</v>
      </c>
      <c r="AA152" s="70">
        <f>('TE BE'!$AA$6+'TE BF'!$AA$6+'TE CVA'!$AA$6)*1*(1-0.03)</f>
        <v>320.80893726149895</v>
      </c>
      <c r="AB152" s="6">
        <f>$K$152*$V$152</f>
        <v>0</v>
      </c>
      <c r="AC152" s="6">
        <f>$M$152*$W$152</f>
        <v>1529.3982360000002</v>
      </c>
      <c r="AD152" s="6">
        <f>$O$152*$X$152</f>
        <v>3931.3126029999999</v>
      </c>
      <c r="AE152" s="6">
        <f>$K$152*$Y$152</f>
        <v>0</v>
      </c>
      <c r="AF152" s="6">
        <f ca="1">$M$152*$Z$152</f>
        <v>2248.3924554033479</v>
      </c>
      <c r="AG152" s="6">
        <f>$O$152*$AA$152</f>
        <v>5583.6795530363897</v>
      </c>
    </row>
    <row r="153" spans="1:33" ht="11.25" customHeight="1" x14ac:dyDescent="0.3">
      <c r="A153" s="4" t="s">
        <v>21</v>
      </c>
      <c r="B153" s="4" t="s">
        <v>37</v>
      </c>
      <c r="C153" s="4" t="s">
        <v>38</v>
      </c>
      <c r="D153" s="4" t="s">
        <v>49</v>
      </c>
      <c r="E153" s="4" t="s">
        <v>50</v>
      </c>
      <c r="F153" s="4" t="s">
        <v>25</v>
      </c>
      <c r="G153" s="4" t="s">
        <v>25</v>
      </c>
      <c r="H153" s="4" t="s">
        <v>34</v>
      </c>
      <c r="I153" s="5">
        <v>44501</v>
      </c>
      <c r="J153" s="6">
        <v>0</v>
      </c>
      <c r="K153" s="70">
        <v>0</v>
      </c>
      <c r="L153" s="6">
        <v>17.268000000000001</v>
      </c>
      <c r="M153" s="70">
        <v>17.268000000000001</v>
      </c>
      <c r="N153" s="6">
        <v>17.268000000000001</v>
      </c>
      <c r="O153" s="70">
        <v>17.268000000000001</v>
      </c>
      <c r="P153" s="6">
        <v>0</v>
      </c>
      <c r="Q153" s="4" t="s">
        <v>26</v>
      </c>
      <c r="R153" s="4">
        <v>0</v>
      </c>
      <c r="S153" s="6">
        <v>0</v>
      </c>
      <c r="T153" s="6">
        <v>2</v>
      </c>
      <c r="U153" s="6">
        <v>74</v>
      </c>
      <c r="V153" s="70">
        <f>IF(ISERROR(VLOOKUP($S$153,'TAR FIN'!$A$1:$O$85,15,0)),0,VLOOKUP($S$153,'TAR FIN'!$A$1:$O$85,15,0))</f>
        <v>0</v>
      </c>
      <c r="W153" s="70">
        <f>IF(ISERROR(VLOOKUP($T$153,'TAR FIN'!$A$1:$O$85,15,0)),0,VLOOKUP($T$153,'TAR FIN'!$A$1:$O$85,15,0))*(1-0.06)</f>
        <v>87.871200000000002</v>
      </c>
      <c r="X153" s="70">
        <f>IF(ISERROR(VLOOKUP($U$153,'TAR FIN'!$A$1:$O$85,15,0)),0,VLOOKUP($U$153,'TAR FIN'!$A$1:$O$85,15,0))*(1-0.06)</f>
        <v>225.87259999999998</v>
      </c>
      <c r="Y153" s="70"/>
      <c r="Z153" s="70">
        <f ca="1">('TUSD BE'!$AM$12+'TUSD BF'!$AM$12+'TUSD CVA'!$AM$12)*1*(1-0.03)</f>
        <v>129.18083627712426</v>
      </c>
      <c r="AA153" s="70">
        <f>('TE BE'!$AA$6+'TE BF'!$AA$6+'TE CVA'!$AA$6)*1*(1-0.03)</f>
        <v>320.80893726149895</v>
      </c>
      <c r="AB153" s="6">
        <f>$K$153*$V$153</f>
        <v>0</v>
      </c>
      <c r="AC153" s="6">
        <f>$M$153*$W$153</f>
        <v>1517.3598816000001</v>
      </c>
      <c r="AD153" s="6">
        <f>$O$153*$X$153</f>
        <v>3900.3680568</v>
      </c>
      <c r="AE153" s="6">
        <f>$K$153*$Y$153</f>
        <v>0</v>
      </c>
      <c r="AF153" s="6">
        <f ca="1">$M$153*$Z$153</f>
        <v>2230.6946808333819</v>
      </c>
      <c r="AG153" s="6">
        <f>$O$153*$AA$153</f>
        <v>5539.7287286315641</v>
      </c>
    </row>
    <row r="154" spans="1:33" ht="11.25" customHeight="1" x14ac:dyDescent="0.3">
      <c r="A154" s="4" t="s">
        <v>21</v>
      </c>
      <c r="B154" s="4" t="s">
        <v>37</v>
      </c>
      <c r="C154" s="4" t="s">
        <v>38</v>
      </c>
      <c r="D154" s="4" t="s">
        <v>49</v>
      </c>
      <c r="E154" s="4" t="s">
        <v>50</v>
      </c>
      <c r="F154" s="4" t="s">
        <v>25</v>
      </c>
      <c r="G154" s="4" t="s">
        <v>25</v>
      </c>
      <c r="H154" s="4" t="s">
        <v>34</v>
      </c>
      <c r="I154" s="5">
        <v>44531</v>
      </c>
      <c r="J154" s="6">
        <v>0</v>
      </c>
      <c r="K154" s="70">
        <v>0</v>
      </c>
      <c r="L154" s="6">
        <v>16.783999999999999</v>
      </c>
      <c r="M154" s="70">
        <v>16.783999999999999</v>
      </c>
      <c r="N154" s="6">
        <v>16.783999999999999</v>
      </c>
      <c r="O154" s="70">
        <v>16.783999999999999</v>
      </c>
      <c r="P154" s="6">
        <v>0</v>
      </c>
      <c r="Q154" s="4" t="s">
        <v>26</v>
      </c>
      <c r="R154" s="4">
        <v>0</v>
      </c>
      <c r="S154" s="6">
        <v>0</v>
      </c>
      <c r="T154" s="6">
        <v>2</v>
      </c>
      <c r="U154" s="6">
        <v>74</v>
      </c>
      <c r="V154" s="70">
        <f>IF(ISERROR(VLOOKUP($S$154,'TAR FIN'!$A$1:$O$85,15,0)),0,VLOOKUP($S$154,'TAR FIN'!$A$1:$O$85,15,0))</f>
        <v>0</v>
      </c>
      <c r="W154" s="70">
        <f>IF(ISERROR(VLOOKUP($T$154,'TAR FIN'!$A$1:$O$85,15,0)),0,VLOOKUP($T$154,'TAR FIN'!$A$1:$O$85,15,0))*(1-0.06)</f>
        <v>87.871200000000002</v>
      </c>
      <c r="X154" s="70">
        <f>IF(ISERROR(VLOOKUP($U$154,'TAR FIN'!$A$1:$O$85,15,0)),0,VLOOKUP($U$154,'TAR FIN'!$A$1:$O$85,15,0))*(1-0.06)</f>
        <v>225.87259999999998</v>
      </c>
      <c r="Y154" s="70"/>
      <c r="Z154" s="70">
        <f ca="1">('TUSD BE'!$AM$12+'TUSD BF'!$AM$12+'TUSD CVA'!$AM$12)*1*(1-0.03)</f>
        <v>129.18083627712426</v>
      </c>
      <c r="AA154" s="70">
        <f>('TE BE'!$AA$6+'TE BF'!$AA$6+'TE CVA'!$AA$6)*1*(1-0.03)</f>
        <v>320.80893726149895</v>
      </c>
      <c r="AB154" s="6">
        <f>$K$154*$V$154</f>
        <v>0</v>
      </c>
      <c r="AC154" s="6">
        <f>$M$154*$W$154</f>
        <v>1474.8302208</v>
      </c>
      <c r="AD154" s="6">
        <f>$O$154*$X$154</f>
        <v>3791.0457183999993</v>
      </c>
      <c r="AE154" s="6">
        <f>$K$154*$Y$154</f>
        <v>0</v>
      </c>
      <c r="AF154" s="6">
        <f ca="1">$M$154*$Z$154</f>
        <v>2168.1711560752533</v>
      </c>
      <c r="AG154" s="6">
        <f>$O$154*$AA$154</f>
        <v>5384.4572029969977</v>
      </c>
    </row>
    <row r="155" spans="1:33" ht="11.25" customHeight="1" x14ac:dyDescent="0.3">
      <c r="A155" s="4" t="s">
        <v>21</v>
      </c>
      <c r="B155" s="4" t="s">
        <v>37</v>
      </c>
      <c r="C155" s="4" t="s">
        <v>38</v>
      </c>
      <c r="D155" s="4" t="s">
        <v>49</v>
      </c>
      <c r="E155" s="4" t="s">
        <v>50</v>
      </c>
      <c r="F155" s="4" t="s">
        <v>25</v>
      </c>
      <c r="G155" s="4" t="s">
        <v>25</v>
      </c>
      <c r="H155" s="4" t="s">
        <v>34</v>
      </c>
      <c r="I155" s="5">
        <v>44562</v>
      </c>
      <c r="J155" s="6">
        <v>0</v>
      </c>
      <c r="K155" s="70">
        <v>0</v>
      </c>
      <c r="L155" s="6">
        <v>17.085000000000001</v>
      </c>
      <c r="M155" s="70">
        <v>17.085000000000001</v>
      </c>
      <c r="N155" s="6">
        <v>17.085000000000001</v>
      </c>
      <c r="O155" s="70">
        <v>17.085000000000001</v>
      </c>
      <c r="P155" s="6">
        <v>0</v>
      </c>
      <c r="Q155" s="4" t="s">
        <v>26</v>
      </c>
      <c r="R155" s="4">
        <v>0</v>
      </c>
      <c r="S155" s="6">
        <v>0</v>
      </c>
      <c r="T155" s="6">
        <v>2</v>
      </c>
      <c r="U155" s="6">
        <v>74</v>
      </c>
      <c r="V155" s="70">
        <f>IF(ISERROR(VLOOKUP($S$155,'TAR FIN'!$A$1:$O$85,15,0)),0,VLOOKUP($S$155,'TAR FIN'!$A$1:$O$85,15,0))</f>
        <v>0</v>
      </c>
      <c r="W155" s="70">
        <f>IF(ISERROR(VLOOKUP($T$155,'TAR FIN'!$A$1:$O$85,15,0)),0,VLOOKUP($T$155,'TAR FIN'!$A$1:$O$85,15,0))*(1-0.06)</f>
        <v>87.871200000000002</v>
      </c>
      <c r="X155" s="70">
        <f>IF(ISERROR(VLOOKUP($U$155,'TAR FIN'!$A$1:$O$85,15,0)),0,VLOOKUP($U$155,'TAR FIN'!$A$1:$O$85,15,0))*(1-0.06)</f>
        <v>225.87259999999998</v>
      </c>
      <c r="Y155" s="70"/>
      <c r="Z155" s="70">
        <f ca="1">('TUSD BE'!$AM$12+'TUSD BF'!$AM$12+'TUSD CVA'!$AM$12)*1*(1-0.03)</f>
        <v>129.18083627712426</v>
      </c>
      <c r="AA155" s="70">
        <f>('TE BE'!$AA$6+'TE BF'!$AA$6+'TE CVA'!$AA$6)*1*(1-0.03)</f>
        <v>320.80893726149895</v>
      </c>
      <c r="AB155" s="6">
        <f>$K$155*$V$155</f>
        <v>0</v>
      </c>
      <c r="AC155" s="6">
        <f>$M$155*$W$155</f>
        <v>1501.279452</v>
      </c>
      <c r="AD155" s="6">
        <f>$O$155*$X$155</f>
        <v>3859.033371</v>
      </c>
      <c r="AE155" s="6">
        <f>$K$155*$Y$155</f>
        <v>0</v>
      </c>
      <c r="AF155" s="6">
        <f ca="1">$M$155*$Z$155</f>
        <v>2207.0545877946679</v>
      </c>
      <c r="AG155" s="6">
        <f>$O$155*$AA$155</f>
        <v>5481.0206931127095</v>
      </c>
    </row>
    <row r="156" spans="1:33" ht="11.25" customHeight="1" x14ac:dyDescent="0.3">
      <c r="A156" s="4" t="s">
        <v>21</v>
      </c>
      <c r="B156" s="4" t="s">
        <v>37</v>
      </c>
      <c r="C156" s="4" t="s">
        <v>38</v>
      </c>
      <c r="D156" s="4" t="s">
        <v>49</v>
      </c>
      <c r="E156" s="4" t="s">
        <v>50</v>
      </c>
      <c r="F156" s="4" t="s">
        <v>25</v>
      </c>
      <c r="G156" s="4" t="s">
        <v>25</v>
      </c>
      <c r="H156" s="4" t="s">
        <v>34</v>
      </c>
      <c r="I156" s="5">
        <v>44593</v>
      </c>
      <c r="J156" s="6">
        <v>0</v>
      </c>
      <c r="K156" s="70">
        <v>0</v>
      </c>
      <c r="L156" s="6">
        <v>16.117999999999999</v>
      </c>
      <c r="M156" s="70">
        <v>16.117999999999999</v>
      </c>
      <c r="N156" s="6">
        <v>16.117999999999999</v>
      </c>
      <c r="O156" s="70">
        <v>16.117999999999999</v>
      </c>
      <c r="P156" s="6">
        <v>0</v>
      </c>
      <c r="Q156" s="4" t="s">
        <v>26</v>
      </c>
      <c r="R156" s="4">
        <v>0</v>
      </c>
      <c r="S156" s="6">
        <v>0</v>
      </c>
      <c r="T156" s="6">
        <v>2</v>
      </c>
      <c r="U156" s="6">
        <v>74</v>
      </c>
      <c r="V156" s="70">
        <f>IF(ISERROR(VLOOKUP($S$156,'TAR FIN'!$A$1:$O$85,15,0)),0,VLOOKUP($S$156,'TAR FIN'!$A$1:$O$85,15,0))</f>
        <v>0</v>
      </c>
      <c r="W156" s="70">
        <f>IF(ISERROR(VLOOKUP($T$156,'TAR FIN'!$A$1:$O$85,15,0)),0,VLOOKUP($T$156,'TAR FIN'!$A$1:$O$85,15,0))*(1-0.06)</f>
        <v>87.871200000000002</v>
      </c>
      <c r="X156" s="70">
        <f>IF(ISERROR(VLOOKUP($U$156,'TAR FIN'!$A$1:$O$85,15,0)),0,VLOOKUP($U$156,'TAR FIN'!$A$1:$O$85,15,0))*(1-0.06)</f>
        <v>225.87259999999998</v>
      </c>
      <c r="Y156" s="70"/>
      <c r="Z156" s="70">
        <f ca="1">('TUSD BE'!$AM$12+'TUSD BF'!$AM$12+'TUSD CVA'!$AM$12)*1*(1-0.03)</f>
        <v>129.18083627712426</v>
      </c>
      <c r="AA156" s="70">
        <f>('TE BE'!$AA$6+'TE BF'!$AA$6+'TE CVA'!$AA$6)*1*(1-0.03)</f>
        <v>320.80893726149895</v>
      </c>
      <c r="AB156" s="6">
        <f>$K$156*$V$156</f>
        <v>0</v>
      </c>
      <c r="AC156" s="6">
        <f>$M$156*$W$156</f>
        <v>1416.3080015999999</v>
      </c>
      <c r="AD156" s="6">
        <f>$O$156*$X$156</f>
        <v>3640.6145667999995</v>
      </c>
      <c r="AE156" s="6">
        <f>$K$156*$Y$156</f>
        <v>0</v>
      </c>
      <c r="AF156" s="6">
        <f ca="1">$M$156*$Z$156</f>
        <v>2082.1367191146887</v>
      </c>
      <c r="AG156" s="6">
        <f>$O$156*$AA$156</f>
        <v>5170.7984507808396</v>
      </c>
    </row>
    <row r="157" spans="1:33" ht="11.25" customHeight="1" x14ac:dyDescent="0.3">
      <c r="A157" s="4" t="s">
        <v>21</v>
      </c>
      <c r="B157" s="4" t="s">
        <v>37</v>
      </c>
      <c r="C157" s="4" t="s">
        <v>38</v>
      </c>
      <c r="D157" s="4" t="s">
        <v>49</v>
      </c>
      <c r="E157" s="4" t="s">
        <v>50</v>
      </c>
      <c r="F157" s="4" t="s">
        <v>25</v>
      </c>
      <c r="G157" s="4" t="s">
        <v>25</v>
      </c>
      <c r="H157" s="4" t="s">
        <v>34</v>
      </c>
      <c r="I157" s="5">
        <v>44621</v>
      </c>
      <c r="J157" s="6">
        <v>0</v>
      </c>
      <c r="K157" s="70">
        <v>0</v>
      </c>
      <c r="L157" s="6">
        <v>17.745999999999999</v>
      </c>
      <c r="M157" s="70">
        <v>17.745999999999999</v>
      </c>
      <c r="N157" s="6">
        <v>17.745999999999999</v>
      </c>
      <c r="O157" s="70">
        <v>17.745999999999999</v>
      </c>
      <c r="P157" s="6">
        <v>0</v>
      </c>
      <c r="Q157" s="4" t="s">
        <v>26</v>
      </c>
      <c r="R157" s="4">
        <v>0</v>
      </c>
      <c r="S157" s="6">
        <v>0</v>
      </c>
      <c r="T157" s="6">
        <v>2</v>
      </c>
      <c r="U157" s="6">
        <v>74</v>
      </c>
      <c r="V157" s="70">
        <f>IF(ISERROR(VLOOKUP($S$157,'TAR FIN'!$A$1:$O$85,15,0)),0,VLOOKUP($S$157,'TAR FIN'!$A$1:$O$85,15,0))</f>
        <v>0</v>
      </c>
      <c r="W157" s="70">
        <f>IF(ISERROR(VLOOKUP($T$157,'TAR FIN'!$A$1:$O$85,15,0)),0,VLOOKUP($T$157,'TAR FIN'!$A$1:$O$85,15,0))*(1-0.06)</f>
        <v>87.871200000000002</v>
      </c>
      <c r="X157" s="70">
        <f>IF(ISERROR(VLOOKUP($U$157,'TAR FIN'!$A$1:$O$85,15,0)),0,VLOOKUP($U$157,'TAR FIN'!$A$1:$O$85,15,0))*(1-0.06)</f>
        <v>225.87259999999998</v>
      </c>
      <c r="Y157" s="70"/>
      <c r="Z157" s="70">
        <f ca="1">('TUSD BE'!$AM$12+'TUSD BF'!$AM$12+'TUSD CVA'!$AM$12)*1*(1-0.03)</f>
        <v>129.18083627712426</v>
      </c>
      <c r="AA157" s="70">
        <f>('TE BE'!$AA$6+'TE BF'!$AA$6+'TE CVA'!$AA$6)*1*(1-0.03)</f>
        <v>320.80893726149895</v>
      </c>
      <c r="AB157" s="6">
        <f>$K$157*$V$157</f>
        <v>0</v>
      </c>
      <c r="AC157" s="6">
        <f>$M$157*$W$157</f>
        <v>1559.3623152</v>
      </c>
      <c r="AD157" s="6">
        <f>$O$157*$X$157</f>
        <v>4008.3351595999993</v>
      </c>
      <c r="AE157" s="6">
        <f>$K$157*$Y$157</f>
        <v>0</v>
      </c>
      <c r="AF157" s="6">
        <f ca="1">$M$157*$Z$157</f>
        <v>2292.443120573847</v>
      </c>
      <c r="AG157" s="6">
        <f>$O$157*$AA$157</f>
        <v>5693.0754006425605</v>
      </c>
    </row>
    <row r="158" spans="1:33" ht="11.25" customHeight="1" x14ac:dyDescent="0.3">
      <c r="A158" s="4" t="s">
        <v>21</v>
      </c>
      <c r="B158" s="4" t="s">
        <v>37</v>
      </c>
      <c r="C158" s="4" t="s">
        <v>38</v>
      </c>
      <c r="D158" s="4" t="s">
        <v>49</v>
      </c>
      <c r="E158" s="4" t="s">
        <v>50</v>
      </c>
      <c r="F158" s="4" t="s">
        <v>25</v>
      </c>
      <c r="G158" s="4" t="s">
        <v>25</v>
      </c>
      <c r="H158" s="4" t="s">
        <v>25</v>
      </c>
      <c r="I158" s="5">
        <v>44287</v>
      </c>
      <c r="J158" s="6">
        <v>58</v>
      </c>
      <c r="K158" s="71">
        <v>58</v>
      </c>
      <c r="L158" s="6">
        <v>0</v>
      </c>
      <c r="M158" s="70">
        <v>0</v>
      </c>
      <c r="N158" s="6">
        <v>0</v>
      </c>
      <c r="O158" s="70">
        <v>0</v>
      </c>
      <c r="P158" s="6">
        <v>1</v>
      </c>
      <c r="Q158" s="4" t="s">
        <v>26</v>
      </c>
      <c r="R158" s="4">
        <v>0</v>
      </c>
      <c r="S158" s="6">
        <v>50</v>
      </c>
      <c r="T158" s="6">
        <v>0</v>
      </c>
      <c r="U158" s="6">
        <v>0</v>
      </c>
      <c r="V158" s="70">
        <f>IF(ISERROR(VLOOKUP($S$158,'TAR FIN'!$A$1:$O$85,15,0)),0,VLOOKUP($S$158,'TAR FIN'!$A$1:$O$85,15,0))*(1-0.06)</f>
        <v>69.945399999999992</v>
      </c>
      <c r="W158" s="70">
        <f>IF(ISERROR(VLOOKUP($T$158,'TAR FIN'!$A$1:$O$85,15,0)),0,VLOOKUP($T$158,'TAR FIN'!$A$1:$O$85,15,0))</f>
        <v>0</v>
      </c>
      <c r="X158" s="70">
        <f>IF(ISERROR(VLOOKUP($U$158,'TAR FIN'!$A$1:$O$85,15,0)),0,VLOOKUP($U$158,'TAR FIN'!$A$1:$O$85,15,0))</f>
        <v>0</v>
      </c>
      <c r="Y158" s="70">
        <f ca="1">('TUSD BE'!$AM$10+'TUSD BF'!$AM$10+'TUSD CVA'!$AM$10)*1*(1-0.03)</f>
        <v>78.609747049325335</v>
      </c>
      <c r="Z158" s="70"/>
      <c r="AA158" s="70"/>
      <c r="AB158" s="6">
        <f>$K$158*$V$158</f>
        <v>4056.8331999999996</v>
      </c>
      <c r="AC158" s="6">
        <f>$M$158*$W$158</f>
        <v>0</v>
      </c>
      <c r="AD158" s="6">
        <f>$O$158*$X$158</f>
        <v>0</v>
      </c>
      <c r="AE158" s="6">
        <f ca="1">$K$158*$Y$158</f>
        <v>4559.3653288608693</v>
      </c>
      <c r="AF158" s="6">
        <f>$M$158*$Z$158</f>
        <v>0</v>
      </c>
      <c r="AG158" s="6">
        <f>$O$158*$AA$158</f>
        <v>0</v>
      </c>
    </row>
    <row r="159" spans="1:33" ht="11.25" customHeight="1" x14ac:dyDescent="0.3">
      <c r="A159" s="4" t="s">
        <v>21</v>
      </c>
      <c r="B159" s="4" t="s">
        <v>37</v>
      </c>
      <c r="C159" s="4" t="s">
        <v>38</v>
      </c>
      <c r="D159" s="4" t="s">
        <v>49</v>
      </c>
      <c r="E159" s="4" t="s">
        <v>50</v>
      </c>
      <c r="F159" s="4" t="s">
        <v>25</v>
      </c>
      <c r="G159" s="4" t="s">
        <v>25</v>
      </c>
      <c r="H159" s="4" t="s">
        <v>25</v>
      </c>
      <c r="I159" s="5">
        <v>44317</v>
      </c>
      <c r="J159" s="6">
        <v>58</v>
      </c>
      <c r="K159" s="71">
        <v>58</v>
      </c>
      <c r="L159" s="6">
        <v>0</v>
      </c>
      <c r="M159" s="70">
        <v>0</v>
      </c>
      <c r="N159" s="6">
        <v>0</v>
      </c>
      <c r="O159" s="70">
        <v>0</v>
      </c>
      <c r="P159" s="6">
        <v>1</v>
      </c>
      <c r="Q159" s="4" t="s">
        <v>26</v>
      </c>
      <c r="R159" s="4">
        <v>0</v>
      </c>
      <c r="S159" s="6">
        <v>50</v>
      </c>
      <c r="T159" s="6">
        <v>0</v>
      </c>
      <c r="U159" s="6">
        <v>0</v>
      </c>
      <c r="V159" s="70">
        <f>IF(ISERROR(VLOOKUP($S$159,'TAR FIN'!$A$1:$O$85,15,0)),0,VLOOKUP($S$159,'TAR FIN'!$A$1:$O$85,15,0))*(1-0.06)</f>
        <v>69.945399999999992</v>
      </c>
      <c r="W159" s="70">
        <f>IF(ISERROR(VLOOKUP($T$159,'TAR FIN'!$A$1:$O$85,15,0)),0,VLOOKUP($T$159,'TAR FIN'!$A$1:$O$85,15,0))</f>
        <v>0</v>
      </c>
      <c r="X159" s="70">
        <f>IF(ISERROR(VLOOKUP($U$159,'TAR FIN'!$A$1:$O$85,15,0)),0,VLOOKUP($U$159,'TAR FIN'!$A$1:$O$85,15,0))</f>
        <v>0</v>
      </c>
      <c r="Y159" s="70">
        <f ca="1">('TUSD BE'!$AM$10+'TUSD BF'!$AM$10+'TUSD CVA'!$AM$10)*1*(1-0.03)</f>
        <v>78.609747049325335</v>
      </c>
      <c r="Z159" s="70"/>
      <c r="AA159" s="70"/>
      <c r="AB159" s="6">
        <f>$K$159*$V$159</f>
        <v>4056.8331999999996</v>
      </c>
      <c r="AC159" s="6">
        <f>$M$159*$W$159</f>
        <v>0</v>
      </c>
      <c r="AD159" s="6">
        <f>$O$159*$X$159</f>
        <v>0</v>
      </c>
      <c r="AE159" s="6">
        <f ca="1">$K$159*$Y$159</f>
        <v>4559.3653288608693</v>
      </c>
      <c r="AF159" s="6">
        <f>$M$159*$Z$159</f>
        <v>0</v>
      </c>
      <c r="AG159" s="6">
        <f>$O$159*$AA$159</f>
        <v>0</v>
      </c>
    </row>
    <row r="160" spans="1:33" ht="11.25" customHeight="1" x14ac:dyDescent="0.3">
      <c r="A160" s="4" t="s">
        <v>21</v>
      </c>
      <c r="B160" s="4" t="s">
        <v>37</v>
      </c>
      <c r="C160" s="4" t="s">
        <v>38</v>
      </c>
      <c r="D160" s="4" t="s">
        <v>49</v>
      </c>
      <c r="E160" s="4" t="s">
        <v>50</v>
      </c>
      <c r="F160" s="4" t="s">
        <v>25</v>
      </c>
      <c r="G160" s="4" t="s">
        <v>25</v>
      </c>
      <c r="H160" s="4" t="s">
        <v>25</v>
      </c>
      <c r="I160" s="5">
        <v>44348</v>
      </c>
      <c r="J160" s="6">
        <v>58</v>
      </c>
      <c r="K160" s="71">
        <v>58</v>
      </c>
      <c r="L160" s="6">
        <v>0</v>
      </c>
      <c r="M160" s="70">
        <v>0</v>
      </c>
      <c r="N160" s="6">
        <v>0</v>
      </c>
      <c r="O160" s="70">
        <v>0</v>
      </c>
      <c r="P160" s="6">
        <v>1</v>
      </c>
      <c r="Q160" s="4" t="s">
        <v>26</v>
      </c>
      <c r="R160" s="4">
        <v>0</v>
      </c>
      <c r="S160" s="6">
        <v>50</v>
      </c>
      <c r="T160" s="6">
        <v>0</v>
      </c>
      <c r="U160" s="6">
        <v>0</v>
      </c>
      <c r="V160" s="70">
        <f>IF(ISERROR(VLOOKUP($S$160,'TAR FIN'!$A$1:$O$85,15,0)),0,VLOOKUP($S$160,'TAR FIN'!$A$1:$O$85,15,0))*(1-0.06)</f>
        <v>69.945399999999992</v>
      </c>
      <c r="W160" s="70">
        <f>IF(ISERROR(VLOOKUP($T$160,'TAR FIN'!$A$1:$O$85,15,0)),0,VLOOKUP($T$160,'TAR FIN'!$A$1:$O$85,15,0))</f>
        <v>0</v>
      </c>
      <c r="X160" s="70">
        <f>IF(ISERROR(VLOOKUP($U$160,'TAR FIN'!$A$1:$O$85,15,0)),0,VLOOKUP($U$160,'TAR FIN'!$A$1:$O$85,15,0))</f>
        <v>0</v>
      </c>
      <c r="Y160" s="70">
        <f ca="1">('TUSD BE'!$AM$10+'TUSD BF'!$AM$10+'TUSD CVA'!$AM$10)*1*(1-0.03)</f>
        <v>78.609747049325335</v>
      </c>
      <c r="Z160" s="70"/>
      <c r="AA160" s="70"/>
      <c r="AB160" s="6">
        <f>$K$160*$V$160</f>
        <v>4056.8331999999996</v>
      </c>
      <c r="AC160" s="6">
        <f>$M$160*$W$160</f>
        <v>0</v>
      </c>
      <c r="AD160" s="6">
        <f>$O$160*$X$160</f>
        <v>0</v>
      </c>
      <c r="AE160" s="6">
        <f ca="1">$K$160*$Y$160</f>
        <v>4559.3653288608693</v>
      </c>
      <c r="AF160" s="6">
        <f>$M$160*$Z$160</f>
        <v>0</v>
      </c>
      <c r="AG160" s="6">
        <f>$O$160*$AA$160</f>
        <v>0</v>
      </c>
    </row>
    <row r="161" spans="1:33" ht="11.25" customHeight="1" x14ac:dyDescent="0.3">
      <c r="A161" s="4" t="s">
        <v>21</v>
      </c>
      <c r="B161" s="4" t="s">
        <v>37</v>
      </c>
      <c r="C161" s="4" t="s">
        <v>38</v>
      </c>
      <c r="D161" s="4" t="s">
        <v>49</v>
      </c>
      <c r="E161" s="4" t="s">
        <v>50</v>
      </c>
      <c r="F161" s="4" t="s">
        <v>25</v>
      </c>
      <c r="G161" s="4" t="s">
        <v>25</v>
      </c>
      <c r="H161" s="4" t="s">
        <v>25</v>
      </c>
      <c r="I161" s="5">
        <v>44378</v>
      </c>
      <c r="J161" s="6">
        <v>58</v>
      </c>
      <c r="K161" s="71">
        <v>58</v>
      </c>
      <c r="L161" s="6">
        <v>0</v>
      </c>
      <c r="M161" s="70">
        <v>0</v>
      </c>
      <c r="N161" s="6">
        <v>0</v>
      </c>
      <c r="O161" s="70">
        <v>0</v>
      </c>
      <c r="P161" s="6">
        <v>1</v>
      </c>
      <c r="Q161" s="4" t="s">
        <v>26</v>
      </c>
      <c r="R161" s="4">
        <v>0</v>
      </c>
      <c r="S161" s="6">
        <v>50</v>
      </c>
      <c r="T161" s="6">
        <v>0</v>
      </c>
      <c r="U161" s="6">
        <v>0</v>
      </c>
      <c r="V161" s="70">
        <f>IF(ISERROR(VLOOKUP($S$161,'TAR FIN'!$A$1:$O$85,15,0)),0,VLOOKUP($S$161,'TAR FIN'!$A$1:$O$85,15,0))*(1-0.06)</f>
        <v>69.945399999999992</v>
      </c>
      <c r="W161" s="70">
        <f>IF(ISERROR(VLOOKUP($T$161,'TAR FIN'!$A$1:$O$85,15,0)),0,VLOOKUP($T$161,'TAR FIN'!$A$1:$O$85,15,0))</f>
        <v>0</v>
      </c>
      <c r="X161" s="70">
        <f>IF(ISERROR(VLOOKUP($U$161,'TAR FIN'!$A$1:$O$85,15,0)),0,VLOOKUP($U$161,'TAR FIN'!$A$1:$O$85,15,0))</f>
        <v>0</v>
      </c>
      <c r="Y161" s="70">
        <f ca="1">('TUSD BE'!$AM$10+'TUSD BF'!$AM$10+'TUSD CVA'!$AM$10)*1*(1-0.03)</f>
        <v>78.609747049325335</v>
      </c>
      <c r="Z161" s="70"/>
      <c r="AA161" s="70"/>
      <c r="AB161" s="6">
        <f>$K$161*$V$161</f>
        <v>4056.8331999999996</v>
      </c>
      <c r="AC161" s="6">
        <f>$M$161*$W$161</f>
        <v>0</v>
      </c>
      <c r="AD161" s="6">
        <f>$O$161*$X$161</f>
        <v>0</v>
      </c>
      <c r="AE161" s="6">
        <f ca="1">$K$161*$Y$161</f>
        <v>4559.3653288608693</v>
      </c>
      <c r="AF161" s="6">
        <f>$M$161*$Z$161</f>
        <v>0</v>
      </c>
      <c r="AG161" s="6">
        <f>$O$161*$AA$161</f>
        <v>0</v>
      </c>
    </row>
    <row r="162" spans="1:33" ht="11.25" customHeight="1" x14ac:dyDescent="0.3">
      <c r="A162" s="4" t="s">
        <v>21</v>
      </c>
      <c r="B162" s="4" t="s">
        <v>37</v>
      </c>
      <c r="C162" s="4" t="s">
        <v>38</v>
      </c>
      <c r="D162" s="4" t="s">
        <v>49</v>
      </c>
      <c r="E162" s="4" t="s">
        <v>50</v>
      </c>
      <c r="F162" s="4" t="s">
        <v>25</v>
      </c>
      <c r="G162" s="4" t="s">
        <v>25</v>
      </c>
      <c r="H162" s="4" t="s">
        <v>25</v>
      </c>
      <c r="I162" s="5">
        <v>44409</v>
      </c>
      <c r="J162" s="6">
        <v>58</v>
      </c>
      <c r="K162" s="71">
        <v>58</v>
      </c>
      <c r="L162" s="6">
        <v>0</v>
      </c>
      <c r="M162" s="70">
        <v>0</v>
      </c>
      <c r="N162" s="6">
        <v>0</v>
      </c>
      <c r="O162" s="70">
        <v>0</v>
      </c>
      <c r="P162" s="6">
        <v>1</v>
      </c>
      <c r="Q162" s="4" t="s">
        <v>26</v>
      </c>
      <c r="R162" s="4">
        <v>0</v>
      </c>
      <c r="S162" s="6">
        <v>50</v>
      </c>
      <c r="T162" s="6">
        <v>0</v>
      </c>
      <c r="U162" s="6">
        <v>0</v>
      </c>
      <c r="V162" s="70">
        <f>IF(ISERROR(VLOOKUP($S$162,'TAR FIN'!$A$1:$O$85,15,0)),0,VLOOKUP($S$162,'TAR FIN'!$A$1:$O$85,15,0))*(1-0.06)</f>
        <v>69.945399999999992</v>
      </c>
      <c r="W162" s="70">
        <f>IF(ISERROR(VLOOKUP($T$162,'TAR FIN'!$A$1:$O$85,15,0)),0,VLOOKUP($T$162,'TAR FIN'!$A$1:$O$85,15,0))</f>
        <v>0</v>
      </c>
      <c r="X162" s="70">
        <f>IF(ISERROR(VLOOKUP($U$162,'TAR FIN'!$A$1:$O$85,15,0)),0,VLOOKUP($U$162,'TAR FIN'!$A$1:$O$85,15,0))</f>
        <v>0</v>
      </c>
      <c r="Y162" s="70">
        <f ca="1">('TUSD BE'!$AM$10+'TUSD BF'!$AM$10+'TUSD CVA'!$AM$10)*1*(1-0.03)</f>
        <v>78.609747049325335</v>
      </c>
      <c r="Z162" s="70"/>
      <c r="AA162" s="70"/>
      <c r="AB162" s="6">
        <f>$K$162*$V$162</f>
        <v>4056.8331999999996</v>
      </c>
      <c r="AC162" s="6">
        <f>$M$162*$W$162</f>
        <v>0</v>
      </c>
      <c r="AD162" s="6">
        <f>$O$162*$X$162</f>
        <v>0</v>
      </c>
      <c r="AE162" s="6">
        <f ca="1">$K$162*$Y$162</f>
        <v>4559.3653288608693</v>
      </c>
      <c r="AF162" s="6">
        <f>$M$162*$Z$162</f>
        <v>0</v>
      </c>
      <c r="AG162" s="6">
        <f>$O$162*$AA$162</f>
        <v>0</v>
      </c>
    </row>
    <row r="163" spans="1:33" ht="11.25" customHeight="1" x14ac:dyDescent="0.3">
      <c r="A163" s="4" t="s">
        <v>21</v>
      </c>
      <c r="B163" s="4" t="s">
        <v>37</v>
      </c>
      <c r="C163" s="4" t="s">
        <v>38</v>
      </c>
      <c r="D163" s="4" t="s">
        <v>49</v>
      </c>
      <c r="E163" s="4" t="s">
        <v>50</v>
      </c>
      <c r="F163" s="4" t="s">
        <v>25</v>
      </c>
      <c r="G163" s="4" t="s">
        <v>25</v>
      </c>
      <c r="H163" s="4" t="s">
        <v>25</v>
      </c>
      <c r="I163" s="5">
        <v>44440</v>
      </c>
      <c r="J163" s="6">
        <v>58</v>
      </c>
      <c r="K163" s="71">
        <v>58</v>
      </c>
      <c r="L163" s="6">
        <v>0</v>
      </c>
      <c r="M163" s="70">
        <v>0</v>
      </c>
      <c r="N163" s="6">
        <v>0</v>
      </c>
      <c r="O163" s="70">
        <v>0</v>
      </c>
      <c r="P163" s="6">
        <v>1</v>
      </c>
      <c r="Q163" s="4" t="s">
        <v>26</v>
      </c>
      <c r="R163" s="4">
        <v>0</v>
      </c>
      <c r="S163" s="6">
        <v>50</v>
      </c>
      <c r="T163" s="6">
        <v>0</v>
      </c>
      <c r="U163" s="6">
        <v>0</v>
      </c>
      <c r="V163" s="70">
        <f>IF(ISERROR(VLOOKUP($S$163,'TAR FIN'!$A$1:$O$85,15,0)),0,VLOOKUP($S$163,'TAR FIN'!$A$1:$O$85,15,0))*(1-0.06)</f>
        <v>69.945399999999992</v>
      </c>
      <c r="W163" s="70">
        <f>IF(ISERROR(VLOOKUP($T$163,'TAR FIN'!$A$1:$O$85,15,0)),0,VLOOKUP($T$163,'TAR FIN'!$A$1:$O$85,15,0))</f>
        <v>0</v>
      </c>
      <c r="X163" s="70">
        <f>IF(ISERROR(VLOOKUP($U$163,'TAR FIN'!$A$1:$O$85,15,0)),0,VLOOKUP($U$163,'TAR FIN'!$A$1:$O$85,15,0))</f>
        <v>0</v>
      </c>
      <c r="Y163" s="70">
        <f ca="1">('TUSD BE'!$AM$10+'TUSD BF'!$AM$10+'TUSD CVA'!$AM$10)*1*(1-0.03)</f>
        <v>78.609747049325335</v>
      </c>
      <c r="Z163" s="70"/>
      <c r="AA163" s="70"/>
      <c r="AB163" s="6">
        <f>$K$163*$V$163</f>
        <v>4056.8331999999996</v>
      </c>
      <c r="AC163" s="6">
        <f>$M$163*$W$163</f>
        <v>0</v>
      </c>
      <c r="AD163" s="6">
        <f>$O$163*$X$163</f>
        <v>0</v>
      </c>
      <c r="AE163" s="6">
        <f ca="1">$K$163*$Y$163</f>
        <v>4559.3653288608693</v>
      </c>
      <c r="AF163" s="6">
        <f>$M$163*$Z$163</f>
        <v>0</v>
      </c>
      <c r="AG163" s="6">
        <f>$O$163*$AA$163</f>
        <v>0</v>
      </c>
    </row>
    <row r="164" spans="1:33" ht="11.25" customHeight="1" x14ac:dyDescent="0.3">
      <c r="A164" s="4" t="s">
        <v>21</v>
      </c>
      <c r="B164" s="4" t="s">
        <v>37</v>
      </c>
      <c r="C164" s="4" t="s">
        <v>38</v>
      </c>
      <c r="D164" s="4" t="s">
        <v>49</v>
      </c>
      <c r="E164" s="4" t="s">
        <v>50</v>
      </c>
      <c r="F164" s="4" t="s">
        <v>25</v>
      </c>
      <c r="G164" s="4" t="s">
        <v>25</v>
      </c>
      <c r="H164" s="4" t="s">
        <v>25</v>
      </c>
      <c r="I164" s="5">
        <v>44470</v>
      </c>
      <c r="J164" s="6">
        <v>58</v>
      </c>
      <c r="K164" s="71">
        <v>58</v>
      </c>
      <c r="L164" s="6">
        <v>0</v>
      </c>
      <c r="M164" s="70">
        <v>0</v>
      </c>
      <c r="N164" s="6">
        <v>0</v>
      </c>
      <c r="O164" s="70">
        <v>0</v>
      </c>
      <c r="P164" s="6">
        <v>1</v>
      </c>
      <c r="Q164" s="4" t="s">
        <v>26</v>
      </c>
      <c r="R164" s="4">
        <v>0</v>
      </c>
      <c r="S164" s="6">
        <v>50</v>
      </c>
      <c r="T164" s="6">
        <v>0</v>
      </c>
      <c r="U164" s="6">
        <v>0</v>
      </c>
      <c r="V164" s="70">
        <f>IF(ISERROR(VLOOKUP($S$164,'TAR FIN'!$A$1:$O$85,15,0)),0,VLOOKUP($S$164,'TAR FIN'!$A$1:$O$85,15,0))*(1-0.06)</f>
        <v>69.945399999999992</v>
      </c>
      <c r="W164" s="70">
        <f>IF(ISERROR(VLOOKUP($T$164,'TAR FIN'!$A$1:$O$85,15,0)),0,VLOOKUP($T$164,'TAR FIN'!$A$1:$O$85,15,0))</f>
        <v>0</v>
      </c>
      <c r="X164" s="70">
        <f>IF(ISERROR(VLOOKUP($U$164,'TAR FIN'!$A$1:$O$85,15,0)),0,VLOOKUP($U$164,'TAR FIN'!$A$1:$O$85,15,0))</f>
        <v>0</v>
      </c>
      <c r="Y164" s="70">
        <f ca="1">('TUSD BE'!$AM$10+'TUSD BF'!$AM$10+'TUSD CVA'!$AM$10)*1*(1-0.03)</f>
        <v>78.609747049325335</v>
      </c>
      <c r="Z164" s="70"/>
      <c r="AA164" s="70"/>
      <c r="AB164" s="6">
        <f>$K$164*$V$164</f>
        <v>4056.8331999999996</v>
      </c>
      <c r="AC164" s="6">
        <f>$M$164*$W$164</f>
        <v>0</v>
      </c>
      <c r="AD164" s="6">
        <f>$O$164*$X$164</f>
        <v>0</v>
      </c>
      <c r="AE164" s="6">
        <f ca="1">$K$164*$Y$164</f>
        <v>4559.3653288608693</v>
      </c>
      <c r="AF164" s="6">
        <f>$M$164*$Z$164</f>
        <v>0</v>
      </c>
      <c r="AG164" s="6">
        <f>$O$164*$AA$164</f>
        <v>0</v>
      </c>
    </row>
    <row r="165" spans="1:33" ht="11.25" customHeight="1" x14ac:dyDescent="0.3">
      <c r="A165" s="4" t="s">
        <v>21</v>
      </c>
      <c r="B165" s="4" t="s">
        <v>37</v>
      </c>
      <c r="C165" s="4" t="s">
        <v>38</v>
      </c>
      <c r="D165" s="4" t="s">
        <v>49</v>
      </c>
      <c r="E165" s="4" t="s">
        <v>50</v>
      </c>
      <c r="F165" s="4" t="s">
        <v>25</v>
      </c>
      <c r="G165" s="4" t="s">
        <v>25</v>
      </c>
      <c r="H165" s="4" t="s">
        <v>25</v>
      </c>
      <c r="I165" s="5">
        <v>44501</v>
      </c>
      <c r="J165" s="6">
        <v>58</v>
      </c>
      <c r="K165" s="71">
        <v>58</v>
      </c>
      <c r="L165" s="6">
        <v>0</v>
      </c>
      <c r="M165" s="70">
        <v>0</v>
      </c>
      <c r="N165" s="6">
        <v>0</v>
      </c>
      <c r="O165" s="70">
        <v>0</v>
      </c>
      <c r="P165" s="6">
        <v>1</v>
      </c>
      <c r="Q165" s="4" t="s">
        <v>26</v>
      </c>
      <c r="R165" s="4">
        <v>0</v>
      </c>
      <c r="S165" s="6">
        <v>50</v>
      </c>
      <c r="T165" s="6">
        <v>0</v>
      </c>
      <c r="U165" s="6">
        <v>0</v>
      </c>
      <c r="V165" s="70">
        <f>IF(ISERROR(VLOOKUP($S$165,'TAR FIN'!$A$1:$O$85,15,0)),0,VLOOKUP($S$165,'TAR FIN'!$A$1:$O$85,15,0))*(1-0.06)</f>
        <v>69.945399999999992</v>
      </c>
      <c r="W165" s="70">
        <f>IF(ISERROR(VLOOKUP($T$165,'TAR FIN'!$A$1:$O$85,15,0)),0,VLOOKUP($T$165,'TAR FIN'!$A$1:$O$85,15,0))</f>
        <v>0</v>
      </c>
      <c r="X165" s="70">
        <f>IF(ISERROR(VLOOKUP($U$165,'TAR FIN'!$A$1:$O$85,15,0)),0,VLOOKUP($U$165,'TAR FIN'!$A$1:$O$85,15,0))</f>
        <v>0</v>
      </c>
      <c r="Y165" s="70">
        <f ca="1">('TUSD BE'!$AM$10+'TUSD BF'!$AM$10+'TUSD CVA'!$AM$10)*1*(1-0.03)</f>
        <v>78.609747049325335</v>
      </c>
      <c r="Z165" s="70"/>
      <c r="AA165" s="70"/>
      <c r="AB165" s="6">
        <f>$K$165*$V$165</f>
        <v>4056.8331999999996</v>
      </c>
      <c r="AC165" s="6">
        <f>$M$165*$W$165</f>
        <v>0</v>
      </c>
      <c r="AD165" s="6">
        <f>$O$165*$X$165</f>
        <v>0</v>
      </c>
      <c r="AE165" s="6">
        <f ca="1">$K$165*$Y$165</f>
        <v>4559.3653288608693</v>
      </c>
      <c r="AF165" s="6">
        <f>$M$165*$Z$165</f>
        <v>0</v>
      </c>
      <c r="AG165" s="6">
        <f>$O$165*$AA$165</f>
        <v>0</v>
      </c>
    </row>
    <row r="166" spans="1:33" ht="11.25" customHeight="1" x14ac:dyDescent="0.3">
      <c r="A166" s="4" t="s">
        <v>21</v>
      </c>
      <c r="B166" s="4" t="s">
        <v>37</v>
      </c>
      <c r="C166" s="4" t="s">
        <v>38</v>
      </c>
      <c r="D166" s="4" t="s">
        <v>49</v>
      </c>
      <c r="E166" s="4" t="s">
        <v>50</v>
      </c>
      <c r="F166" s="4" t="s">
        <v>25</v>
      </c>
      <c r="G166" s="4" t="s">
        <v>25</v>
      </c>
      <c r="H166" s="4" t="s">
        <v>25</v>
      </c>
      <c r="I166" s="5">
        <v>44531</v>
      </c>
      <c r="J166" s="6">
        <v>58</v>
      </c>
      <c r="K166" s="71">
        <v>58</v>
      </c>
      <c r="L166" s="6">
        <v>0</v>
      </c>
      <c r="M166" s="70">
        <v>0</v>
      </c>
      <c r="N166" s="6">
        <v>0</v>
      </c>
      <c r="O166" s="70">
        <v>0</v>
      </c>
      <c r="P166" s="6">
        <v>1</v>
      </c>
      <c r="Q166" s="4" t="s">
        <v>26</v>
      </c>
      <c r="R166" s="4">
        <v>0</v>
      </c>
      <c r="S166" s="6">
        <v>50</v>
      </c>
      <c r="T166" s="6">
        <v>0</v>
      </c>
      <c r="U166" s="6">
        <v>0</v>
      </c>
      <c r="V166" s="70">
        <f>IF(ISERROR(VLOOKUP($S$166,'TAR FIN'!$A$1:$O$85,15,0)),0,VLOOKUP($S$166,'TAR FIN'!$A$1:$O$85,15,0))*(1-0.06)</f>
        <v>69.945399999999992</v>
      </c>
      <c r="W166" s="70">
        <f>IF(ISERROR(VLOOKUP($T$166,'TAR FIN'!$A$1:$O$85,15,0)),0,VLOOKUP($T$166,'TAR FIN'!$A$1:$O$85,15,0))</f>
        <v>0</v>
      </c>
      <c r="X166" s="70">
        <f>IF(ISERROR(VLOOKUP($U$166,'TAR FIN'!$A$1:$O$85,15,0)),0,VLOOKUP($U$166,'TAR FIN'!$A$1:$O$85,15,0))</f>
        <v>0</v>
      </c>
      <c r="Y166" s="70">
        <f ca="1">('TUSD BE'!$AM$10+'TUSD BF'!$AM$10+'TUSD CVA'!$AM$10)*1*(1-0.03)</f>
        <v>78.609747049325335</v>
      </c>
      <c r="Z166" s="70"/>
      <c r="AA166" s="70"/>
      <c r="AB166" s="6">
        <f>$K$166*$V$166</f>
        <v>4056.8331999999996</v>
      </c>
      <c r="AC166" s="6">
        <f>$M$166*$W$166</f>
        <v>0</v>
      </c>
      <c r="AD166" s="6">
        <f>$O$166*$X$166</f>
        <v>0</v>
      </c>
      <c r="AE166" s="6">
        <f ca="1">$K$166*$Y$166</f>
        <v>4559.3653288608693</v>
      </c>
      <c r="AF166" s="6">
        <f>$M$166*$Z$166</f>
        <v>0</v>
      </c>
      <c r="AG166" s="6">
        <f>$O$166*$AA$166</f>
        <v>0</v>
      </c>
    </row>
    <row r="167" spans="1:33" ht="11.25" customHeight="1" x14ac:dyDescent="0.3">
      <c r="A167" s="4" t="s">
        <v>21</v>
      </c>
      <c r="B167" s="4" t="s">
        <v>37</v>
      </c>
      <c r="C167" s="4" t="s">
        <v>38</v>
      </c>
      <c r="D167" s="4" t="s">
        <v>49</v>
      </c>
      <c r="E167" s="4" t="s">
        <v>50</v>
      </c>
      <c r="F167" s="4" t="s">
        <v>25</v>
      </c>
      <c r="G167" s="4" t="s">
        <v>25</v>
      </c>
      <c r="H167" s="4" t="s">
        <v>25</v>
      </c>
      <c r="I167" s="5">
        <v>44562</v>
      </c>
      <c r="J167" s="6">
        <v>58</v>
      </c>
      <c r="K167" s="71">
        <v>58</v>
      </c>
      <c r="L167" s="6">
        <v>0</v>
      </c>
      <c r="M167" s="70">
        <v>0</v>
      </c>
      <c r="N167" s="6">
        <v>0</v>
      </c>
      <c r="O167" s="70">
        <v>0</v>
      </c>
      <c r="P167" s="6">
        <v>1</v>
      </c>
      <c r="Q167" s="4" t="s">
        <v>26</v>
      </c>
      <c r="R167" s="4">
        <v>0</v>
      </c>
      <c r="S167" s="6">
        <v>50</v>
      </c>
      <c r="T167" s="6">
        <v>0</v>
      </c>
      <c r="U167" s="6">
        <v>0</v>
      </c>
      <c r="V167" s="70">
        <f>IF(ISERROR(VLOOKUP($S$167,'TAR FIN'!$A$1:$O$85,15,0)),0,VLOOKUP($S$167,'TAR FIN'!$A$1:$O$85,15,0))*(1-0.06)</f>
        <v>69.945399999999992</v>
      </c>
      <c r="W167" s="70">
        <f>IF(ISERROR(VLOOKUP($T$167,'TAR FIN'!$A$1:$O$85,15,0)),0,VLOOKUP($T$167,'TAR FIN'!$A$1:$O$85,15,0))</f>
        <v>0</v>
      </c>
      <c r="X167" s="70">
        <f>IF(ISERROR(VLOOKUP($U$167,'TAR FIN'!$A$1:$O$85,15,0)),0,VLOOKUP($U$167,'TAR FIN'!$A$1:$O$85,15,0))</f>
        <v>0</v>
      </c>
      <c r="Y167" s="70">
        <f ca="1">('TUSD BE'!$AM$10+'TUSD BF'!$AM$10+'TUSD CVA'!$AM$10)*1*(1-0.03)</f>
        <v>78.609747049325335</v>
      </c>
      <c r="Z167" s="70"/>
      <c r="AA167" s="70"/>
      <c r="AB167" s="6">
        <f>$K$167*$V$167</f>
        <v>4056.8331999999996</v>
      </c>
      <c r="AC167" s="6">
        <f>$M$167*$W$167</f>
        <v>0</v>
      </c>
      <c r="AD167" s="6">
        <f>$O$167*$X$167</f>
        <v>0</v>
      </c>
      <c r="AE167" s="6">
        <f ca="1">$K$167*$Y$167</f>
        <v>4559.3653288608693</v>
      </c>
      <c r="AF167" s="6">
        <f>$M$167*$Z$167</f>
        <v>0</v>
      </c>
      <c r="AG167" s="6">
        <f>$O$167*$AA$167</f>
        <v>0</v>
      </c>
    </row>
    <row r="168" spans="1:33" ht="11.25" customHeight="1" x14ac:dyDescent="0.3">
      <c r="A168" s="4" t="s">
        <v>21</v>
      </c>
      <c r="B168" s="4" t="s">
        <v>37</v>
      </c>
      <c r="C168" s="4" t="s">
        <v>38</v>
      </c>
      <c r="D168" s="4" t="s">
        <v>49</v>
      </c>
      <c r="E168" s="4" t="s">
        <v>50</v>
      </c>
      <c r="F168" s="4" t="s">
        <v>25</v>
      </c>
      <c r="G168" s="4" t="s">
        <v>25</v>
      </c>
      <c r="H168" s="4" t="s">
        <v>25</v>
      </c>
      <c r="I168" s="5">
        <v>44593</v>
      </c>
      <c r="J168" s="6">
        <v>58</v>
      </c>
      <c r="K168" s="71">
        <v>58</v>
      </c>
      <c r="L168" s="6">
        <v>0</v>
      </c>
      <c r="M168" s="70">
        <v>0</v>
      </c>
      <c r="N168" s="6">
        <v>0</v>
      </c>
      <c r="O168" s="70">
        <v>0</v>
      </c>
      <c r="P168" s="6">
        <v>1</v>
      </c>
      <c r="Q168" s="4" t="s">
        <v>26</v>
      </c>
      <c r="R168" s="4">
        <v>0</v>
      </c>
      <c r="S168" s="6">
        <v>50</v>
      </c>
      <c r="T168" s="6">
        <v>0</v>
      </c>
      <c r="U168" s="6">
        <v>0</v>
      </c>
      <c r="V168" s="70">
        <f>IF(ISERROR(VLOOKUP($S$168,'TAR FIN'!$A$1:$O$85,15,0)),0,VLOOKUP($S$168,'TAR FIN'!$A$1:$O$85,15,0))*(1-0.06)</f>
        <v>69.945399999999992</v>
      </c>
      <c r="W168" s="70">
        <f>IF(ISERROR(VLOOKUP($T$168,'TAR FIN'!$A$1:$O$85,15,0)),0,VLOOKUP($T$168,'TAR FIN'!$A$1:$O$85,15,0))</f>
        <v>0</v>
      </c>
      <c r="X168" s="70">
        <f>IF(ISERROR(VLOOKUP($U$168,'TAR FIN'!$A$1:$O$85,15,0)),0,VLOOKUP($U$168,'TAR FIN'!$A$1:$O$85,15,0))</f>
        <v>0</v>
      </c>
      <c r="Y168" s="70">
        <f ca="1">('TUSD BE'!$AM$10+'TUSD BF'!$AM$10+'TUSD CVA'!$AM$10)*1*(1-0.03)</f>
        <v>78.609747049325335</v>
      </c>
      <c r="Z168" s="70"/>
      <c r="AA168" s="70"/>
      <c r="AB168" s="6">
        <f>$K$168*$V$168</f>
        <v>4056.8331999999996</v>
      </c>
      <c r="AC168" s="6">
        <f>$M$168*$W$168</f>
        <v>0</v>
      </c>
      <c r="AD168" s="6">
        <f>$O$168*$X$168</f>
        <v>0</v>
      </c>
      <c r="AE168" s="6">
        <f ca="1">$K$168*$Y$168</f>
        <v>4559.3653288608693</v>
      </c>
      <c r="AF168" s="6">
        <f>$M$168*$Z$168</f>
        <v>0</v>
      </c>
      <c r="AG168" s="6">
        <f>$O$168*$AA$168</f>
        <v>0</v>
      </c>
    </row>
    <row r="169" spans="1:33" ht="11.25" customHeight="1" x14ac:dyDescent="0.3">
      <c r="A169" s="4" t="s">
        <v>21</v>
      </c>
      <c r="B169" s="4" t="s">
        <v>37</v>
      </c>
      <c r="C169" s="4" t="s">
        <v>38</v>
      </c>
      <c r="D169" s="4" t="s">
        <v>49</v>
      </c>
      <c r="E169" s="4" t="s">
        <v>50</v>
      </c>
      <c r="F169" s="4" t="s">
        <v>25</v>
      </c>
      <c r="G169" s="4" t="s">
        <v>25</v>
      </c>
      <c r="H169" s="4" t="s">
        <v>25</v>
      </c>
      <c r="I169" s="5">
        <v>44621</v>
      </c>
      <c r="J169" s="6">
        <v>58</v>
      </c>
      <c r="K169" s="71">
        <v>58</v>
      </c>
      <c r="L169" s="6">
        <v>0</v>
      </c>
      <c r="M169" s="70">
        <v>0</v>
      </c>
      <c r="N169" s="6">
        <v>0</v>
      </c>
      <c r="O169" s="70">
        <v>0</v>
      </c>
      <c r="P169" s="6">
        <v>1</v>
      </c>
      <c r="Q169" s="4" t="s">
        <v>26</v>
      </c>
      <c r="R169" s="4">
        <v>0</v>
      </c>
      <c r="S169" s="6">
        <v>50</v>
      </c>
      <c r="T169" s="6">
        <v>0</v>
      </c>
      <c r="U169" s="6">
        <v>0</v>
      </c>
      <c r="V169" s="70">
        <f>IF(ISERROR(VLOOKUP($S$169,'TAR FIN'!$A$1:$O$85,15,0)),0,VLOOKUP($S$169,'TAR FIN'!$A$1:$O$85,15,0))*(1-0.06)</f>
        <v>69.945399999999992</v>
      </c>
      <c r="W169" s="70">
        <f>IF(ISERROR(VLOOKUP($T$169,'TAR FIN'!$A$1:$O$85,15,0)),0,VLOOKUP($T$169,'TAR FIN'!$A$1:$O$85,15,0))</f>
        <v>0</v>
      </c>
      <c r="X169" s="70">
        <f>IF(ISERROR(VLOOKUP($U$169,'TAR FIN'!$A$1:$O$85,15,0)),0,VLOOKUP($U$169,'TAR FIN'!$A$1:$O$85,15,0))</f>
        <v>0</v>
      </c>
      <c r="Y169" s="70">
        <f ca="1">('TUSD BE'!$AM$10+'TUSD BF'!$AM$10+'TUSD CVA'!$AM$10)*1*(1-0.03)</f>
        <v>78.609747049325335</v>
      </c>
      <c r="Z169" s="70"/>
      <c r="AA169" s="70"/>
      <c r="AB169" s="6">
        <f>$K$169*$V$169</f>
        <v>4056.8331999999996</v>
      </c>
      <c r="AC169" s="6">
        <f>$M$169*$W$169</f>
        <v>0</v>
      </c>
      <c r="AD169" s="6">
        <f>$O$169*$X$169</f>
        <v>0</v>
      </c>
      <c r="AE169" s="6">
        <f ca="1">$K$169*$Y$169</f>
        <v>4559.3653288608693</v>
      </c>
      <c r="AF169" s="6">
        <f>$M$169*$Z$169</f>
        <v>0</v>
      </c>
      <c r="AG169" s="6">
        <f>$O$169*$AA$169</f>
        <v>0</v>
      </c>
    </row>
    <row r="170" spans="1:33" ht="11.25" customHeight="1" x14ac:dyDescent="0.3">
      <c r="A170" s="4" t="s">
        <v>21</v>
      </c>
      <c r="B170" s="4" t="s">
        <v>37</v>
      </c>
      <c r="C170" s="4" t="s">
        <v>38</v>
      </c>
      <c r="D170" s="4" t="s">
        <v>49</v>
      </c>
      <c r="E170" s="4" t="s">
        <v>50</v>
      </c>
      <c r="F170" s="4" t="s">
        <v>25</v>
      </c>
      <c r="G170" s="4" t="s">
        <v>25</v>
      </c>
      <c r="H170" s="4" t="s">
        <v>39</v>
      </c>
      <c r="I170" s="5">
        <v>44287</v>
      </c>
      <c r="J170" s="6">
        <v>0</v>
      </c>
      <c r="K170" s="70">
        <v>0</v>
      </c>
      <c r="L170" s="6">
        <v>1.5</v>
      </c>
      <c r="M170" s="70">
        <v>1.5</v>
      </c>
      <c r="N170" s="6">
        <v>1.5</v>
      </c>
      <c r="O170" s="70">
        <v>1.5</v>
      </c>
      <c r="P170" s="6">
        <v>0</v>
      </c>
      <c r="Q170" s="4" t="s">
        <v>26</v>
      </c>
      <c r="R170" s="4">
        <v>0</v>
      </c>
      <c r="S170" s="6">
        <v>0</v>
      </c>
      <c r="T170" s="6">
        <v>1</v>
      </c>
      <c r="U170" s="6">
        <v>73</v>
      </c>
      <c r="V170" s="70">
        <f>IF(ISERROR(VLOOKUP($S$170,'TAR FIN'!$A$1:$O$85,15,0)),0,VLOOKUP($S$170,'TAR FIN'!$A$1:$O$85,15,0))</f>
        <v>0</v>
      </c>
      <c r="W170" s="70">
        <f>IF(ISERROR(VLOOKUP($T$170,'TAR FIN'!$A$1:$O$85,15,0)),0,VLOOKUP($T$170,'TAR FIN'!$A$1:$O$85,15,0))*(1-0.06)</f>
        <v>4314.2992000000004</v>
      </c>
      <c r="X170" s="70">
        <f>IF(ISERROR(VLOOKUP($U$170,'TAR FIN'!$A$1:$O$85,15,0)),0,VLOOKUP($U$170,'TAR FIN'!$A$1:$O$85,15,0))*(1-0.06)</f>
        <v>225.87259999999998</v>
      </c>
      <c r="Y170" s="70"/>
      <c r="Z170" s="70">
        <f ca="1">('TUSD BE'!$AM$11+'TUSD BF'!$AM$11+'TUSD CVA'!$AM$11)*1*(1-0.03)</f>
        <v>4896.0318731288708</v>
      </c>
      <c r="AA170" s="70">
        <f>('TE BE'!$AA$5+'TE BF'!$AA$5+'TE CVA'!$AA$5)*1*(1-0.03)</f>
        <v>320.80893726149895</v>
      </c>
      <c r="AB170" s="6">
        <f>$K$170*$V$170</f>
        <v>0</v>
      </c>
      <c r="AC170" s="6">
        <f>$M$170*$W$170</f>
        <v>6471.4488000000001</v>
      </c>
      <c r="AD170" s="6">
        <f>$O$170*$X$170</f>
        <v>338.80889999999999</v>
      </c>
      <c r="AE170" s="6">
        <f>$K$170*$Y$170</f>
        <v>0</v>
      </c>
      <c r="AF170" s="6">
        <f ca="1">$M$170*$Z$170</f>
        <v>7344.0478096933057</v>
      </c>
      <c r="AG170" s="6">
        <f>$O$170*$AA$170</f>
        <v>481.21340589224843</v>
      </c>
    </row>
    <row r="171" spans="1:33" ht="11.25" customHeight="1" x14ac:dyDescent="0.3">
      <c r="A171" s="4" t="s">
        <v>21</v>
      </c>
      <c r="B171" s="4" t="s">
        <v>37</v>
      </c>
      <c r="C171" s="4" t="s">
        <v>38</v>
      </c>
      <c r="D171" s="4" t="s">
        <v>49</v>
      </c>
      <c r="E171" s="4" t="s">
        <v>50</v>
      </c>
      <c r="F171" s="4" t="s">
        <v>25</v>
      </c>
      <c r="G171" s="4" t="s">
        <v>25</v>
      </c>
      <c r="H171" s="4" t="s">
        <v>39</v>
      </c>
      <c r="I171" s="5">
        <v>44317</v>
      </c>
      <c r="J171" s="6">
        <v>0</v>
      </c>
      <c r="K171" s="70">
        <v>0</v>
      </c>
      <c r="L171" s="6">
        <v>1.657</v>
      </c>
      <c r="M171" s="70">
        <v>1.657</v>
      </c>
      <c r="N171" s="6">
        <v>1.657</v>
      </c>
      <c r="O171" s="70">
        <v>1.657</v>
      </c>
      <c r="P171" s="6">
        <v>0</v>
      </c>
      <c r="Q171" s="4" t="s">
        <v>26</v>
      </c>
      <c r="R171" s="4">
        <v>0</v>
      </c>
      <c r="S171" s="6">
        <v>0</v>
      </c>
      <c r="T171" s="6">
        <v>1</v>
      </c>
      <c r="U171" s="6">
        <v>73</v>
      </c>
      <c r="V171" s="70">
        <f>IF(ISERROR(VLOOKUP($S$171,'TAR FIN'!$A$1:$O$85,15,0)),0,VLOOKUP($S$171,'TAR FIN'!$A$1:$O$85,15,0))</f>
        <v>0</v>
      </c>
      <c r="W171" s="70">
        <f>IF(ISERROR(VLOOKUP($T$171,'TAR FIN'!$A$1:$O$85,15,0)),0,VLOOKUP($T$171,'TAR FIN'!$A$1:$O$85,15,0))*(1-0.06)</f>
        <v>4314.2992000000004</v>
      </c>
      <c r="X171" s="70">
        <f>IF(ISERROR(VLOOKUP($U$171,'TAR FIN'!$A$1:$O$85,15,0)),0,VLOOKUP($U$171,'TAR FIN'!$A$1:$O$85,15,0))*(1-0.06)</f>
        <v>225.87259999999998</v>
      </c>
      <c r="Y171" s="70"/>
      <c r="Z171" s="70">
        <f ca="1">('TUSD BE'!$AM$11+'TUSD BF'!$AM$11+'TUSD CVA'!$AM$11)*1*(1-0.03)</f>
        <v>4896.0318731288708</v>
      </c>
      <c r="AA171" s="70">
        <f>('TE BE'!$AA$5+'TE BF'!$AA$5+'TE CVA'!$AA$5)*1*(1-0.03)</f>
        <v>320.80893726149895</v>
      </c>
      <c r="AB171" s="6">
        <f>$K$171*$V$171</f>
        <v>0</v>
      </c>
      <c r="AC171" s="6">
        <f>$M$171*$W$171</f>
        <v>7148.793774400001</v>
      </c>
      <c r="AD171" s="6">
        <f>$O$171*$X$171</f>
        <v>374.27089819999998</v>
      </c>
      <c r="AE171" s="6">
        <f>$K$171*$Y$171</f>
        <v>0</v>
      </c>
      <c r="AF171" s="6">
        <f ca="1">$M$171*$Z$171</f>
        <v>8112.7248137745391</v>
      </c>
      <c r="AG171" s="6">
        <f>$O$171*$AA$171</f>
        <v>531.58040904230381</v>
      </c>
    </row>
    <row r="172" spans="1:33" ht="11.25" customHeight="1" x14ac:dyDescent="0.3">
      <c r="A172" s="4" t="s">
        <v>21</v>
      </c>
      <c r="B172" s="4" t="s">
        <v>37</v>
      </c>
      <c r="C172" s="4" t="s">
        <v>38</v>
      </c>
      <c r="D172" s="4" t="s">
        <v>49</v>
      </c>
      <c r="E172" s="4" t="s">
        <v>50</v>
      </c>
      <c r="F172" s="4" t="s">
        <v>25</v>
      </c>
      <c r="G172" s="4" t="s">
        <v>25</v>
      </c>
      <c r="H172" s="4" t="s">
        <v>39</v>
      </c>
      <c r="I172" s="5">
        <v>44348</v>
      </c>
      <c r="J172" s="6">
        <v>0</v>
      </c>
      <c r="K172" s="70">
        <v>0</v>
      </c>
      <c r="L172" s="6">
        <v>1.742</v>
      </c>
      <c r="M172" s="70">
        <v>1.742</v>
      </c>
      <c r="N172" s="6">
        <v>1.742</v>
      </c>
      <c r="O172" s="70">
        <v>1.742</v>
      </c>
      <c r="P172" s="6">
        <v>0</v>
      </c>
      <c r="Q172" s="4" t="s">
        <v>26</v>
      </c>
      <c r="R172" s="4">
        <v>0</v>
      </c>
      <c r="S172" s="6">
        <v>0</v>
      </c>
      <c r="T172" s="6">
        <v>1</v>
      </c>
      <c r="U172" s="6">
        <v>73</v>
      </c>
      <c r="V172" s="70">
        <f>IF(ISERROR(VLOOKUP($S$172,'TAR FIN'!$A$1:$O$85,15,0)),0,VLOOKUP($S$172,'TAR FIN'!$A$1:$O$85,15,0))</f>
        <v>0</v>
      </c>
      <c r="W172" s="70">
        <f>IF(ISERROR(VLOOKUP($T$172,'TAR FIN'!$A$1:$O$85,15,0)),0,VLOOKUP($T$172,'TAR FIN'!$A$1:$O$85,15,0))*(1-0.06)</f>
        <v>4314.2992000000004</v>
      </c>
      <c r="X172" s="70">
        <f>IF(ISERROR(VLOOKUP($U$172,'TAR FIN'!$A$1:$O$85,15,0)),0,VLOOKUP($U$172,'TAR FIN'!$A$1:$O$85,15,0))*(1-0.06)</f>
        <v>225.87259999999998</v>
      </c>
      <c r="Y172" s="70"/>
      <c r="Z172" s="70">
        <f ca="1">('TUSD BE'!$AM$11+'TUSD BF'!$AM$11+'TUSD CVA'!$AM$11)*1*(1-0.03)</f>
        <v>4896.0318731288708</v>
      </c>
      <c r="AA172" s="70">
        <f>('TE BE'!$AA$5+'TE BF'!$AA$5+'TE CVA'!$AA$5)*1*(1-0.03)</f>
        <v>320.80893726149895</v>
      </c>
      <c r="AB172" s="6">
        <f>$K$172*$V$172</f>
        <v>0</v>
      </c>
      <c r="AC172" s="6">
        <f>$M$172*$W$172</f>
        <v>7515.5092064000009</v>
      </c>
      <c r="AD172" s="6">
        <f>$O$172*$X$172</f>
        <v>393.47006919999995</v>
      </c>
      <c r="AE172" s="6">
        <f>$K$172*$Y$172</f>
        <v>0</v>
      </c>
      <c r="AF172" s="6">
        <f ca="1">$M$172*$Z$172</f>
        <v>8528.8875229904934</v>
      </c>
      <c r="AG172" s="6">
        <f>$O$172*$AA$172</f>
        <v>558.84916870953123</v>
      </c>
    </row>
    <row r="173" spans="1:33" ht="11.25" customHeight="1" x14ac:dyDescent="0.3">
      <c r="A173" s="4" t="s">
        <v>21</v>
      </c>
      <c r="B173" s="4" t="s">
        <v>37</v>
      </c>
      <c r="C173" s="4" t="s">
        <v>38</v>
      </c>
      <c r="D173" s="4" t="s">
        <v>49</v>
      </c>
      <c r="E173" s="4" t="s">
        <v>50</v>
      </c>
      <c r="F173" s="4" t="s">
        <v>25</v>
      </c>
      <c r="G173" s="4" t="s">
        <v>25</v>
      </c>
      <c r="H173" s="4" t="s">
        <v>39</v>
      </c>
      <c r="I173" s="5">
        <v>44378</v>
      </c>
      <c r="J173" s="6">
        <v>0</v>
      </c>
      <c r="K173" s="70">
        <v>0</v>
      </c>
      <c r="L173" s="6">
        <v>1.8080000000000001</v>
      </c>
      <c r="M173" s="70">
        <v>1.8080000000000001</v>
      </c>
      <c r="N173" s="6">
        <v>1.8080000000000001</v>
      </c>
      <c r="O173" s="70">
        <v>1.8080000000000001</v>
      </c>
      <c r="P173" s="6">
        <v>0</v>
      </c>
      <c r="Q173" s="4" t="s">
        <v>26</v>
      </c>
      <c r="R173" s="4">
        <v>0</v>
      </c>
      <c r="S173" s="6">
        <v>0</v>
      </c>
      <c r="T173" s="6">
        <v>1</v>
      </c>
      <c r="U173" s="6">
        <v>73</v>
      </c>
      <c r="V173" s="70">
        <f>IF(ISERROR(VLOOKUP($S$173,'TAR FIN'!$A$1:$O$85,15,0)),0,VLOOKUP($S$173,'TAR FIN'!$A$1:$O$85,15,0))</f>
        <v>0</v>
      </c>
      <c r="W173" s="70">
        <f>IF(ISERROR(VLOOKUP($T$173,'TAR FIN'!$A$1:$O$85,15,0)),0,VLOOKUP($T$173,'TAR FIN'!$A$1:$O$85,15,0))*(1-0.06)</f>
        <v>4314.2992000000004</v>
      </c>
      <c r="X173" s="70">
        <f>IF(ISERROR(VLOOKUP($U$173,'TAR FIN'!$A$1:$O$85,15,0)),0,VLOOKUP($U$173,'TAR FIN'!$A$1:$O$85,15,0))*(1-0.06)</f>
        <v>225.87259999999998</v>
      </c>
      <c r="Y173" s="70"/>
      <c r="Z173" s="70">
        <f ca="1">('TUSD BE'!$AM$11+'TUSD BF'!$AM$11+'TUSD CVA'!$AM$11)*1*(1-0.03)</f>
        <v>4896.0318731288708</v>
      </c>
      <c r="AA173" s="70">
        <f>('TE BE'!$AA$5+'TE BF'!$AA$5+'TE CVA'!$AA$5)*1*(1-0.03)</f>
        <v>320.80893726149895</v>
      </c>
      <c r="AB173" s="6">
        <f>$K$173*$V$173</f>
        <v>0</v>
      </c>
      <c r="AC173" s="6">
        <f>$M$173*$W$173</f>
        <v>7800.2529536000011</v>
      </c>
      <c r="AD173" s="6">
        <f>$O$173*$X$173</f>
        <v>408.37766079999994</v>
      </c>
      <c r="AE173" s="6">
        <f>$K$173*$Y$173</f>
        <v>0</v>
      </c>
      <c r="AF173" s="6">
        <f ca="1">$M$173*$Z$173</f>
        <v>8852.0256266169981</v>
      </c>
      <c r="AG173" s="6">
        <f>$O$173*$AA$173</f>
        <v>580.02255856879015</v>
      </c>
    </row>
    <row r="174" spans="1:33" ht="11.25" customHeight="1" x14ac:dyDescent="0.3">
      <c r="A174" s="4" t="s">
        <v>21</v>
      </c>
      <c r="B174" s="4" t="s">
        <v>37</v>
      </c>
      <c r="C174" s="4" t="s">
        <v>38</v>
      </c>
      <c r="D174" s="4" t="s">
        <v>49</v>
      </c>
      <c r="E174" s="4" t="s">
        <v>50</v>
      </c>
      <c r="F174" s="4" t="s">
        <v>25</v>
      </c>
      <c r="G174" s="4" t="s">
        <v>25</v>
      </c>
      <c r="H174" s="4" t="s">
        <v>39</v>
      </c>
      <c r="I174" s="5">
        <v>44409</v>
      </c>
      <c r="J174" s="6">
        <v>0</v>
      </c>
      <c r="K174" s="70">
        <v>0</v>
      </c>
      <c r="L174" s="6">
        <v>1.643</v>
      </c>
      <c r="M174" s="70">
        <v>1.643</v>
      </c>
      <c r="N174" s="6">
        <v>1.643</v>
      </c>
      <c r="O174" s="70">
        <v>1.643</v>
      </c>
      <c r="P174" s="6">
        <v>0</v>
      </c>
      <c r="Q174" s="4" t="s">
        <v>26</v>
      </c>
      <c r="R174" s="4">
        <v>0</v>
      </c>
      <c r="S174" s="6">
        <v>0</v>
      </c>
      <c r="T174" s="6">
        <v>1</v>
      </c>
      <c r="U174" s="6">
        <v>73</v>
      </c>
      <c r="V174" s="70">
        <f>IF(ISERROR(VLOOKUP($S$174,'TAR FIN'!$A$1:$O$85,15,0)),0,VLOOKUP($S$174,'TAR FIN'!$A$1:$O$85,15,0))</f>
        <v>0</v>
      </c>
      <c r="W174" s="70">
        <f>IF(ISERROR(VLOOKUP($T$174,'TAR FIN'!$A$1:$O$85,15,0)),0,VLOOKUP($T$174,'TAR FIN'!$A$1:$O$85,15,0))*(1-0.06)</f>
        <v>4314.2992000000004</v>
      </c>
      <c r="X174" s="70">
        <f>IF(ISERROR(VLOOKUP($U$174,'TAR FIN'!$A$1:$O$85,15,0)),0,VLOOKUP($U$174,'TAR FIN'!$A$1:$O$85,15,0))*(1-0.06)</f>
        <v>225.87259999999998</v>
      </c>
      <c r="Y174" s="70"/>
      <c r="Z174" s="70">
        <f ca="1">('TUSD BE'!$AM$11+'TUSD BF'!$AM$11+'TUSD CVA'!$AM$11)*1*(1-0.03)</f>
        <v>4896.0318731288708</v>
      </c>
      <c r="AA174" s="70">
        <f>('TE BE'!$AA$5+'TE BF'!$AA$5+'TE CVA'!$AA$5)*1*(1-0.03)</f>
        <v>320.80893726149895</v>
      </c>
      <c r="AB174" s="6">
        <f>$K$174*$V$174</f>
        <v>0</v>
      </c>
      <c r="AC174" s="6">
        <f>$M$174*$W$174</f>
        <v>7088.3935856000007</v>
      </c>
      <c r="AD174" s="6">
        <f>$O$174*$X$174</f>
        <v>371.10868179999994</v>
      </c>
      <c r="AE174" s="6">
        <f>$K$174*$Y$174</f>
        <v>0</v>
      </c>
      <c r="AF174" s="6">
        <f ca="1">$M$174*$Z$174</f>
        <v>8044.1803675507344</v>
      </c>
      <c r="AG174" s="6">
        <f>$O$174*$AA$174</f>
        <v>527.08908392064279</v>
      </c>
    </row>
    <row r="175" spans="1:33" ht="11.25" customHeight="1" x14ac:dyDescent="0.3">
      <c r="A175" s="4" t="s">
        <v>21</v>
      </c>
      <c r="B175" s="4" t="s">
        <v>37</v>
      </c>
      <c r="C175" s="4" t="s">
        <v>38</v>
      </c>
      <c r="D175" s="4" t="s">
        <v>49</v>
      </c>
      <c r="E175" s="4" t="s">
        <v>50</v>
      </c>
      <c r="F175" s="4" t="s">
        <v>25</v>
      </c>
      <c r="G175" s="4" t="s">
        <v>25</v>
      </c>
      <c r="H175" s="4" t="s">
        <v>39</v>
      </c>
      <c r="I175" s="5">
        <v>44440</v>
      </c>
      <c r="J175" s="6">
        <v>0</v>
      </c>
      <c r="K175" s="70">
        <v>0</v>
      </c>
      <c r="L175" s="6">
        <v>1.6639999999999999</v>
      </c>
      <c r="M175" s="70">
        <v>1.6639999999999999</v>
      </c>
      <c r="N175" s="6">
        <v>1.6639999999999999</v>
      </c>
      <c r="O175" s="70">
        <v>1.6639999999999999</v>
      </c>
      <c r="P175" s="6">
        <v>0</v>
      </c>
      <c r="Q175" s="4" t="s">
        <v>26</v>
      </c>
      <c r="R175" s="4">
        <v>0</v>
      </c>
      <c r="S175" s="6">
        <v>0</v>
      </c>
      <c r="T175" s="6">
        <v>1</v>
      </c>
      <c r="U175" s="6">
        <v>73</v>
      </c>
      <c r="V175" s="70">
        <f>IF(ISERROR(VLOOKUP($S$175,'TAR FIN'!$A$1:$O$85,15,0)),0,VLOOKUP($S$175,'TAR FIN'!$A$1:$O$85,15,0))</f>
        <v>0</v>
      </c>
      <c r="W175" s="70">
        <f>IF(ISERROR(VLOOKUP($T$175,'TAR FIN'!$A$1:$O$85,15,0)),0,VLOOKUP($T$175,'TAR FIN'!$A$1:$O$85,15,0))*(1-0.06)</f>
        <v>4314.2992000000004</v>
      </c>
      <c r="X175" s="70">
        <f>IF(ISERROR(VLOOKUP($U$175,'TAR FIN'!$A$1:$O$85,15,0)),0,VLOOKUP($U$175,'TAR FIN'!$A$1:$O$85,15,0))*(1-0.06)</f>
        <v>225.87259999999998</v>
      </c>
      <c r="Y175" s="70"/>
      <c r="Z175" s="70">
        <f ca="1">('TUSD BE'!$AM$11+'TUSD BF'!$AM$11+'TUSD CVA'!$AM$11)*1*(1-0.03)</f>
        <v>4896.0318731288708</v>
      </c>
      <c r="AA175" s="70">
        <f>('TE BE'!$AA$5+'TE BF'!$AA$5+'TE CVA'!$AA$5)*1*(1-0.03)</f>
        <v>320.80893726149895</v>
      </c>
      <c r="AB175" s="6">
        <f>$K$175*$V$175</f>
        <v>0</v>
      </c>
      <c r="AC175" s="6">
        <f>$M$175*$W$175</f>
        <v>7178.9938688000002</v>
      </c>
      <c r="AD175" s="6">
        <f>$O$175*$X$175</f>
        <v>375.85200639999994</v>
      </c>
      <c r="AE175" s="6">
        <f>$K$175*$Y$175</f>
        <v>0</v>
      </c>
      <c r="AF175" s="6">
        <f ca="1">$M$175*$Z$175</f>
        <v>8146.9970368864406</v>
      </c>
      <c r="AG175" s="6">
        <f>$O$175*$AA$175</f>
        <v>533.82607160313421</v>
      </c>
    </row>
    <row r="176" spans="1:33" ht="11.25" customHeight="1" x14ac:dyDescent="0.3">
      <c r="A176" s="4" t="s">
        <v>21</v>
      </c>
      <c r="B176" s="4" t="s">
        <v>37</v>
      </c>
      <c r="C176" s="4" t="s">
        <v>38</v>
      </c>
      <c r="D176" s="4" t="s">
        <v>49</v>
      </c>
      <c r="E176" s="4" t="s">
        <v>50</v>
      </c>
      <c r="F176" s="4" t="s">
        <v>25</v>
      </c>
      <c r="G176" s="4" t="s">
        <v>25</v>
      </c>
      <c r="H176" s="4" t="s">
        <v>39</v>
      </c>
      <c r="I176" s="5">
        <v>44470</v>
      </c>
      <c r="J176" s="6">
        <v>0</v>
      </c>
      <c r="K176" s="70">
        <v>0</v>
      </c>
      <c r="L176" s="6">
        <v>1.5920000000000001</v>
      </c>
      <c r="M176" s="70">
        <v>1.5920000000000001</v>
      </c>
      <c r="N176" s="6">
        <v>1.5920000000000001</v>
      </c>
      <c r="O176" s="70">
        <v>1.5920000000000001</v>
      </c>
      <c r="P176" s="6">
        <v>0</v>
      </c>
      <c r="Q176" s="4" t="s">
        <v>26</v>
      </c>
      <c r="R176" s="4">
        <v>0</v>
      </c>
      <c r="S176" s="6">
        <v>0</v>
      </c>
      <c r="T176" s="6">
        <v>1</v>
      </c>
      <c r="U176" s="6">
        <v>73</v>
      </c>
      <c r="V176" s="70">
        <f>IF(ISERROR(VLOOKUP($S$176,'TAR FIN'!$A$1:$O$85,15,0)),0,VLOOKUP($S$176,'TAR FIN'!$A$1:$O$85,15,0))</f>
        <v>0</v>
      </c>
      <c r="W176" s="70">
        <f>IF(ISERROR(VLOOKUP($T$176,'TAR FIN'!$A$1:$O$85,15,0)),0,VLOOKUP($T$176,'TAR FIN'!$A$1:$O$85,15,0))*(1-0.06)</f>
        <v>4314.2992000000004</v>
      </c>
      <c r="X176" s="70">
        <f>IF(ISERROR(VLOOKUP($U$176,'TAR FIN'!$A$1:$O$85,15,0)),0,VLOOKUP($U$176,'TAR FIN'!$A$1:$O$85,15,0))*(1-0.06)</f>
        <v>225.87259999999998</v>
      </c>
      <c r="Y176" s="70"/>
      <c r="Z176" s="70">
        <f ca="1">('TUSD BE'!$AM$11+'TUSD BF'!$AM$11+'TUSD CVA'!$AM$11)*1*(1-0.03)</f>
        <v>4896.0318731288708</v>
      </c>
      <c r="AA176" s="70">
        <f>('TE BE'!$AA$5+'TE BF'!$AA$5+'TE CVA'!$AA$5)*1*(1-0.03)</f>
        <v>320.80893726149895</v>
      </c>
      <c r="AB176" s="6">
        <f>$K$176*$V$176</f>
        <v>0</v>
      </c>
      <c r="AC176" s="6">
        <f>$M$176*$W$176</f>
        <v>6868.3643264000011</v>
      </c>
      <c r="AD176" s="6">
        <f>$O$176*$X$176</f>
        <v>359.58917919999999</v>
      </c>
      <c r="AE176" s="6">
        <f>$K$176*$Y$176</f>
        <v>0</v>
      </c>
      <c r="AF176" s="6">
        <f ca="1">$M$176*$Z$176</f>
        <v>7794.4827420211623</v>
      </c>
      <c r="AG176" s="6">
        <f>$O$176*$AA$176</f>
        <v>510.72782812030636</v>
      </c>
    </row>
    <row r="177" spans="1:33" ht="11.25" customHeight="1" x14ac:dyDescent="0.3">
      <c r="A177" s="4" t="s">
        <v>21</v>
      </c>
      <c r="B177" s="4" t="s">
        <v>37</v>
      </c>
      <c r="C177" s="4" t="s">
        <v>38</v>
      </c>
      <c r="D177" s="4" t="s">
        <v>49</v>
      </c>
      <c r="E177" s="4" t="s">
        <v>50</v>
      </c>
      <c r="F177" s="4" t="s">
        <v>25</v>
      </c>
      <c r="G177" s="4" t="s">
        <v>25</v>
      </c>
      <c r="H177" s="4" t="s">
        <v>39</v>
      </c>
      <c r="I177" s="5">
        <v>44501</v>
      </c>
      <c r="J177" s="6">
        <v>0</v>
      </c>
      <c r="K177" s="70">
        <v>0</v>
      </c>
      <c r="L177" s="6">
        <v>1.4690000000000001</v>
      </c>
      <c r="M177" s="70">
        <v>1.4690000000000001</v>
      </c>
      <c r="N177" s="6">
        <v>1.4690000000000001</v>
      </c>
      <c r="O177" s="70">
        <v>1.4690000000000001</v>
      </c>
      <c r="P177" s="6">
        <v>0</v>
      </c>
      <c r="Q177" s="4" t="s">
        <v>26</v>
      </c>
      <c r="R177" s="4">
        <v>0</v>
      </c>
      <c r="S177" s="6">
        <v>0</v>
      </c>
      <c r="T177" s="6">
        <v>1</v>
      </c>
      <c r="U177" s="6">
        <v>73</v>
      </c>
      <c r="V177" s="70">
        <f>IF(ISERROR(VLOOKUP($S$177,'TAR FIN'!$A$1:$O$85,15,0)),0,VLOOKUP($S$177,'TAR FIN'!$A$1:$O$85,15,0))</f>
        <v>0</v>
      </c>
      <c r="W177" s="70">
        <f>IF(ISERROR(VLOOKUP($T$177,'TAR FIN'!$A$1:$O$85,15,0)),0,VLOOKUP($T$177,'TAR FIN'!$A$1:$O$85,15,0))*(1-0.06)</f>
        <v>4314.2992000000004</v>
      </c>
      <c r="X177" s="70">
        <f>IF(ISERROR(VLOOKUP($U$177,'TAR FIN'!$A$1:$O$85,15,0)),0,VLOOKUP($U$177,'TAR FIN'!$A$1:$O$85,15,0))*(1-0.06)</f>
        <v>225.87259999999998</v>
      </c>
      <c r="Y177" s="70"/>
      <c r="Z177" s="70">
        <f ca="1">('TUSD BE'!$AM$11+'TUSD BF'!$AM$11+'TUSD CVA'!$AM$11)*1*(1-0.03)</f>
        <v>4896.0318731288708</v>
      </c>
      <c r="AA177" s="70">
        <f>('TE BE'!$AA$5+'TE BF'!$AA$5+'TE CVA'!$AA$5)*1*(1-0.03)</f>
        <v>320.80893726149895</v>
      </c>
      <c r="AB177" s="6">
        <f>$K$177*$V$177</f>
        <v>0</v>
      </c>
      <c r="AC177" s="6">
        <f>$M$177*$W$177</f>
        <v>6337.7055248000006</v>
      </c>
      <c r="AD177" s="6">
        <f>$O$177*$X$177</f>
        <v>331.80684939999998</v>
      </c>
      <c r="AE177" s="6">
        <f>$K$177*$Y$177</f>
        <v>0</v>
      </c>
      <c r="AF177" s="6">
        <f ca="1">$M$177*$Z$177</f>
        <v>7192.2708216263118</v>
      </c>
      <c r="AG177" s="6">
        <f>$O$177*$AA$177</f>
        <v>471.26832883714201</v>
      </c>
    </row>
    <row r="178" spans="1:33" ht="11.25" customHeight="1" x14ac:dyDescent="0.3">
      <c r="A178" s="4" t="s">
        <v>21</v>
      </c>
      <c r="B178" s="4" t="s">
        <v>37</v>
      </c>
      <c r="C178" s="4" t="s">
        <v>38</v>
      </c>
      <c r="D178" s="4" t="s">
        <v>49</v>
      </c>
      <c r="E178" s="4" t="s">
        <v>50</v>
      </c>
      <c r="F178" s="4" t="s">
        <v>25</v>
      </c>
      <c r="G178" s="4" t="s">
        <v>25</v>
      </c>
      <c r="H178" s="4" t="s">
        <v>39</v>
      </c>
      <c r="I178" s="5">
        <v>44531</v>
      </c>
      <c r="J178" s="6">
        <v>0</v>
      </c>
      <c r="K178" s="70">
        <v>0</v>
      </c>
      <c r="L178" s="6">
        <v>1.651</v>
      </c>
      <c r="M178" s="70">
        <v>1.651</v>
      </c>
      <c r="N178" s="6">
        <v>1.651</v>
      </c>
      <c r="O178" s="70">
        <v>1.651</v>
      </c>
      <c r="P178" s="6">
        <v>0</v>
      </c>
      <c r="Q178" s="4" t="s">
        <v>26</v>
      </c>
      <c r="R178" s="4">
        <v>0</v>
      </c>
      <c r="S178" s="6">
        <v>0</v>
      </c>
      <c r="T178" s="6">
        <v>1</v>
      </c>
      <c r="U178" s="6">
        <v>73</v>
      </c>
      <c r="V178" s="70">
        <f>IF(ISERROR(VLOOKUP($S$178,'TAR FIN'!$A$1:$O$85,15,0)),0,VLOOKUP($S$178,'TAR FIN'!$A$1:$O$85,15,0))</f>
        <v>0</v>
      </c>
      <c r="W178" s="70">
        <f>IF(ISERROR(VLOOKUP($T$178,'TAR FIN'!$A$1:$O$85,15,0)),0,VLOOKUP($T$178,'TAR FIN'!$A$1:$O$85,15,0))*(1-0.06)</f>
        <v>4314.2992000000004</v>
      </c>
      <c r="X178" s="70">
        <f>IF(ISERROR(VLOOKUP($U$178,'TAR FIN'!$A$1:$O$85,15,0)),0,VLOOKUP($U$178,'TAR FIN'!$A$1:$O$85,15,0))*(1-0.06)</f>
        <v>225.87259999999998</v>
      </c>
      <c r="Y178" s="70"/>
      <c r="Z178" s="70">
        <f ca="1">('TUSD BE'!$AM$11+'TUSD BF'!$AM$11+'TUSD CVA'!$AM$11)*1*(1-0.03)</f>
        <v>4896.0318731288708</v>
      </c>
      <c r="AA178" s="70">
        <f>('TE BE'!$AA$5+'TE BF'!$AA$5+'TE CVA'!$AA$5)*1*(1-0.03)</f>
        <v>320.80893726149895</v>
      </c>
      <c r="AB178" s="6">
        <f>$K$178*$V$178</f>
        <v>0</v>
      </c>
      <c r="AC178" s="6">
        <f>$M$178*$W$178</f>
        <v>7122.9079792000011</v>
      </c>
      <c r="AD178" s="6">
        <f>$O$178*$X$178</f>
        <v>372.91566259999996</v>
      </c>
      <c r="AE178" s="6">
        <f>$K$178*$Y$178</f>
        <v>0</v>
      </c>
      <c r="AF178" s="6">
        <f ca="1">$M$178*$Z$178</f>
        <v>8083.3486225357656</v>
      </c>
      <c r="AG178" s="6">
        <f>$O$178*$AA$178</f>
        <v>529.65555541873482</v>
      </c>
    </row>
    <row r="179" spans="1:33" ht="11.25" customHeight="1" x14ac:dyDescent="0.3">
      <c r="A179" s="4" t="s">
        <v>21</v>
      </c>
      <c r="B179" s="4" t="s">
        <v>37</v>
      </c>
      <c r="C179" s="4" t="s">
        <v>38</v>
      </c>
      <c r="D179" s="4" t="s">
        <v>49</v>
      </c>
      <c r="E179" s="4" t="s">
        <v>50</v>
      </c>
      <c r="F179" s="4" t="s">
        <v>25</v>
      </c>
      <c r="G179" s="4" t="s">
        <v>25</v>
      </c>
      <c r="H179" s="4" t="s">
        <v>39</v>
      </c>
      <c r="I179" s="5">
        <v>44562</v>
      </c>
      <c r="J179" s="6">
        <v>0</v>
      </c>
      <c r="K179" s="70">
        <v>0</v>
      </c>
      <c r="L179" s="6">
        <v>1.58</v>
      </c>
      <c r="M179" s="70">
        <v>1.58</v>
      </c>
      <c r="N179" s="6">
        <v>1.58</v>
      </c>
      <c r="O179" s="70">
        <v>1.58</v>
      </c>
      <c r="P179" s="6">
        <v>0</v>
      </c>
      <c r="Q179" s="4" t="s">
        <v>26</v>
      </c>
      <c r="R179" s="4">
        <v>0</v>
      </c>
      <c r="S179" s="6">
        <v>0</v>
      </c>
      <c r="T179" s="6">
        <v>1</v>
      </c>
      <c r="U179" s="6">
        <v>73</v>
      </c>
      <c r="V179" s="70">
        <f>IF(ISERROR(VLOOKUP($S$179,'TAR FIN'!$A$1:$O$85,15,0)),0,VLOOKUP($S$179,'TAR FIN'!$A$1:$O$85,15,0))</f>
        <v>0</v>
      </c>
      <c r="W179" s="70">
        <f>IF(ISERROR(VLOOKUP($T$179,'TAR FIN'!$A$1:$O$85,15,0)),0,VLOOKUP($T$179,'TAR FIN'!$A$1:$O$85,15,0))*(1-0.06)</f>
        <v>4314.2992000000004</v>
      </c>
      <c r="X179" s="70">
        <f>IF(ISERROR(VLOOKUP($U$179,'TAR FIN'!$A$1:$O$85,15,0)),0,VLOOKUP($U$179,'TAR FIN'!$A$1:$O$85,15,0))*(1-0.06)</f>
        <v>225.87259999999998</v>
      </c>
      <c r="Y179" s="70"/>
      <c r="Z179" s="70">
        <f ca="1">('TUSD BE'!$AM$11+'TUSD BF'!$AM$11+'TUSD CVA'!$AM$11)*1*(1-0.03)</f>
        <v>4896.0318731288708</v>
      </c>
      <c r="AA179" s="70">
        <f>('TE BE'!$AA$5+'TE BF'!$AA$5+'TE CVA'!$AA$5)*1*(1-0.03)</f>
        <v>320.80893726149895</v>
      </c>
      <c r="AB179" s="6">
        <f>$K$179*$V$179</f>
        <v>0</v>
      </c>
      <c r="AC179" s="6">
        <f>$M$179*$W$179</f>
        <v>6816.5927360000005</v>
      </c>
      <c r="AD179" s="6">
        <f>$O$179*$X$179</f>
        <v>356.87870799999996</v>
      </c>
      <c r="AE179" s="6">
        <f>$K$179*$Y$179</f>
        <v>0</v>
      </c>
      <c r="AF179" s="6">
        <f ca="1">$M$179*$Z$179</f>
        <v>7735.730359543616</v>
      </c>
      <c r="AG179" s="6">
        <f>$O$179*$AA$179</f>
        <v>506.87812087316837</v>
      </c>
    </row>
    <row r="180" spans="1:33" ht="11.25" customHeight="1" x14ac:dyDescent="0.3">
      <c r="A180" s="4" t="s">
        <v>21</v>
      </c>
      <c r="B180" s="4" t="s">
        <v>37</v>
      </c>
      <c r="C180" s="4" t="s">
        <v>38</v>
      </c>
      <c r="D180" s="4" t="s">
        <v>49</v>
      </c>
      <c r="E180" s="4" t="s">
        <v>50</v>
      </c>
      <c r="F180" s="4" t="s">
        <v>25</v>
      </c>
      <c r="G180" s="4" t="s">
        <v>25</v>
      </c>
      <c r="H180" s="4" t="s">
        <v>39</v>
      </c>
      <c r="I180" s="5">
        <v>44593</v>
      </c>
      <c r="J180" s="6">
        <v>0</v>
      </c>
      <c r="K180" s="70">
        <v>0</v>
      </c>
      <c r="L180" s="6">
        <v>1.6140000000000001</v>
      </c>
      <c r="M180" s="70">
        <v>1.6140000000000001</v>
      </c>
      <c r="N180" s="6">
        <v>1.6140000000000001</v>
      </c>
      <c r="O180" s="70">
        <v>1.6140000000000001</v>
      </c>
      <c r="P180" s="6">
        <v>0</v>
      </c>
      <c r="Q180" s="4" t="s">
        <v>26</v>
      </c>
      <c r="R180" s="4">
        <v>0</v>
      </c>
      <c r="S180" s="6">
        <v>0</v>
      </c>
      <c r="T180" s="6">
        <v>1</v>
      </c>
      <c r="U180" s="6">
        <v>73</v>
      </c>
      <c r="V180" s="70">
        <f>IF(ISERROR(VLOOKUP($S$180,'TAR FIN'!$A$1:$O$85,15,0)),0,VLOOKUP($S$180,'TAR FIN'!$A$1:$O$85,15,0))</f>
        <v>0</v>
      </c>
      <c r="W180" s="70">
        <f>IF(ISERROR(VLOOKUP($T$180,'TAR FIN'!$A$1:$O$85,15,0)),0,VLOOKUP($T$180,'TAR FIN'!$A$1:$O$85,15,0))*(1-0.06)</f>
        <v>4314.2992000000004</v>
      </c>
      <c r="X180" s="70">
        <f>IF(ISERROR(VLOOKUP($U$180,'TAR FIN'!$A$1:$O$85,15,0)),0,VLOOKUP($U$180,'TAR FIN'!$A$1:$O$85,15,0))*(1-0.06)</f>
        <v>225.87259999999998</v>
      </c>
      <c r="Y180" s="70"/>
      <c r="Z180" s="70">
        <f ca="1">('TUSD BE'!$AM$11+'TUSD BF'!$AM$11+'TUSD CVA'!$AM$11)*1*(1-0.03)</f>
        <v>4896.0318731288708</v>
      </c>
      <c r="AA180" s="70">
        <f>('TE BE'!$AA$5+'TE BF'!$AA$5+'TE CVA'!$AA$5)*1*(1-0.03)</f>
        <v>320.80893726149895</v>
      </c>
      <c r="AB180" s="6">
        <f>$K$180*$V$180</f>
        <v>0</v>
      </c>
      <c r="AC180" s="6">
        <f>$M$180*$W$180</f>
        <v>6963.2789088000009</v>
      </c>
      <c r="AD180" s="6">
        <f>$O$180*$X$180</f>
        <v>364.55837639999999</v>
      </c>
      <c r="AE180" s="6">
        <f>$K$180*$Y$180</f>
        <v>0</v>
      </c>
      <c r="AF180" s="6">
        <f ca="1">$M$180*$Z$180</f>
        <v>7902.1954432299981</v>
      </c>
      <c r="AG180" s="6">
        <f>$O$180*$AA$180</f>
        <v>517.78562474005935</v>
      </c>
    </row>
    <row r="181" spans="1:33" ht="11.25" customHeight="1" x14ac:dyDescent="0.3">
      <c r="A181" s="4" t="s">
        <v>21</v>
      </c>
      <c r="B181" s="4" t="s">
        <v>37</v>
      </c>
      <c r="C181" s="4" t="s">
        <v>38</v>
      </c>
      <c r="D181" s="4" t="s">
        <v>49</v>
      </c>
      <c r="E181" s="4" t="s">
        <v>50</v>
      </c>
      <c r="F181" s="4" t="s">
        <v>25</v>
      </c>
      <c r="G181" s="4" t="s">
        <v>25</v>
      </c>
      <c r="H181" s="4" t="s">
        <v>39</v>
      </c>
      <c r="I181" s="5">
        <v>44621</v>
      </c>
      <c r="J181" s="6">
        <v>0</v>
      </c>
      <c r="K181" s="70">
        <v>0</v>
      </c>
      <c r="L181" s="6">
        <v>1.8240000000000001</v>
      </c>
      <c r="M181" s="70">
        <v>1.8240000000000001</v>
      </c>
      <c r="N181" s="6">
        <v>1.8240000000000001</v>
      </c>
      <c r="O181" s="70">
        <v>1.8240000000000001</v>
      </c>
      <c r="P181" s="6">
        <v>0</v>
      </c>
      <c r="Q181" s="4" t="s">
        <v>26</v>
      </c>
      <c r="R181" s="4">
        <v>0</v>
      </c>
      <c r="S181" s="6">
        <v>0</v>
      </c>
      <c r="T181" s="6">
        <v>1</v>
      </c>
      <c r="U181" s="6">
        <v>73</v>
      </c>
      <c r="V181" s="70">
        <f>IF(ISERROR(VLOOKUP($S$181,'TAR FIN'!$A$1:$O$85,15,0)),0,VLOOKUP($S$181,'TAR FIN'!$A$1:$O$85,15,0))</f>
        <v>0</v>
      </c>
      <c r="W181" s="70">
        <f>IF(ISERROR(VLOOKUP($T$181,'TAR FIN'!$A$1:$O$85,15,0)),0,VLOOKUP($T$181,'TAR FIN'!$A$1:$O$85,15,0))*(1-0.06)</f>
        <v>4314.2992000000004</v>
      </c>
      <c r="X181" s="70">
        <f>IF(ISERROR(VLOOKUP($U$181,'TAR FIN'!$A$1:$O$85,15,0)),0,VLOOKUP($U$181,'TAR FIN'!$A$1:$O$85,15,0))*(1-0.06)</f>
        <v>225.87259999999998</v>
      </c>
      <c r="Y181" s="70"/>
      <c r="Z181" s="70">
        <f ca="1">('TUSD BE'!$AM$11+'TUSD BF'!$AM$11+'TUSD CVA'!$AM$11)*1*(1-0.03)</f>
        <v>4896.0318731288708</v>
      </c>
      <c r="AA181" s="70">
        <f>('TE BE'!$AA$5+'TE BF'!$AA$5+'TE CVA'!$AA$5)*1*(1-0.03)</f>
        <v>320.80893726149895</v>
      </c>
      <c r="AB181" s="6">
        <f>$K$181*$V$181</f>
        <v>0</v>
      </c>
      <c r="AC181" s="6">
        <f>$M$181*$W$181</f>
        <v>7869.281740800001</v>
      </c>
      <c r="AD181" s="6">
        <f>$O$181*$X$181</f>
        <v>411.99162239999998</v>
      </c>
      <c r="AE181" s="6">
        <f>$K$181*$Y$181</f>
        <v>0</v>
      </c>
      <c r="AF181" s="6">
        <f ca="1">$M$181*$Z$181</f>
        <v>8930.3621365870604</v>
      </c>
      <c r="AG181" s="6">
        <f>$O$181*$AA$181</f>
        <v>585.15550156497409</v>
      </c>
    </row>
    <row r="182" spans="1:33" ht="11.25" customHeight="1" x14ac:dyDescent="0.3">
      <c r="A182" s="4" t="s">
        <v>21</v>
      </c>
      <c r="B182" s="4" t="s">
        <v>22</v>
      </c>
      <c r="C182" s="4" t="s">
        <v>33</v>
      </c>
      <c r="D182" s="4" t="s">
        <v>24</v>
      </c>
      <c r="E182" s="4" t="s">
        <v>24</v>
      </c>
      <c r="F182" s="4" t="s">
        <v>25</v>
      </c>
      <c r="G182" s="4" t="s">
        <v>25</v>
      </c>
      <c r="H182" s="4" t="s">
        <v>34</v>
      </c>
      <c r="I182" s="5">
        <v>44287</v>
      </c>
      <c r="J182" s="6">
        <v>0</v>
      </c>
      <c r="K182" s="6">
        <v>0</v>
      </c>
      <c r="L182" s="6">
        <v>7.1999999999999995E-2</v>
      </c>
      <c r="M182" s="6">
        <v>7.1999999999999995E-2</v>
      </c>
      <c r="N182" s="6">
        <v>7.1999999999999995E-2</v>
      </c>
      <c r="O182" s="6">
        <v>7.1999999999999995E-2</v>
      </c>
      <c r="P182" s="6">
        <v>0</v>
      </c>
      <c r="Q182" s="4" t="s">
        <v>26</v>
      </c>
      <c r="R182" s="4">
        <v>0</v>
      </c>
      <c r="S182" s="6">
        <v>0</v>
      </c>
      <c r="T182" s="6">
        <v>7</v>
      </c>
      <c r="U182" s="6">
        <v>22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526.36</v>
      </c>
      <c r="X182" s="6">
        <f>IF(ISERROR(VLOOKUP($U$182,'TAR FIN'!$A$1:$O$85,15,0)),0,VLOOKUP($U$182,'TAR FIN'!$A$1:$O$85,15,0))</f>
        <v>240.29</v>
      </c>
      <c r="Y182" s="6"/>
      <c r="Z182" s="6">
        <f ca="1">('TUSD BE'!$AM$19+'TUSD BF'!$AM$19+'TUSD CVA'!$AM$19)*1</f>
        <v>609.11389090071521</v>
      </c>
      <c r="AA182" s="6">
        <f>('TE BE'!$AA$10+'TE BF'!$AA$10+'TE CVA'!$AA$10)*1</f>
        <v>330.73086315618451</v>
      </c>
      <c r="AB182" s="6">
        <f>$K$182*$V$182</f>
        <v>0</v>
      </c>
      <c r="AC182" s="6">
        <f>$M$182*$W$182</f>
        <v>37.897919999999999</v>
      </c>
      <c r="AD182" s="6">
        <f>$O$182*$X$182</f>
        <v>17.300879999999999</v>
      </c>
      <c r="AE182" s="6">
        <f>$K$182*$Y$182</f>
        <v>0</v>
      </c>
      <c r="AF182" s="6">
        <f ca="1">$M$182*$Z$182</f>
        <v>43.856200144851492</v>
      </c>
      <c r="AG182" s="6">
        <f>$O$182*$AA$182</f>
        <v>23.812622147245282</v>
      </c>
    </row>
    <row r="183" spans="1:33" ht="11.25" customHeight="1" x14ac:dyDescent="0.3">
      <c r="A183" s="4" t="s">
        <v>21</v>
      </c>
      <c r="B183" s="4" t="s">
        <v>22</v>
      </c>
      <c r="C183" s="4" t="s">
        <v>33</v>
      </c>
      <c r="D183" s="4" t="s">
        <v>24</v>
      </c>
      <c r="E183" s="4" t="s">
        <v>24</v>
      </c>
      <c r="F183" s="4" t="s">
        <v>25</v>
      </c>
      <c r="G183" s="4" t="s">
        <v>25</v>
      </c>
      <c r="H183" s="4" t="s">
        <v>34</v>
      </c>
      <c r="I183" s="5">
        <v>44317</v>
      </c>
      <c r="J183" s="6">
        <v>0</v>
      </c>
      <c r="K183" s="6">
        <v>0</v>
      </c>
      <c r="L183" s="6">
        <v>7.1999999999999995E-2</v>
      </c>
      <c r="M183" s="6">
        <v>7.1999999999999995E-2</v>
      </c>
      <c r="N183" s="6">
        <v>7.1999999999999995E-2</v>
      </c>
      <c r="O183" s="6">
        <v>7.1999999999999995E-2</v>
      </c>
      <c r="P183" s="6">
        <v>0</v>
      </c>
      <c r="Q183" s="4" t="s">
        <v>26</v>
      </c>
      <c r="R183" s="4">
        <v>0</v>
      </c>
      <c r="S183" s="6">
        <v>0</v>
      </c>
      <c r="T183" s="6">
        <v>7</v>
      </c>
      <c r="U183" s="6">
        <v>22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526.36</v>
      </c>
      <c r="X183" s="6">
        <f>IF(ISERROR(VLOOKUP($U$183,'TAR FIN'!$A$1:$O$85,15,0)),0,VLOOKUP($U$183,'TAR FIN'!$A$1:$O$85,15,0))</f>
        <v>240.29</v>
      </c>
      <c r="Y183" s="6"/>
      <c r="Z183" s="6">
        <f ca="1">('TUSD BE'!$AM$19+'TUSD BF'!$AM$19+'TUSD CVA'!$AM$19)*1</f>
        <v>609.11389090071521</v>
      </c>
      <c r="AA183" s="6">
        <f>('TE BE'!$AA$10+'TE BF'!$AA$10+'TE CVA'!$AA$10)*1</f>
        <v>330.73086315618451</v>
      </c>
      <c r="AB183" s="6">
        <f>$K$183*$V$183</f>
        <v>0</v>
      </c>
      <c r="AC183" s="6">
        <f>$M$183*$W$183</f>
        <v>37.897919999999999</v>
      </c>
      <c r="AD183" s="6">
        <f>$O$183*$X$183</f>
        <v>17.300879999999999</v>
      </c>
      <c r="AE183" s="6">
        <f>$K$183*$Y$183</f>
        <v>0</v>
      </c>
      <c r="AF183" s="6">
        <f ca="1">$M$183*$Z$183</f>
        <v>43.856200144851492</v>
      </c>
      <c r="AG183" s="6">
        <f>$O$183*$AA$183</f>
        <v>23.812622147245282</v>
      </c>
    </row>
    <row r="184" spans="1:33" ht="11.25" customHeight="1" x14ac:dyDescent="0.3">
      <c r="A184" s="4" t="s">
        <v>21</v>
      </c>
      <c r="B184" s="4" t="s">
        <v>22</v>
      </c>
      <c r="C184" s="4" t="s">
        <v>33</v>
      </c>
      <c r="D184" s="4" t="s">
        <v>24</v>
      </c>
      <c r="E184" s="4" t="s">
        <v>24</v>
      </c>
      <c r="F184" s="4" t="s">
        <v>25</v>
      </c>
      <c r="G184" s="4" t="s">
        <v>25</v>
      </c>
      <c r="H184" s="4" t="s">
        <v>34</v>
      </c>
      <c r="I184" s="5">
        <v>44378</v>
      </c>
      <c r="J184" s="6">
        <v>0</v>
      </c>
      <c r="K184" s="6">
        <v>0</v>
      </c>
      <c r="L184" s="6">
        <v>6.3E-2</v>
      </c>
      <c r="M184" s="6">
        <v>6.3E-2</v>
      </c>
      <c r="N184" s="6">
        <v>6.3E-2</v>
      </c>
      <c r="O184" s="6">
        <v>6.3E-2</v>
      </c>
      <c r="P184" s="6">
        <v>0</v>
      </c>
      <c r="Q184" s="4" t="s">
        <v>26</v>
      </c>
      <c r="R184" s="4">
        <v>0</v>
      </c>
      <c r="S184" s="6">
        <v>0</v>
      </c>
      <c r="T184" s="6">
        <v>7</v>
      </c>
      <c r="U184" s="6">
        <v>22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526.36</v>
      </c>
      <c r="X184" s="6">
        <f>IF(ISERROR(VLOOKUP($U$184,'TAR FIN'!$A$1:$O$85,15,0)),0,VLOOKUP($U$184,'TAR FIN'!$A$1:$O$85,15,0))</f>
        <v>240.29</v>
      </c>
      <c r="Y184" s="6"/>
      <c r="Z184" s="6">
        <f ca="1">('TUSD BE'!$AM$19+'TUSD BF'!$AM$19+'TUSD CVA'!$AM$19)*1</f>
        <v>609.11389090071521</v>
      </c>
      <c r="AA184" s="6">
        <f>('TE BE'!$AA$10+'TE BF'!$AA$10+'TE CVA'!$AA$10)*1</f>
        <v>330.73086315618451</v>
      </c>
      <c r="AB184" s="6">
        <f>$K$184*$V$184</f>
        <v>0</v>
      </c>
      <c r="AC184" s="6">
        <f>$M$184*$W$184</f>
        <v>33.160679999999999</v>
      </c>
      <c r="AD184" s="6">
        <f>$O$184*$X$184</f>
        <v>15.13827</v>
      </c>
      <c r="AE184" s="6">
        <f>$K$184*$Y$184</f>
        <v>0</v>
      </c>
      <c r="AF184" s="6">
        <f ca="1">$M$184*$Z$184</f>
        <v>38.374175126745058</v>
      </c>
      <c r="AG184" s="6">
        <f>$O$184*$AA$184</f>
        <v>20.836044378839624</v>
      </c>
    </row>
    <row r="185" spans="1:33" ht="11.25" customHeight="1" x14ac:dyDescent="0.3">
      <c r="A185" s="4" t="s">
        <v>21</v>
      </c>
      <c r="B185" s="4" t="s">
        <v>22</v>
      </c>
      <c r="C185" s="4" t="s">
        <v>33</v>
      </c>
      <c r="D185" s="4" t="s">
        <v>24</v>
      </c>
      <c r="E185" s="4" t="s">
        <v>24</v>
      </c>
      <c r="F185" s="4" t="s">
        <v>25</v>
      </c>
      <c r="G185" s="4" t="s">
        <v>25</v>
      </c>
      <c r="H185" s="4" t="s">
        <v>34</v>
      </c>
      <c r="I185" s="5">
        <v>44409</v>
      </c>
      <c r="J185" s="6">
        <v>0</v>
      </c>
      <c r="K185" s="6">
        <v>0</v>
      </c>
      <c r="L185" s="6">
        <v>7.1999999999999995E-2</v>
      </c>
      <c r="M185" s="6">
        <v>7.1999999999999995E-2</v>
      </c>
      <c r="N185" s="6">
        <v>7.1999999999999995E-2</v>
      </c>
      <c r="O185" s="6">
        <v>7.1999999999999995E-2</v>
      </c>
      <c r="P185" s="6">
        <v>0</v>
      </c>
      <c r="Q185" s="4" t="s">
        <v>26</v>
      </c>
      <c r="R185" s="4">
        <v>0</v>
      </c>
      <c r="S185" s="6">
        <v>0</v>
      </c>
      <c r="T185" s="6">
        <v>7</v>
      </c>
      <c r="U185" s="6">
        <v>22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526.36</v>
      </c>
      <c r="X185" s="6">
        <f>IF(ISERROR(VLOOKUP($U$185,'TAR FIN'!$A$1:$O$85,15,0)),0,VLOOKUP($U$185,'TAR FIN'!$A$1:$O$85,15,0))</f>
        <v>240.29</v>
      </c>
      <c r="Y185" s="6"/>
      <c r="Z185" s="6">
        <f ca="1">('TUSD BE'!$AM$19+'TUSD BF'!$AM$19+'TUSD CVA'!$AM$19)*1</f>
        <v>609.11389090071521</v>
      </c>
      <c r="AA185" s="6">
        <f>('TE BE'!$AA$10+'TE BF'!$AA$10+'TE CVA'!$AA$10)*1</f>
        <v>330.73086315618451</v>
      </c>
      <c r="AB185" s="6">
        <f>$K$185*$V$185</f>
        <v>0</v>
      </c>
      <c r="AC185" s="6">
        <f>$M$185*$W$185</f>
        <v>37.897919999999999</v>
      </c>
      <c r="AD185" s="6">
        <f>$O$185*$X$185</f>
        <v>17.300879999999999</v>
      </c>
      <c r="AE185" s="6">
        <f>$K$185*$Y$185</f>
        <v>0</v>
      </c>
      <c r="AF185" s="6">
        <f ca="1">$M$185*$Z$185</f>
        <v>43.856200144851492</v>
      </c>
      <c r="AG185" s="6">
        <f>$O$185*$AA$185</f>
        <v>23.812622147245282</v>
      </c>
    </row>
    <row r="186" spans="1:33" ht="11.25" customHeight="1" x14ac:dyDescent="0.3">
      <c r="A186" s="4" t="s">
        <v>21</v>
      </c>
      <c r="B186" s="4" t="s">
        <v>22</v>
      </c>
      <c r="C186" s="4" t="s">
        <v>33</v>
      </c>
      <c r="D186" s="4" t="s">
        <v>24</v>
      </c>
      <c r="E186" s="4" t="s">
        <v>24</v>
      </c>
      <c r="F186" s="4" t="s">
        <v>25</v>
      </c>
      <c r="G186" s="4" t="s">
        <v>25</v>
      </c>
      <c r="H186" s="4" t="s">
        <v>34</v>
      </c>
      <c r="I186" s="5">
        <v>44440</v>
      </c>
      <c r="J186" s="6">
        <v>0</v>
      </c>
      <c r="K186" s="6">
        <v>0</v>
      </c>
      <c r="L186" s="6">
        <v>7.1999999999999995E-2</v>
      </c>
      <c r="M186" s="6">
        <v>7.1999999999999995E-2</v>
      </c>
      <c r="N186" s="6">
        <v>7.1999999999999995E-2</v>
      </c>
      <c r="O186" s="6">
        <v>7.1999999999999995E-2</v>
      </c>
      <c r="P186" s="6">
        <v>0</v>
      </c>
      <c r="Q186" s="4" t="s">
        <v>26</v>
      </c>
      <c r="R186" s="4">
        <v>0</v>
      </c>
      <c r="S186" s="6">
        <v>0</v>
      </c>
      <c r="T186" s="6">
        <v>7</v>
      </c>
      <c r="U186" s="6">
        <v>22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526.36</v>
      </c>
      <c r="X186" s="6">
        <f>IF(ISERROR(VLOOKUP($U$186,'TAR FIN'!$A$1:$O$85,15,0)),0,VLOOKUP($U$186,'TAR FIN'!$A$1:$O$85,15,0))</f>
        <v>240.29</v>
      </c>
      <c r="Y186" s="6"/>
      <c r="Z186" s="6">
        <f ca="1">('TUSD BE'!$AM$19+'TUSD BF'!$AM$19+'TUSD CVA'!$AM$19)*1</f>
        <v>609.11389090071521</v>
      </c>
      <c r="AA186" s="6">
        <f>('TE BE'!$AA$10+'TE BF'!$AA$10+'TE CVA'!$AA$10)*1</f>
        <v>330.73086315618451</v>
      </c>
      <c r="AB186" s="6">
        <f>$K$186*$V$186</f>
        <v>0</v>
      </c>
      <c r="AC186" s="6">
        <f>$M$186*$W$186</f>
        <v>37.897919999999999</v>
      </c>
      <c r="AD186" s="6">
        <f>$O$186*$X$186</f>
        <v>17.300879999999999</v>
      </c>
      <c r="AE186" s="6">
        <f>$K$186*$Y$186</f>
        <v>0</v>
      </c>
      <c r="AF186" s="6">
        <f ca="1">$M$186*$Z$186</f>
        <v>43.856200144851492</v>
      </c>
      <c r="AG186" s="6">
        <f>$O$186*$AA$186</f>
        <v>23.812622147245282</v>
      </c>
    </row>
    <row r="187" spans="1:33" ht="11.25" customHeight="1" x14ac:dyDescent="0.3">
      <c r="A187" s="4" t="s">
        <v>21</v>
      </c>
      <c r="B187" s="4" t="s">
        <v>22</v>
      </c>
      <c r="C187" s="4" t="s">
        <v>33</v>
      </c>
      <c r="D187" s="4" t="s">
        <v>24</v>
      </c>
      <c r="E187" s="4" t="s">
        <v>24</v>
      </c>
      <c r="F187" s="4" t="s">
        <v>25</v>
      </c>
      <c r="G187" s="4" t="s">
        <v>25</v>
      </c>
      <c r="H187" s="4" t="s">
        <v>34</v>
      </c>
      <c r="I187" s="5">
        <v>44470</v>
      </c>
      <c r="J187" s="6">
        <v>0</v>
      </c>
      <c r="K187" s="6">
        <v>0</v>
      </c>
      <c r="L187" s="6">
        <v>7.1999999999999995E-2</v>
      </c>
      <c r="M187" s="6">
        <v>7.1999999999999995E-2</v>
      </c>
      <c r="N187" s="6">
        <v>7.1999999999999995E-2</v>
      </c>
      <c r="O187" s="6">
        <v>7.1999999999999995E-2</v>
      </c>
      <c r="P187" s="6">
        <v>0</v>
      </c>
      <c r="Q187" s="4" t="s">
        <v>26</v>
      </c>
      <c r="R187" s="4">
        <v>0</v>
      </c>
      <c r="S187" s="6">
        <v>0</v>
      </c>
      <c r="T187" s="6">
        <v>7</v>
      </c>
      <c r="U187" s="6">
        <v>22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526.36</v>
      </c>
      <c r="X187" s="6">
        <f>IF(ISERROR(VLOOKUP($U$187,'TAR FIN'!$A$1:$O$85,15,0)),0,VLOOKUP($U$187,'TAR FIN'!$A$1:$O$85,15,0))</f>
        <v>240.29</v>
      </c>
      <c r="Y187" s="6"/>
      <c r="Z187" s="6">
        <f ca="1">('TUSD BE'!$AM$19+'TUSD BF'!$AM$19+'TUSD CVA'!$AM$19)*1</f>
        <v>609.11389090071521</v>
      </c>
      <c r="AA187" s="6">
        <f>('TE BE'!$AA$10+'TE BF'!$AA$10+'TE CVA'!$AA$10)*1</f>
        <v>330.73086315618451</v>
      </c>
      <c r="AB187" s="6">
        <f>$K$187*$V$187</f>
        <v>0</v>
      </c>
      <c r="AC187" s="6">
        <f>$M$187*$W$187</f>
        <v>37.897919999999999</v>
      </c>
      <c r="AD187" s="6">
        <f>$O$187*$X$187</f>
        <v>17.300879999999999</v>
      </c>
      <c r="AE187" s="6">
        <f>$K$187*$Y$187</f>
        <v>0</v>
      </c>
      <c r="AF187" s="6">
        <f ca="1">$M$187*$Z$187</f>
        <v>43.856200144851492</v>
      </c>
      <c r="AG187" s="6">
        <f>$O$187*$AA$187</f>
        <v>23.812622147245282</v>
      </c>
    </row>
    <row r="188" spans="1:33" ht="11.25" customHeight="1" x14ac:dyDescent="0.3">
      <c r="A188" s="4" t="s">
        <v>21</v>
      </c>
      <c r="B188" s="4" t="s">
        <v>22</v>
      </c>
      <c r="C188" s="4" t="s">
        <v>33</v>
      </c>
      <c r="D188" s="4" t="s">
        <v>24</v>
      </c>
      <c r="E188" s="4" t="s">
        <v>24</v>
      </c>
      <c r="F188" s="4" t="s">
        <v>25</v>
      </c>
      <c r="G188" s="4" t="s">
        <v>25</v>
      </c>
      <c r="H188" s="4" t="s">
        <v>34</v>
      </c>
      <c r="I188" s="5">
        <v>44501</v>
      </c>
      <c r="J188" s="6">
        <v>0</v>
      </c>
      <c r="K188" s="6">
        <v>0</v>
      </c>
      <c r="L188" s="6">
        <v>7.1999999999999995E-2</v>
      </c>
      <c r="M188" s="6">
        <v>7.1999999999999995E-2</v>
      </c>
      <c r="N188" s="6">
        <v>7.1999999999999995E-2</v>
      </c>
      <c r="O188" s="6">
        <v>7.1999999999999995E-2</v>
      </c>
      <c r="P188" s="6">
        <v>0</v>
      </c>
      <c r="Q188" s="4" t="s">
        <v>26</v>
      </c>
      <c r="R188" s="4">
        <v>0</v>
      </c>
      <c r="S188" s="6">
        <v>0</v>
      </c>
      <c r="T188" s="6">
        <v>7</v>
      </c>
      <c r="U188" s="6">
        <v>22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526.36</v>
      </c>
      <c r="X188" s="6">
        <f>IF(ISERROR(VLOOKUP($U$188,'TAR FIN'!$A$1:$O$85,15,0)),0,VLOOKUP($U$188,'TAR FIN'!$A$1:$O$85,15,0))</f>
        <v>240.29</v>
      </c>
      <c r="Y188" s="6"/>
      <c r="Z188" s="6">
        <f ca="1">('TUSD BE'!$AM$19+'TUSD BF'!$AM$19+'TUSD CVA'!$AM$19)*1</f>
        <v>609.11389090071521</v>
      </c>
      <c r="AA188" s="6">
        <f>('TE BE'!$AA$10+'TE BF'!$AA$10+'TE CVA'!$AA$10)*1</f>
        <v>330.73086315618451</v>
      </c>
      <c r="AB188" s="6">
        <f>$K$188*$V$188</f>
        <v>0</v>
      </c>
      <c r="AC188" s="6">
        <f>$M$188*$W$188</f>
        <v>37.897919999999999</v>
      </c>
      <c r="AD188" s="6">
        <f>$O$188*$X$188</f>
        <v>17.300879999999999</v>
      </c>
      <c r="AE188" s="6">
        <f>$K$188*$Y$188</f>
        <v>0</v>
      </c>
      <c r="AF188" s="6">
        <f ca="1">$M$188*$Z$188</f>
        <v>43.856200144851492</v>
      </c>
      <c r="AG188" s="6">
        <f>$O$188*$AA$188</f>
        <v>23.812622147245282</v>
      </c>
    </row>
    <row r="189" spans="1:33" ht="11.25" customHeight="1" x14ac:dyDescent="0.3">
      <c r="A189" s="4" t="s">
        <v>21</v>
      </c>
      <c r="B189" s="4" t="s">
        <v>22</v>
      </c>
      <c r="C189" s="4" t="s">
        <v>33</v>
      </c>
      <c r="D189" s="4" t="s">
        <v>24</v>
      </c>
      <c r="E189" s="4" t="s">
        <v>24</v>
      </c>
      <c r="F189" s="4" t="s">
        <v>25</v>
      </c>
      <c r="G189" s="4" t="s">
        <v>25</v>
      </c>
      <c r="H189" s="4" t="s">
        <v>34</v>
      </c>
      <c r="I189" s="5">
        <v>44531</v>
      </c>
      <c r="J189" s="6">
        <v>0</v>
      </c>
      <c r="K189" s="6">
        <v>0</v>
      </c>
      <c r="L189" s="6">
        <v>7.1999999999999995E-2</v>
      </c>
      <c r="M189" s="6">
        <v>7.1999999999999995E-2</v>
      </c>
      <c r="N189" s="6">
        <v>7.1999999999999995E-2</v>
      </c>
      <c r="O189" s="6">
        <v>7.1999999999999995E-2</v>
      </c>
      <c r="P189" s="6">
        <v>0</v>
      </c>
      <c r="Q189" s="4" t="s">
        <v>26</v>
      </c>
      <c r="R189" s="4">
        <v>0</v>
      </c>
      <c r="S189" s="6">
        <v>0</v>
      </c>
      <c r="T189" s="6">
        <v>7</v>
      </c>
      <c r="U189" s="6">
        <v>22</v>
      </c>
      <c r="V189" s="6">
        <f>IF(ISERROR(VLOOKUP($S$189,'TAR FIN'!$A$1:$O$85,15,0)),0,VLOOKUP($S$189,'TAR FIN'!$A$1:$O$85,15,0))</f>
        <v>0</v>
      </c>
      <c r="W189" s="6">
        <f>IF(ISERROR(VLOOKUP($T$189,'TAR FIN'!$A$1:$O$85,15,0)),0,VLOOKUP($T$189,'TAR FIN'!$A$1:$O$85,15,0))</f>
        <v>526.36</v>
      </c>
      <c r="X189" s="6">
        <f>IF(ISERROR(VLOOKUP($U$189,'TAR FIN'!$A$1:$O$85,15,0)),0,VLOOKUP($U$189,'TAR FIN'!$A$1:$O$85,15,0))</f>
        <v>240.29</v>
      </c>
      <c r="Y189" s="6"/>
      <c r="Z189" s="6">
        <f ca="1">('TUSD BE'!$AM$19+'TUSD BF'!$AM$19+'TUSD CVA'!$AM$19)*1</f>
        <v>609.11389090071521</v>
      </c>
      <c r="AA189" s="6">
        <f>('TE BE'!$AA$10+'TE BF'!$AA$10+'TE CVA'!$AA$10)*1</f>
        <v>330.73086315618451</v>
      </c>
      <c r="AB189" s="6">
        <f>$K$189*$V$189</f>
        <v>0</v>
      </c>
      <c r="AC189" s="6">
        <f>$M$189*$W$189</f>
        <v>37.897919999999999</v>
      </c>
      <c r="AD189" s="6">
        <f>$O$189*$X$189</f>
        <v>17.300879999999999</v>
      </c>
      <c r="AE189" s="6">
        <f>$K$189*$Y$189</f>
        <v>0</v>
      </c>
      <c r="AF189" s="6">
        <f ca="1">$M$189*$Z$189</f>
        <v>43.856200144851492</v>
      </c>
      <c r="AG189" s="6">
        <f>$O$189*$AA$189</f>
        <v>23.812622147245282</v>
      </c>
    </row>
    <row r="190" spans="1:33" ht="11.25" customHeight="1" x14ac:dyDescent="0.3">
      <c r="A190" s="4" t="s">
        <v>21</v>
      </c>
      <c r="B190" s="4" t="s">
        <v>22</v>
      </c>
      <c r="C190" s="4" t="s">
        <v>33</v>
      </c>
      <c r="D190" s="4" t="s">
        <v>24</v>
      </c>
      <c r="E190" s="4" t="s">
        <v>24</v>
      </c>
      <c r="F190" s="4" t="s">
        <v>25</v>
      </c>
      <c r="G190" s="4" t="s">
        <v>25</v>
      </c>
      <c r="H190" s="4" t="s">
        <v>34</v>
      </c>
      <c r="I190" s="5">
        <v>44562</v>
      </c>
      <c r="J190" s="6">
        <v>0</v>
      </c>
      <c r="K190" s="6">
        <v>0</v>
      </c>
      <c r="L190" s="6">
        <v>7.1999999999999995E-2</v>
      </c>
      <c r="M190" s="6">
        <v>7.1999999999999995E-2</v>
      </c>
      <c r="N190" s="6">
        <v>7.1999999999999995E-2</v>
      </c>
      <c r="O190" s="6">
        <v>7.1999999999999995E-2</v>
      </c>
      <c r="P190" s="6">
        <v>0</v>
      </c>
      <c r="Q190" s="4" t="s">
        <v>26</v>
      </c>
      <c r="R190" s="4">
        <v>0</v>
      </c>
      <c r="S190" s="6">
        <v>0</v>
      </c>
      <c r="T190" s="6">
        <v>7</v>
      </c>
      <c r="U190" s="6">
        <v>22</v>
      </c>
      <c r="V190" s="6">
        <f>IF(ISERROR(VLOOKUP($S$190,'TAR FIN'!$A$1:$O$85,15,0)),0,VLOOKUP($S$190,'TAR FIN'!$A$1:$O$85,15,0))</f>
        <v>0</v>
      </c>
      <c r="W190" s="6">
        <f>IF(ISERROR(VLOOKUP($T$190,'TAR FIN'!$A$1:$O$85,15,0)),0,VLOOKUP($T$190,'TAR FIN'!$A$1:$O$85,15,0))</f>
        <v>526.36</v>
      </c>
      <c r="X190" s="6">
        <f>IF(ISERROR(VLOOKUP($U$190,'TAR FIN'!$A$1:$O$85,15,0)),0,VLOOKUP($U$190,'TAR FIN'!$A$1:$O$85,15,0))</f>
        <v>240.29</v>
      </c>
      <c r="Y190" s="6"/>
      <c r="Z190" s="6">
        <f ca="1">('TUSD BE'!$AM$19+'TUSD BF'!$AM$19+'TUSD CVA'!$AM$19)*1</f>
        <v>609.11389090071521</v>
      </c>
      <c r="AA190" s="6">
        <f>('TE BE'!$AA$10+'TE BF'!$AA$10+'TE CVA'!$AA$10)*1</f>
        <v>330.73086315618451</v>
      </c>
      <c r="AB190" s="6">
        <f>$K$190*$V$190</f>
        <v>0</v>
      </c>
      <c r="AC190" s="6">
        <f>$M$190*$W$190</f>
        <v>37.897919999999999</v>
      </c>
      <c r="AD190" s="6">
        <f>$O$190*$X$190</f>
        <v>17.300879999999999</v>
      </c>
      <c r="AE190" s="6">
        <f>$K$190*$Y$190</f>
        <v>0</v>
      </c>
      <c r="AF190" s="6">
        <f ca="1">$M$190*$Z$190</f>
        <v>43.856200144851492</v>
      </c>
      <c r="AG190" s="6">
        <f>$O$190*$AA$190</f>
        <v>23.812622147245282</v>
      </c>
    </row>
    <row r="191" spans="1:33" ht="11.25" customHeight="1" x14ac:dyDescent="0.3">
      <c r="A191" s="4" t="s">
        <v>21</v>
      </c>
      <c r="B191" s="4" t="s">
        <v>22</v>
      </c>
      <c r="C191" s="4" t="s">
        <v>33</v>
      </c>
      <c r="D191" s="4" t="s">
        <v>24</v>
      </c>
      <c r="E191" s="4" t="s">
        <v>24</v>
      </c>
      <c r="F191" s="4" t="s">
        <v>25</v>
      </c>
      <c r="G191" s="4" t="s">
        <v>25</v>
      </c>
      <c r="H191" s="4" t="s">
        <v>34</v>
      </c>
      <c r="I191" s="5">
        <v>44593</v>
      </c>
      <c r="J191" s="6">
        <v>0</v>
      </c>
      <c r="K191" s="6">
        <v>0</v>
      </c>
      <c r="L191" s="6">
        <v>7.1999999999999995E-2</v>
      </c>
      <c r="M191" s="6">
        <v>7.1999999999999995E-2</v>
      </c>
      <c r="N191" s="6">
        <v>7.1999999999999995E-2</v>
      </c>
      <c r="O191" s="6">
        <v>7.1999999999999995E-2</v>
      </c>
      <c r="P191" s="6">
        <v>0</v>
      </c>
      <c r="Q191" s="4" t="s">
        <v>26</v>
      </c>
      <c r="R191" s="4">
        <v>0</v>
      </c>
      <c r="S191" s="6">
        <v>0</v>
      </c>
      <c r="T191" s="6">
        <v>7</v>
      </c>
      <c r="U191" s="6">
        <v>22</v>
      </c>
      <c r="V191" s="6">
        <f>IF(ISERROR(VLOOKUP($S$191,'TAR FIN'!$A$1:$O$85,15,0)),0,VLOOKUP($S$191,'TAR FIN'!$A$1:$O$85,15,0))</f>
        <v>0</v>
      </c>
      <c r="W191" s="6">
        <f>IF(ISERROR(VLOOKUP($T$191,'TAR FIN'!$A$1:$O$85,15,0)),0,VLOOKUP($T$191,'TAR FIN'!$A$1:$O$85,15,0))</f>
        <v>526.36</v>
      </c>
      <c r="X191" s="6">
        <f>IF(ISERROR(VLOOKUP($U$191,'TAR FIN'!$A$1:$O$85,15,0)),0,VLOOKUP($U$191,'TAR FIN'!$A$1:$O$85,15,0))</f>
        <v>240.29</v>
      </c>
      <c r="Y191" s="6"/>
      <c r="Z191" s="6">
        <f ca="1">('TUSD BE'!$AM$19+'TUSD BF'!$AM$19+'TUSD CVA'!$AM$19)*1</f>
        <v>609.11389090071521</v>
      </c>
      <c r="AA191" s="6">
        <f>('TE BE'!$AA$10+'TE BF'!$AA$10+'TE CVA'!$AA$10)*1</f>
        <v>330.73086315618451</v>
      </c>
      <c r="AB191" s="6">
        <f>$K$191*$V$191</f>
        <v>0</v>
      </c>
      <c r="AC191" s="6">
        <f>$M$191*$W$191</f>
        <v>37.897919999999999</v>
      </c>
      <c r="AD191" s="6">
        <f>$O$191*$X$191</f>
        <v>17.300879999999999</v>
      </c>
      <c r="AE191" s="6">
        <f>$K$191*$Y$191</f>
        <v>0</v>
      </c>
      <c r="AF191" s="6">
        <f ca="1">$M$191*$Z$191</f>
        <v>43.856200144851492</v>
      </c>
      <c r="AG191" s="6">
        <f>$O$191*$AA$191</f>
        <v>23.812622147245282</v>
      </c>
    </row>
    <row r="192" spans="1:33" ht="11.25" customHeight="1" x14ac:dyDescent="0.3">
      <c r="A192" s="4" t="s">
        <v>21</v>
      </c>
      <c r="B192" s="4" t="s">
        <v>22</v>
      </c>
      <c r="C192" s="4" t="s">
        <v>33</v>
      </c>
      <c r="D192" s="4" t="s">
        <v>24</v>
      </c>
      <c r="E192" s="4" t="s">
        <v>24</v>
      </c>
      <c r="F192" s="4" t="s">
        <v>25</v>
      </c>
      <c r="G192" s="4" t="s">
        <v>25</v>
      </c>
      <c r="H192" s="4" t="s">
        <v>39</v>
      </c>
      <c r="I192" s="5">
        <v>44348</v>
      </c>
      <c r="J192" s="6">
        <v>0</v>
      </c>
      <c r="K192" s="6">
        <v>0</v>
      </c>
      <c r="L192" s="6">
        <v>2.8000000000000001E-2</v>
      </c>
      <c r="M192" s="6">
        <v>2.8000000000000001E-2</v>
      </c>
      <c r="N192" s="6">
        <v>2.8000000000000001E-2</v>
      </c>
      <c r="O192" s="6">
        <v>2.8000000000000001E-2</v>
      </c>
      <c r="P192" s="6">
        <v>0</v>
      </c>
      <c r="Q192" s="4" t="s">
        <v>26</v>
      </c>
      <c r="R192" s="4">
        <v>0</v>
      </c>
      <c r="S192" s="6">
        <v>0</v>
      </c>
      <c r="T192" s="6">
        <v>51</v>
      </c>
      <c r="U192" s="6">
        <v>20</v>
      </c>
      <c r="V192" s="6">
        <f>IF(ISERROR(VLOOKUP($S$192,'TAR FIN'!$A$1:$O$85,15,0)),0,VLOOKUP($S$192,'TAR FIN'!$A$1:$O$85,15,0))</f>
        <v>0</v>
      </c>
      <c r="W192" s="6">
        <f>IF(ISERROR(VLOOKUP($T$192,'TAR FIN'!$A$1:$O$85,15,0)),0,VLOOKUP($T$192,'TAR FIN'!$A$1:$O$85,15,0))</f>
        <v>2127.67</v>
      </c>
      <c r="X192" s="6">
        <f>IF(ISERROR(VLOOKUP($U$192,'TAR FIN'!$A$1:$O$85,15,0)),0,VLOOKUP($U$192,'TAR FIN'!$A$1:$O$85,15,0))</f>
        <v>240.29</v>
      </c>
      <c r="Y192" s="6"/>
      <c r="Z192" s="6">
        <f ca="1">('TUSD BE'!$AM$17+'TUSD BF'!$AM$17+'TUSD CVA'!$AM$17)*1</f>
        <v>2360.3290414251446</v>
      </c>
      <c r="AA192" s="6">
        <f>('TE BE'!$AA$8+'TE BF'!$AA$8+'TE CVA'!$AA$8)*1</f>
        <v>330.73086315618451</v>
      </c>
      <c r="AB192" s="6">
        <f>$K$192*$V$192</f>
        <v>0</v>
      </c>
      <c r="AC192" s="6">
        <f>$M$192*$W$192</f>
        <v>59.574760000000005</v>
      </c>
      <c r="AD192" s="6">
        <f>$O$192*$X$192</f>
        <v>6.7281199999999997</v>
      </c>
      <c r="AE192" s="6">
        <f>$K$192*$Y$192</f>
        <v>0</v>
      </c>
      <c r="AF192" s="6">
        <f ca="1">$M$192*$Z$192</f>
        <v>66.089213159904048</v>
      </c>
      <c r="AG192" s="6">
        <f>$O$192*$AA$192</f>
        <v>9.2604641683731668</v>
      </c>
    </row>
    <row r="193" spans="1:33" ht="11.25" customHeight="1" x14ac:dyDescent="0.3">
      <c r="A193" s="4" t="s">
        <v>21</v>
      </c>
      <c r="B193" s="4" t="s">
        <v>22</v>
      </c>
      <c r="C193" s="4" t="s">
        <v>33</v>
      </c>
      <c r="D193" s="4" t="s">
        <v>24</v>
      </c>
      <c r="E193" s="4" t="s">
        <v>24</v>
      </c>
      <c r="F193" s="4" t="s">
        <v>25</v>
      </c>
      <c r="G193" s="4" t="s">
        <v>25</v>
      </c>
      <c r="H193" s="4" t="s">
        <v>39</v>
      </c>
      <c r="I193" s="5">
        <v>44378</v>
      </c>
      <c r="J193" s="6">
        <v>0</v>
      </c>
      <c r="K193" s="6">
        <v>0</v>
      </c>
      <c r="L193" s="6">
        <v>3.0000000000000001E-3</v>
      </c>
      <c r="M193" s="6">
        <v>3.0000000000000001E-3</v>
      </c>
      <c r="N193" s="6">
        <v>3.0000000000000001E-3</v>
      </c>
      <c r="O193" s="6">
        <v>3.0000000000000001E-3</v>
      </c>
      <c r="P193" s="6">
        <v>0</v>
      </c>
      <c r="Q193" s="4" t="s">
        <v>26</v>
      </c>
      <c r="R193" s="4">
        <v>0</v>
      </c>
      <c r="S193" s="6">
        <v>0</v>
      </c>
      <c r="T193" s="6">
        <v>51</v>
      </c>
      <c r="U193" s="6">
        <v>20</v>
      </c>
      <c r="V193" s="6">
        <f>IF(ISERROR(VLOOKUP($S$193,'TAR FIN'!$A$1:$O$85,15,0)),0,VLOOKUP($S$193,'TAR FIN'!$A$1:$O$85,15,0))</f>
        <v>0</v>
      </c>
      <c r="W193" s="6">
        <f>IF(ISERROR(VLOOKUP($T$193,'TAR FIN'!$A$1:$O$85,15,0)),0,VLOOKUP($T$193,'TAR FIN'!$A$1:$O$85,15,0))</f>
        <v>2127.67</v>
      </c>
      <c r="X193" s="6">
        <f>IF(ISERROR(VLOOKUP($U$193,'TAR FIN'!$A$1:$O$85,15,0)),0,VLOOKUP($U$193,'TAR FIN'!$A$1:$O$85,15,0))</f>
        <v>240.29</v>
      </c>
      <c r="Y193" s="6"/>
      <c r="Z193" s="6">
        <f ca="1">('TUSD BE'!$AM$17+'TUSD BF'!$AM$17+'TUSD CVA'!$AM$17)*1</f>
        <v>2360.3290414251446</v>
      </c>
      <c r="AA193" s="6">
        <f>('TE BE'!$AA$8+'TE BF'!$AA$8+'TE CVA'!$AA$8)*1</f>
        <v>330.73086315618451</v>
      </c>
      <c r="AB193" s="6">
        <f>$K$193*$V$193</f>
        <v>0</v>
      </c>
      <c r="AC193" s="6">
        <f>$M$193*$W$193</f>
        <v>6.3830100000000005</v>
      </c>
      <c r="AD193" s="6">
        <f>$O$193*$X$193</f>
        <v>0.72087000000000001</v>
      </c>
      <c r="AE193" s="6">
        <f>$K$193*$Y$193</f>
        <v>0</v>
      </c>
      <c r="AF193" s="6">
        <f ca="1">$M$193*$Z$193</f>
        <v>7.0809871242754339</v>
      </c>
      <c r="AG193" s="6">
        <f>$O$193*$AA$193</f>
        <v>0.9921925894685536</v>
      </c>
    </row>
    <row r="194" spans="1:33" ht="11.25" customHeight="1" x14ac:dyDescent="0.3">
      <c r="A194" s="4" t="s">
        <v>21</v>
      </c>
      <c r="B194" s="4" t="s">
        <v>22</v>
      </c>
      <c r="C194" s="4" t="s">
        <v>23</v>
      </c>
      <c r="D194" s="4" t="s">
        <v>24</v>
      </c>
      <c r="E194" s="4" t="s">
        <v>24</v>
      </c>
      <c r="F194" s="4" t="s">
        <v>25</v>
      </c>
      <c r="G194" s="4" t="s">
        <v>25</v>
      </c>
      <c r="H194" s="4" t="s">
        <v>25</v>
      </c>
      <c r="I194" s="5">
        <v>44287</v>
      </c>
      <c r="J194" s="6">
        <v>0</v>
      </c>
      <c r="K194" s="6">
        <v>0</v>
      </c>
      <c r="L194" s="6">
        <v>963.36699999999996</v>
      </c>
      <c r="M194" s="6">
        <v>963.36699999999996</v>
      </c>
      <c r="N194" s="6">
        <v>963.36699999999996</v>
      </c>
      <c r="O194" s="6">
        <v>963.36699999999996</v>
      </c>
      <c r="P194" s="6">
        <v>6188</v>
      </c>
      <c r="Q194" s="4" t="s">
        <v>26</v>
      </c>
      <c r="R194" s="4">
        <v>0</v>
      </c>
      <c r="S194" s="6">
        <v>0</v>
      </c>
      <c r="T194" s="6">
        <v>8</v>
      </c>
      <c r="U194" s="6">
        <v>23</v>
      </c>
      <c r="V194" s="6">
        <f>IF(ISERROR(VLOOKUP($S$194,'TAR FIN'!$A$1:$O$85,15,0)),0,VLOOKUP($S$194,'TAR FIN'!$A$1:$O$85,15,0))</f>
        <v>0</v>
      </c>
      <c r="W194" s="6">
        <f>IF(ISERROR(VLOOKUP($T$194,'TAR FIN'!$A$1:$O$85,15,0)),0,VLOOKUP($T$194,'TAR FIN'!$A$1:$O$85,15,0))</f>
        <v>867.38</v>
      </c>
      <c r="X194" s="6">
        <f>IF(ISERROR(VLOOKUP($U$194,'TAR FIN'!$A$1:$O$85,15,0)),0,VLOOKUP($U$194,'TAR FIN'!$A$1:$O$85,15,0))</f>
        <v>240.29</v>
      </c>
      <c r="Y194" s="6"/>
      <c r="Z194" s="6">
        <f ca="1">('TUSD BE'!$AM$20+'TUSD BF'!$AM$20+'TUSD CVA'!$AM$20)*1</f>
        <v>982.05733872165513</v>
      </c>
      <c r="AA194" s="6">
        <f>('TE BE'!$AA$11+'TE BF'!$AA$11+'TE CVA'!$AA$11)*1</f>
        <v>330.73086315618451</v>
      </c>
      <c r="AB194" s="6">
        <f>$K$194*$V$194</f>
        <v>0</v>
      </c>
      <c r="AC194" s="6">
        <f>$M$194*$W$194</f>
        <v>835605.26845999993</v>
      </c>
      <c r="AD194" s="6">
        <f>$O$194*$X$194</f>
        <v>231487.45642999999</v>
      </c>
      <c r="AE194" s="6">
        <f>$K$194*$Y$194</f>
        <v>0</v>
      </c>
      <c r="AF194" s="6">
        <f ca="1">$M$194*$Z$194</f>
        <v>946081.63223226473</v>
      </c>
      <c r="AG194" s="6">
        <f>$O$194*$AA$194</f>
        <v>318615.19944618398</v>
      </c>
    </row>
    <row r="195" spans="1:33" ht="11.25" customHeight="1" x14ac:dyDescent="0.3">
      <c r="A195" s="4" t="s">
        <v>27</v>
      </c>
      <c r="B195" s="4" t="s">
        <v>22</v>
      </c>
      <c r="C195" s="4" t="s">
        <v>23</v>
      </c>
      <c r="D195" s="4" t="s">
        <v>24</v>
      </c>
      <c r="E195" s="4" t="s">
        <v>24</v>
      </c>
      <c r="F195" s="4" t="s">
        <v>25</v>
      </c>
      <c r="G195" s="4" t="s">
        <v>25</v>
      </c>
      <c r="H195" s="4" t="s">
        <v>25</v>
      </c>
      <c r="I195" s="5">
        <v>44287</v>
      </c>
      <c r="J195" s="6">
        <v>0</v>
      </c>
      <c r="K195" s="6">
        <v>0</v>
      </c>
      <c r="L195" s="6">
        <v>-1.056</v>
      </c>
      <c r="M195" s="6">
        <v>-1.056</v>
      </c>
      <c r="N195" s="6">
        <v>-1.056</v>
      </c>
      <c r="O195" s="6">
        <v>-1.056</v>
      </c>
      <c r="P195" s="6">
        <v>0</v>
      </c>
      <c r="Q195" s="4" t="s">
        <v>26</v>
      </c>
      <c r="R195" s="4">
        <v>0</v>
      </c>
      <c r="S195" s="6">
        <v>0</v>
      </c>
      <c r="T195" s="6">
        <v>8</v>
      </c>
      <c r="U195" s="6">
        <v>23</v>
      </c>
      <c r="V195" s="6">
        <f>IF(ISERROR(VLOOKUP($S$195,'TAR FIN'!$A$1:$O$85,15,0)),0,VLOOKUP($S$195,'TAR FIN'!$A$1:$O$85,15,0))</f>
        <v>0</v>
      </c>
      <c r="W195" s="6">
        <f>IF(ISERROR(VLOOKUP($T$195,'TAR FIN'!$A$1:$O$85,15,0)),0,VLOOKUP($T$195,'TAR FIN'!$A$1:$O$85,15,0))</f>
        <v>867.38</v>
      </c>
      <c r="X195" s="6">
        <f>IF(ISERROR(VLOOKUP($U$195,'TAR FIN'!$A$1:$O$85,15,0)),0,VLOOKUP($U$195,'TAR FIN'!$A$1:$O$85,15,0))</f>
        <v>240.29</v>
      </c>
      <c r="Y195" s="6"/>
      <c r="Z195" s="6">
        <f ca="1">('TUSD BE'!$AM$20+'TUSD BF'!$AM$20+'TUSD CVA'!$AM$20)*1</f>
        <v>982.05733872165513</v>
      </c>
      <c r="AA195" s="6">
        <f>('TE BE'!$AA$11+'TE BF'!$AA$11+'TE CVA'!$AA$11)*1</f>
        <v>330.73086315618451</v>
      </c>
      <c r="AB195" s="6">
        <f>$K$195*$V$195</f>
        <v>0</v>
      </c>
      <c r="AC195" s="6">
        <f>$M$195*$W$195</f>
        <v>-915.95328000000006</v>
      </c>
      <c r="AD195" s="6">
        <f>$O$195*$X$195</f>
        <v>-253.74624</v>
      </c>
      <c r="AE195" s="6">
        <f>$K$195*$Y$195</f>
        <v>0</v>
      </c>
      <c r="AF195" s="6">
        <f ca="1">$M$195*$Z$195</f>
        <v>-1037.052549690068</v>
      </c>
      <c r="AG195" s="6">
        <f>$O$195*$AA$195</f>
        <v>-349.25179149293086</v>
      </c>
    </row>
    <row r="196" spans="1:33" ht="11.25" customHeight="1" x14ac:dyDescent="0.3">
      <c r="A196" s="4" t="s">
        <v>28</v>
      </c>
      <c r="B196" s="4" t="s">
        <v>22</v>
      </c>
      <c r="C196" s="4" t="s">
        <v>23</v>
      </c>
      <c r="D196" s="4" t="s">
        <v>24</v>
      </c>
      <c r="E196" s="4" t="s">
        <v>24</v>
      </c>
      <c r="F196" s="4" t="s">
        <v>25</v>
      </c>
      <c r="G196" s="4" t="s">
        <v>25</v>
      </c>
      <c r="H196" s="4" t="s">
        <v>25</v>
      </c>
      <c r="I196" s="5">
        <v>44287</v>
      </c>
      <c r="J196" s="6">
        <v>0</v>
      </c>
      <c r="K196" s="6">
        <v>0</v>
      </c>
      <c r="L196" s="6">
        <v>4.0199999999999996</v>
      </c>
      <c r="M196" s="6">
        <v>4.0199999999999996</v>
      </c>
      <c r="N196" s="6">
        <v>4.0199999999999996</v>
      </c>
      <c r="O196" s="6">
        <v>4.0199999999999996</v>
      </c>
      <c r="P196" s="6">
        <v>30</v>
      </c>
      <c r="Q196" s="4" t="s">
        <v>26</v>
      </c>
      <c r="R196" s="4">
        <v>0</v>
      </c>
      <c r="S196" s="6">
        <v>0</v>
      </c>
      <c r="T196" s="6">
        <v>8</v>
      </c>
      <c r="U196" s="6">
        <v>23</v>
      </c>
      <c r="V196" s="6">
        <f>IF(ISERROR(VLOOKUP($S$196,'TAR FIN'!$A$1:$O$85,15,0)),0,VLOOKUP($S$196,'TAR FIN'!$A$1:$O$85,15,0))</f>
        <v>0</v>
      </c>
      <c r="W196" s="6">
        <f>IF(ISERROR(VLOOKUP($T$196,'TAR FIN'!$A$1:$O$85,15,0)),0,VLOOKUP($T$196,'TAR FIN'!$A$1:$O$85,15,0))</f>
        <v>867.38</v>
      </c>
      <c r="X196" s="6">
        <f>IF(ISERROR(VLOOKUP($U$196,'TAR FIN'!$A$1:$O$85,15,0)),0,VLOOKUP($U$196,'TAR FIN'!$A$1:$O$85,15,0))</f>
        <v>240.29</v>
      </c>
      <c r="Y196" s="6"/>
      <c r="Z196" s="6">
        <f ca="1">('TUSD BE'!$AM$20+'TUSD BF'!$AM$20+'TUSD CVA'!$AM$20)*1</f>
        <v>982.05733872165513</v>
      </c>
      <c r="AA196" s="6">
        <f>('TE BE'!$AA$11+'TE BF'!$AA$11+'TE CVA'!$AA$11)*1</f>
        <v>330.73086315618451</v>
      </c>
      <c r="AB196" s="6">
        <f>$K$196*$V$196</f>
        <v>0</v>
      </c>
      <c r="AC196" s="6">
        <f>$M$196*$W$196</f>
        <v>3486.8675999999996</v>
      </c>
      <c r="AD196" s="6">
        <f>$O$196*$X$196</f>
        <v>965.96579999999983</v>
      </c>
      <c r="AE196" s="6">
        <f>$K$196*$Y$196</f>
        <v>0</v>
      </c>
      <c r="AF196" s="6">
        <f ca="1">$M$196*$Z$196</f>
        <v>3947.8705016610534</v>
      </c>
      <c r="AG196" s="6">
        <f>$O$196*$AA$196</f>
        <v>1329.5380698878616</v>
      </c>
    </row>
    <row r="197" spans="1:33" ht="11.25" customHeight="1" x14ac:dyDescent="0.3">
      <c r="A197" s="4" t="s">
        <v>21</v>
      </c>
      <c r="B197" s="4" t="s">
        <v>22</v>
      </c>
      <c r="C197" s="4" t="s">
        <v>23</v>
      </c>
      <c r="D197" s="4" t="s">
        <v>24</v>
      </c>
      <c r="E197" s="4" t="s">
        <v>24</v>
      </c>
      <c r="F197" s="4" t="s">
        <v>25</v>
      </c>
      <c r="G197" s="4" t="s">
        <v>25</v>
      </c>
      <c r="H197" s="4" t="s">
        <v>25</v>
      </c>
      <c r="I197" s="5">
        <v>44317</v>
      </c>
      <c r="J197" s="6">
        <v>0</v>
      </c>
      <c r="K197" s="6">
        <v>0</v>
      </c>
      <c r="L197" s="6">
        <v>758.10400000000004</v>
      </c>
      <c r="M197" s="6">
        <v>758.10400000000004</v>
      </c>
      <c r="N197" s="6">
        <v>758.10400000000004</v>
      </c>
      <c r="O197" s="6">
        <v>758.10400000000004</v>
      </c>
      <c r="P197" s="6">
        <v>6140</v>
      </c>
      <c r="Q197" s="4" t="s">
        <v>26</v>
      </c>
      <c r="R197" s="4">
        <v>0</v>
      </c>
      <c r="S197" s="6">
        <v>0</v>
      </c>
      <c r="T197" s="6">
        <v>8</v>
      </c>
      <c r="U197" s="6">
        <v>23</v>
      </c>
      <c r="V197" s="6">
        <f>IF(ISERROR(VLOOKUP($S$197,'TAR FIN'!$A$1:$O$85,15,0)),0,VLOOKUP($S$197,'TAR FIN'!$A$1:$O$85,15,0))</f>
        <v>0</v>
      </c>
      <c r="W197" s="6">
        <f>IF(ISERROR(VLOOKUP($T$197,'TAR FIN'!$A$1:$O$85,15,0)),0,VLOOKUP($T$197,'TAR FIN'!$A$1:$O$85,15,0))</f>
        <v>867.38</v>
      </c>
      <c r="X197" s="6">
        <f>IF(ISERROR(VLOOKUP($U$197,'TAR FIN'!$A$1:$O$85,15,0)),0,VLOOKUP($U$197,'TAR FIN'!$A$1:$O$85,15,0))</f>
        <v>240.29</v>
      </c>
      <c r="Y197" s="6"/>
      <c r="Z197" s="6">
        <f ca="1">('TUSD BE'!$AM$20+'TUSD BF'!$AM$20+'TUSD CVA'!$AM$20)*1</f>
        <v>982.05733872165513</v>
      </c>
      <c r="AA197" s="6">
        <f>('TE BE'!$AA$11+'TE BF'!$AA$11+'TE CVA'!$AA$11)*1</f>
        <v>330.73086315618451</v>
      </c>
      <c r="AB197" s="6">
        <f>$K$197*$V$197</f>
        <v>0</v>
      </c>
      <c r="AC197" s="6">
        <f>$M$197*$W$197</f>
        <v>657564.24751999998</v>
      </c>
      <c r="AD197" s="6">
        <f>$O$197*$X$197</f>
        <v>182164.81015999999</v>
      </c>
      <c r="AE197" s="6">
        <f>$K$197*$Y$197</f>
        <v>0</v>
      </c>
      <c r="AF197" s="6">
        <f ca="1">$M$197*$Z$197</f>
        <v>744501.59671424166</v>
      </c>
      <c r="AG197" s="6">
        <f>$O$197*$AA$197</f>
        <v>250728.39028215612</v>
      </c>
    </row>
    <row r="198" spans="1:33" ht="11.25" customHeight="1" x14ac:dyDescent="0.3">
      <c r="A198" s="4" t="s">
        <v>27</v>
      </c>
      <c r="B198" s="4" t="s">
        <v>22</v>
      </c>
      <c r="C198" s="4" t="s">
        <v>23</v>
      </c>
      <c r="D198" s="4" t="s">
        <v>24</v>
      </c>
      <c r="E198" s="4" t="s">
        <v>24</v>
      </c>
      <c r="F198" s="4" t="s">
        <v>25</v>
      </c>
      <c r="G198" s="4" t="s">
        <v>25</v>
      </c>
      <c r="H198" s="4" t="s">
        <v>25</v>
      </c>
      <c r="I198" s="5">
        <v>44317</v>
      </c>
      <c r="J198" s="6">
        <v>0</v>
      </c>
      <c r="K198" s="6">
        <v>0</v>
      </c>
      <c r="L198" s="6">
        <v>-11.135</v>
      </c>
      <c r="M198" s="6">
        <v>-11.135</v>
      </c>
      <c r="N198" s="6">
        <v>-11.135</v>
      </c>
      <c r="O198" s="6">
        <v>-11.135</v>
      </c>
      <c r="P198" s="6">
        <v>0</v>
      </c>
      <c r="Q198" s="4" t="s">
        <v>26</v>
      </c>
      <c r="R198" s="4">
        <v>0</v>
      </c>
      <c r="S198" s="6">
        <v>0</v>
      </c>
      <c r="T198" s="6">
        <v>8</v>
      </c>
      <c r="U198" s="6">
        <v>23</v>
      </c>
      <c r="V198" s="6">
        <f>IF(ISERROR(VLOOKUP($S$198,'TAR FIN'!$A$1:$O$85,15,0)),0,VLOOKUP($S$198,'TAR FIN'!$A$1:$O$85,15,0))</f>
        <v>0</v>
      </c>
      <c r="W198" s="6">
        <f>IF(ISERROR(VLOOKUP($T$198,'TAR FIN'!$A$1:$O$85,15,0)),0,VLOOKUP($T$198,'TAR FIN'!$A$1:$O$85,15,0))</f>
        <v>867.38</v>
      </c>
      <c r="X198" s="6">
        <f>IF(ISERROR(VLOOKUP($U$198,'TAR FIN'!$A$1:$O$85,15,0)),0,VLOOKUP($U$198,'TAR FIN'!$A$1:$O$85,15,0))</f>
        <v>240.29</v>
      </c>
      <c r="Y198" s="6"/>
      <c r="Z198" s="6">
        <f ca="1">('TUSD BE'!$AM$20+'TUSD BF'!$AM$20+'TUSD CVA'!$AM$20)*1</f>
        <v>982.05733872165513</v>
      </c>
      <c r="AA198" s="6">
        <f>('TE BE'!$AA$11+'TE BF'!$AA$11+'TE CVA'!$AA$11)*1</f>
        <v>330.73086315618451</v>
      </c>
      <c r="AB198" s="6">
        <f>$K$198*$V$198</f>
        <v>0</v>
      </c>
      <c r="AC198" s="6">
        <f>$M$198*$W$198</f>
        <v>-9658.2762999999995</v>
      </c>
      <c r="AD198" s="6">
        <f>$O$198*$X$198</f>
        <v>-2675.6291499999998</v>
      </c>
      <c r="AE198" s="6">
        <f>$K$198*$Y$198</f>
        <v>0</v>
      </c>
      <c r="AF198" s="6">
        <f ca="1">$M$198*$Z$198</f>
        <v>-10935.20846666563</v>
      </c>
      <c r="AG198" s="6">
        <f>$O$198*$AA$198</f>
        <v>-3682.6881612441143</v>
      </c>
    </row>
    <row r="199" spans="1:33" ht="11.25" customHeight="1" x14ac:dyDescent="0.3">
      <c r="A199" s="4" t="s">
        <v>28</v>
      </c>
      <c r="B199" s="4" t="s">
        <v>22</v>
      </c>
      <c r="C199" s="4" t="s">
        <v>23</v>
      </c>
      <c r="D199" s="4" t="s">
        <v>24</v>
      </c>
      <c r="E199" s="4" t="s">
        <v>24</v>
      </c>
      <c r="F199" s="4" t="s">
        <v>25</v>
      </c>
      <c r="G199" s="4" t="s">
        <v>25</v>
      </c>
      <c r="H199" s="4" t="s">
        <v>25</v>
      </c>
      <c r="I199" s="5">
        <v>44317</v>
      </c>
      <c r="J199" s="6">
        <v>0</v>
      </c>
      <c r="K199" s="6">
        <v>0</v>
      </c>
      <c r="L199" s="6">
        <v>3.7429999999999999</v>
      </c>
      <c r="M199" s="6">
        <v>3.7429999999999999</v>
      </c>
      <c r="N199" s="6">
        <v>3.7429999999999999</v>
      </c>
      <c r="O199" s="6">
        <v>3.7429999999999999</v>
      </c>
      <c r="P199" s="6">
        <v>34</v>
      </c>
      <c r="Q199" s="4" t="s">
        <v>26</v>
      </c>
      <c r="R199" s="4">
        <v>0</v>
      </c>
      <c r="S199" s="6">
        <v>0</v>
      </c>
      <c r="T199" s="6">
        <v>8</v>
      </c>
      <c r="U199" s="6">
        <v>23</v>
      </c>
      <c r="V199" s="6">
        <f>IF(ISERROR(VLOOKUP($S$199,'TAR FIN'!$A$1:$O$85,15,0)),0,VLOOKUP($S$199,'TAR FIN'!$A$1:$O$85,15,0))</f>
        <v>0</v>
      </c>
      <c r="W199" s="6">
        <f>IF(ISERROR(VLOOKUP($T$199,'TAR FIN'!$A$1:$O$85,15,0)),0,VLOOKUP($T$199,'TAR FIN'!$A$1:$O$85,15,0))</f>
        <v>867.38</v>
      </c>
      <c r="X199" s="6">
        <f>IF(ISERROR(VLOOKUP($U$199,'TAR FIN'!$A$1:$O$85,15,0)),0,VLOOKUP($U$199,'TAR FIN'!$A$1:$O$85,15,0))</f>
        <v>240.29</v>
      </c>
      <c r="Y199" s="6"/>
      <c r="Z199" s="6">
        <f ca="1">('TUSD BE'!$AM$20+'TUSD BF'!$AM$20+'TUSD CVA'!$AM$20)*1</f>
        <v>982.05733872165513</v>
      </c>
      <c r="AA199" s="6">
        <f>('TE BE'!$AA$11+'TE BF'!$AA$11+'TE CVA'!$AA$11)*1</f>
        <v>330.73086315618451</v>
      </c>
      <c r="AB199" s="6">
        <f>$K$199*$V$199</f>
        <v>0</v>
      </c>
      <c r="AC199" s="6">
        <f>$M$199*$W$199</f>
        <v>3246.6033399999997</v>
      </c>
      <c r="AD199" s="6">
        <f>$O$199*$X$199</f>
        <v>899.40546999999992</v>
      </c>
      <c r="AE199" s="6">
        <f>$K$199*$Y$199</f>
        <v>0</v>
      </c>
      <c r="AF199" s="6">
        <f ca="1">$M$199*$Z$199</f>
        <v>3675.8406188351551</v>
      </c>
      <c r="AG199" s="6">
        <f>$O$199*$AA$199</f>
        <v>1237.9256207935987</v>
      </c>
    </row>
    <row r="200" spans="1:33" ht="11.25" customHeight="1" x14ac:dyDescent="0.3">
      <c r="A200" s="4" t="s">
        <v>21</v>
      </c>
      <c r="B200" s="4" t="s">
        <v>22</v>
      </c>
      <c r="C200" s="4" t="s">
        <v>23</v>
      </c>
      <c r="D200" s="4" t="s">
        <v>24</v>
      </c>
      <c r="E200" s="4" t="s">
        <v>24</v>
      </c>
      <c r="F200" s="4" t="s">
        <v>25</v>
      </c>
      <c r="G200" s="4" t="s">
        <v>25</v>
      </c>
      <c r="H200" s="4" t="s">
        <v>25</v>
      </c>
      <c r="I200" s="5">
        <v>44348</v>
      </c>
      <c r="J200" s="6">
        <v>0</v>
      </c>
      <c r="K200" s="6">
        <v>0</v>
      </c>
      <c r="L200" s="6">
        <v>897.89300000000003</v>
      </c>
      <c r="M200" s="6">
        <v>897.89300000000003</v>
      </c>
      <c r="N200" s="6">
        <v>897.89300000000003</v>
      </c>
      <c r="O200" s="6">
        <v>897.89300000000003</v>
      </c>
      <c r="P200" s="6">
        <v>6216</v>
      </c>
      <c r="Q200" s="4" t="s">
        <v>26</v>
      </c>
      <c r="R200" s="4">
        <v>0</v>
      </c>
      <c r="S200" s="6">
        <v>0</v>
      </c>
      <c r="T200" s="6">
        <v>8</v>
      </c>
      <c r="U200" s="6">
        <v>23</v>
      </c>
      <c r="V200" s="6">
        <f>IF(ISERROR(VLOOKUP($S$200,'TAR FIN'!$A$1:$O$85,15,0)),0,VLOOKUP($S$200,'TAR FIN'!$A$1:$O$85,15,0))</f>
        <v>0</v>
      </c>
      <c r="W200" s="6">
        <f>IF(ISERROR(VLOOKUP($T$200,'TAR FIN'!$A$1:$O$85,15,0)),0,VLOOKUP($T$200,'TAR FIN'!$A$1:$O$85,15,0))</f>
        <v>867.38</v>
      </c>
      <c r="X200" s="6">
        <f>IF(ISERROR(VLOOKUP($U$200,'TAR FIN'!$A$1:$O$85,15,0)),0,VLOOKUP($U$200,'TAR FIN'!$A$1:$O$85,15,0))</f>
        <v>240.29</v>
      </c>
      <c r="Y200" s="6"/>
      <c r="Z200" s="6">
        <f ca="1">('TUSD BE'!$AM$20+'TUSD BF'!$AM$20+'TUSD CVA'!$AM$20)*1</f>
        <v>982.05733872165513</v>
      </c>
      <c r="AA200" s="6">
        <f>('TE BE'!$AA$11+'TE BF'!$AA$11+'TE CVA'!$AA$11)*1</f>
        <v>330.73086315618451</v>
      </c>
      <c r="AB200" s="6">
        <f>$K$200*$V$200</f>
        <v>0</v>
      </c>
      <c r="AC200" s="6">
        <f>$M$200*$W$200</f>
        <v>778814.43034000008</v>
      </c>
      <c r="AD200" s="6">
        <f>$O$200*$X$200</f>
        <v>215754.70897000001</v>
      </c>
      <c r="AE200" s="6">
        <f>$K$200*$Y$200</f>
        <v>0</v>
      </c>
      <c r="AF200" s="6">
        <f ca="1">$M$200*$Z$200</f>
        <v>881782.41003680311</v>
      </c>
      <c r="AG200" s="6">
        <f>$O$200*$AA$200</f>
        <v>296960.92691189598</v>
      </c>
    </row>
    <row r="201" spans="1:33" ht="11.25" customHeight="1" x14ac:dyDescent="0.3">
      <c r="A201" s="4" t="s">
        <v>27</v>
      </c>
      <c r="B201" s="4" t="s">
        <v>22</v>
      </c>
      <c r="C201" s="4" t="s">
        <v>23</v>
      </c>
      <c r="D201" s="4" t="s">
        <v>24</v>
      </c>
      <c r="E201" s="4" t="s">
        <v>24</v>
      </c>
      <c r="F201" s="4" t="s">
        <v>25</v>
      </c>
      <c r="G201" s="4" t="s">
        <v>25</v>
      </c>
      <c r="H201" s="4" t="s">
        <v>25</v>
      </c>
      <c r="I201" s="5">
        <v>44348</v>
      </c>
      <c r="J201" s="6">
        <v>0</v>
      </c>
      <c r="K201" s="6">
        <v>0</v>
      </c>
      <c r="L201" s="6">
        <v>-100.111</v>
      </c>
      <c r="M201" s="6">
        <v>-100.111</v>
      </c>
      <c r="N201" s="6">
        <v>-100.111</v>
      </c>
      <c r="O201" s="6">
        <v>-100.111</v>
      </c>
      <c r="P201" s="6">
        <v>0</v>
      </c>
      <c r="Q201" s="4" t="s">
        <v>26</v>
      </c>
      <c r="R201" s="4">
        <v>0</v>
      </c>
      <c r="S201" s="6">
        <v>0</v>
      </c>
      <c r="T201" s="6">
        <v>8</v>
      </c>
      <c r="U201" s="6">
        <v>23</v>
      </c>
      <c r="V201" s="6">
        <f>IF(ISERROR(VLOOKUP($S$201,'TAR FIN'!$A$1:$O$85,15,0)),0,VLOOKUP($S$201,'TAR FIN'!$A$1:$O$85,15,0))</f>
        <v>0</v>
      </c>
      <c r="W201" s="6">
        <f>IF(ISERROR(VLOOKUP($T$201,'TAR FIN'!$A$1:$O$85,15,0)),0,VLOOKUP($T$201,'TAR FIN'!$A$1:$O$85,15,0))</f>
        <v>867.38</v>
      </c>
      <c r="X201" s="6">
        <f>IF(ISERROR(VLOOKUP($U$201,'TAR FIN'!$A$1:$O$85,15,0)),0,VLOOKUP($U$201,'TAR FIN'!$A$1:$O$85,15,0))</f>
        <v>240.29</v>
      </c>
      <c r="Y201" s="6"/>
      <c r="Z201" s="6">
        <f ca="1">('TUSD BE'!$AM$20+'TUSD BF'!$AM$20+'TUSD CVA'!$AM$20)*1</f>
        <v>982.05733872165513</v>
      </c>
      <c r="AA201" s="6">
        <f>('TE BE'!$AA$11+'TE BF'!$AA$11+'TE CVA'!$AA$11)*1</f>
        <v>330.73086315618451</v>
      </c>
      <c r="AB201" s="6">
        <f>$K$201*$V$201</f>
        <v>0</v>
      </c>
      <c r="AC201" s="6">
        <f>$M$201*$W$201</f>
        <v>-86834.279179999998</v>
      </c>
      <c r="AD201" s="6">
        <f>$O$201*$X$201</f>
        <v>-24055.672190000001</v>
      </c>
      <c r="AE201" s="6">
        <f>$K$201*$Y$201</f>
        <v>0</v>
      </c>
      <c r="AF201" s="6">
        <f ca="1">$M$201*$Z$201</f>
        <v>-98314.742236763617</v>
      </c>
      <c r="AG201" s="6">
        <f>$O$201*$AA$201</f>
        <v>-33109.797441428789</v>
      </c>
    </row>
    <row r="202" spans="1:33" ht="11.25" customHeight="1" x14ac:dyDescent="0.3">
      <c r="A202" s="4" t="s">
        <v>28</v>
      </c>
      <c r="B202" s="4" t="s">
        <v>22</v>
      </c>
      <c r="C202" s="4" t="s">
        <v>23</v>
      </c>
      <c r="D202" s="4" t="s">
        <v>24</v>
      </c>
      <c r="E202" s="4" t="s">
        <v>24</v>
      </c>
      <c r="F202" s="4" t="s">
        <v>25</v>
      </c>
      <c r="G202" s="4" t="s">
        <v>25</v>
      </c>
      <c r="H202" s="4" t="s">
        <v>25</v>
      </c>
      <c r="I202" s="5">
        <v>44348</v>
      </c>
      <c r="J202" s="6">
        <v>0</v>
      </c>
      <c r="K202" s="6">
        <v>0</v>
      </c>
      <c r="L202" s="6">
        <v>4.6529999999999996</v>
      </c>
      <c r="M202" s="6">
        <v>4.6529999999999996</v>
      </c>
      <c r="N202" s="6">
        <v>4.6529999999999996</v>
      </c>
      <c r="O202" s="6">
        <v>4.6529999999999996</v>
      </c>
      <c r="P202" s="6">
        <v>38</v>
      </c>
      <c r="Q202" s="4" t="s">
        <v>26</v>
      </c>
      <c r="R202" s="4">
        <v>0</v>
      </c>
      <c r="S202" s="6">
        <v>0</v>
      </c>
      <c r="T202" s="6">
        <v>8</v>
      </c>
      <c r="U202" s="6">
        <v>23</v>
      </c>
      <c r="V202" s="6">
        <f>IF(ISERROR(VLOOKUP($S$202,'TAR FIN'!$A$1:$O$85,15,0)),0,VLOOKUP($S$202,'TAR FIN'!$A$1:$O$85,15,0))</f>
        <v>0</v>
      </c>
      <c r="W202" s="6">
        <f>IF(ISERROR(VLOOKUP($T$202,'TAR FIN'!$A$1:$O$85,15,0)),0,VLOOKUP($T$202,'TAR FIN'!$A$1:$O$85,15,0))</f>
        <v>867.38</v>
      </c>
      <c r="X202" s="6">
        <f>IF(ISERROR(VLOOKUP($U$202,'TAR FIN'!$A$1:$O$85,15,0)),0,VLOOKUP($U$202,'TAR FIN'!$A$1:$O$85,15,0))</f>
        <v>240.29</v>
      </c>
      <c r="Y202" s="6"/>
      <c r="Z202" s="6">
        <f ca="1">('TUSD BE'!$AM$20+'TUSD BF'!$AM$20+'TUSD CVA'!$AM$20)*1</f>
        <v>982.05733872165513</v>
      </c>
      <c r="AA202" s="6">
        <f>('TE BE'!$AA$11+'TE BF'!$AA$11+'TE CVA'!$AA$11)*1</f>
        <v>330.73086315618451</v>
      </c>
      <c r="AB202" s="6">
        <f>$K$202*$V$202</f>
        <v>0</v>
      </c>
      <c r="AC202" s="6">
        <f>$M$202*$W$202</f>
        <v>4035.9191399999995</v>
      </c>
      <c r="AD202" s="6">
        <f>$O$202*$X$202</f>
        <v>1118.0693699999999</v>
      </c>
      <c r="AE202" s="6">
        <f>$K$202*$Y$202</f>
        <v>0</v>
      </c>
      <c r="AF202" s="6">
        <f ca="1">$M$202*$Z$202</f>
        <v>4569.5127970718613</v>
      </c>
      <c r="AG202" s="6">
        <f>$O$202*$AA$202</f>
        <v>1538.8907062657263</v>
      </c>
    </row>
    <row r="203" spans="1:33" ht="11.25" customHeight="1" x14ac:dyDescent="0.3">
      <c r="A203" s="4" t="s">
        <v>21</v>
      </c>
      <c r="B203" s="4" t="s">
        <v>22</v>
      </c>
      <c r="C203" s="4" t="s">
        <v>23</v>
      </c>
      <c r="D203" s="4" t="s">
        <v>24</v>
      </c>
      <c r="E203" s="4" t="s">
        <v>24</v>
      </c>
      <c r="F203" s="4" t="s">
        <v>25</v>
      </c>
      <c r="G203" s="4" t="s">
        <v>25</v>
      </c>
      <c r="H203" s="4" t="s">
        <v>25</v>
      </c>
      <c r="I203" s="5">
        <v>44378</v>
      </c>
      <c r="J203" s="6">
        <v>0</v>
      </c>
      <c r="K203" s="6">
        <v>0</v>
      </c>
      <c r="L203" s="6">
        <v>680.02599999999995</v>
      </c>
      <c r="M203" s="6">
        <v>680.02599999999995</v>
      </c>
      <c r="N203" s="6">
        <v>680.02599999999995</v>
      </c>
      <c r="O203" s="6">
        <v>680.02599999999995</v>
      </c>
      <c r="P203" s="6">
        <v>6215</v>
      </c>
      <c r="Q203" s="4" t="s">
        <v>26</v>
      </c>
      <c r="R203" s="4">
        <v>0</v>
      </c>
      <c r="S203" s="6">
        <v>0</v>
      </c>
      <c r="T203" s="6">
        <v>8</v>
      </c>
      <c r="U203" s="6">
        <v>23</v>
      </c>
      <c r="V203" s="6">
        <f>IF(ISERROR(VLOOKUP($S$203,'TAR FIN'!$A$1:$O$85,15,0)),0,VLOOKUP($S$203,'TAR FIN'!$A$1:$O$85,15,0))</f>
        <v>0</v>
      </c>
      <c r="W203" s="6">
        <f>IF(ISERROR(VLOOKUP($T$203,'TAR FIN'!$A$1:$O$85,15,0)),0,VLOOKUP($T$203,'TAR FIN'!$A$1:$O$85,15,0))</f>
        <v>867.38</v>
      </c>
      <c r="X203" s="6">
        <f>IF(ISERROR(VLOOKUP($U$203,'TAR FIN'!$A$1:$O$85,15,0)),0,VLOOKUP($U$203,'TAR FIN'!$A$1:$O$85,15,0))</f>
        <v>240.29</v>
      </c>
      <c r="Y203" s="6"/>
      <c r="Z203" s="6">
        <f ca="1">('TUSD BE'!$AM$20+'TUSD BF'!$AM$20+'TUSD CVA'!$AM$20)*1</f>
        <v>982.05733872165513</v>
      </c>
      <c r="AA203" s="6">
        <f>('TE BE'!$AA$11+'TE BF'!$AA$11+'TE CVA'!$AA$11)*1</f>
        <v>330.73086315618451</v>
      </c>
      <c r="AB203" s="6">
        <f>$K$203*$V$203</f>
        <v>0</v>
      </c>
      <c r="AC203" s="6">
        <f>$M$203*$W$203</f>
        <v>589840.95187999995</v>
      </c>
      <c r="AD203" s="6">
        <f>$O$203*$X$203</f>
        <v>163403.44753999999</v>
      </c>
      <c r="AE203" s="6">
        <f>$K$203*$Y$203</f>
        <v>0</v>
      </c>
      <c r="AF203" s="6">
        <f ca="1">$M$203*$Z$203</f>
        <v>667824.52382153226</v>
      </c>
      <c r="AG203" s="6">
        <f>$O$203*$AA$203</f>
        <v>224905.58594864752</v>
      </c>
    </row>
    <row r="204" spans="1:33" ht="11.25" customHeight="1" x14ac:dyDescent="0.3">
      <c r="A204" s="4" t="s">
        <v>27</v>
      </c>
      <c r="B204" s="4" t="s">
        <v>22</v>
      </c>
      <c r="C204" s="4" t="s">
        <v>23</v>
      </c>
      <c r="D204" s="4" t="s">
        <v>24</v>
      </c>
      <c r="E204" s="4" t="s">
        <v>24</v>
      </c>
      <c r="F204" s="4" t="s">
        <v>25</v>
      </c>
      <c r="G204" s="4" t="s">
        <v>25</v>
      </c>
      <c r="H204" s="4" t="s">
        <v>25</v>
      </c>
      <c r="I204" s="5">
        <v>44378</v>
      </c>
      <c r="J204" s="6">
        <v>0</v>
      </c>
      <c r="K204" s="6">
        <v>0</v>
      </c>
      <c r="L204" s="6">
        <v>-2.109</v>
      </c>
      <c r="M204" s="6">
        <v>-2.109</v>
      </c>
      <c r="N204" s="6">
        <v>-2.109</v>
      </c>
      <c r="O204" s="6">
        <v>-2.109</v>
      </c>
      <c r="P204" s="6">
        <v>0</v>
      </c>
      <c r="Q204" s="4" t="s">
        <v>26</v>
      </c>
      <c r="R204" s="4">
        <v>0</v>
      </c>
      <c r="S204" s="6">
        <v>0</v>
      </c>
      <c r="T204" s="6">
        <v>8</v>
      </c>
      <c r="U204" s="6">
        <v>23</v>
      </c>
      <c r="V204" s="6">
        <f>IF(ISERROR(VLOOKUP($S$204,'TAR FIN'!$A$1:$O$85,15,0)),0,VLOOKUP($S$204,'TAR FIN'!$A$1:$O$85,15,0))</f>
        <v>0</v>
      </c>
      <c r="W204" s="6">
        <f>IF(ISERROR(VLOOKUP($T$204,'TAR FIN'!$A$1:$O$85,15,0)),0,VLOOKUP($T$204,'TAR FIN'!$A$1:$O$85,15,0))</f>
        <v>867.38</v>
      </c>
      <c r="X204" s="6">
        <f>IF(ISERROR(VLOOKUP($U$204,'TAR FIN'!$A$1:$O$85,15,0)),0,VLOOKUP($U$204,'TAR FIN'!$A$1:$O$85,15,0))</f>
        <v>240.29</v>
      </c>
      <c r="Y204" s="6"/>
      <c r="Z204" s="6">
        <f ca="1">('TUSD BE'!$AM$20+'TUSD BF'!$AM$20+'TUSD CVA'!$AM$20)*1</f>
        <v>982.05733872165513</v>
      </c>
      <c r="AA204" s="6">
        <f>('TE BE'!$AA$11+'TE BF'!$AA$11+'TE CVA'!$AA$11)*1</f>
        <v>330.73086315618451</v>
      </c>
      <c r="AB204" s="6">
        <f>$K$204*$V$204</f>
        <v>0</v>
      </c>
      <c r="AC204" s="6">
        <f>$M$204*$W$204</f>
        <v>-1829.3044199999999</v>
      </c>
      <c r="AD204" s="6">
        <f>$O$204*$X$204</f>
        <v>-506.77160999999995</v>
      </c>
      <c r="AE204" s="6">
        <f>$K$204*$Y$204</f>
        <v>0</v>
      </c>
      <c r="AF204" s="6">
        <f ca="1">$M$204*$Z$204</f>
        <v>-2071.1589273639706</v>
      </c>
      <c r="AG204" s="6">
        <f>$O$204*$AA$204</f>
        <v>-697.51139039639315</v>
      </c>
    </row>
    <row r="205" spans="1:33" ht="11.25" customHeight="1" x14ac:dyDescent="0.3">
      <c r="A205" s="4" t="s">
        <v>28</v>
      </c>
      <c r="B205" s="4" t="s">
        <v>22</v>
      </c>
      <c r="C205" s="4" t="s">
        <v>23</v>
      </c>
      <c r="D205" s="4" t="s">
        <v>24</v>
      </c>
      <c r="E205" s="4" t="s">
        <v>24</v>
      </c>
      <c r="F205" s="4" t="s">
        <v>25</v>
      </c>
      <c r="G205" s="4" t="s">
        <v>25</v>
      </c>
      <c r="H205" s="4" t="s">
        <v>25</v>
      </c>
      <c r="I205" s="5">
        <v>44378</v>
      </c>
      <c r="J205" s="6">
        <v>0</v>
      </c>
      <c r="K205" s="6">
        <v>0</v>
      </c>
      <c r="L205" s="6">
        <v>4.1900000000000004</v>
      </c>
      <c r="M205" s="6">
        <v>4.1900000000000004</v>
      </c>
      <c r="N205" s="6">
        <v>4.1900000000000004</v>
      </c>
      <c r="O205" s="6">
        <v>4.1900000000000004</v>
      </c>
      <c r="P205" s="6">
        <v>40</v>
      </c>
      <c r="Q205" s="4" t="s">
        <v>26</v>
      </c>
      <c r="R205" s="4">
        <v>0</v>
      </c>
      <c r="S205" s="6">
        <v>0</v>
      </c>
      <c r="T205" s="6">
        <v>8</v>
      </c>
      <c r="U205" s="6">
        <v>23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867.38</v>
      </c>
      <c r="X205" s="6">
        <f>IF(ISERROR(VLOOKUP($U$205,'TAR FIN'!$A$1:$O$85,15,0)),0,VLOOKUP($U$205,'TAR FIN'!$A$1:$O$85,15,0))</f>
        <v>240.29</v>
      </c>
      <c r="Y205" s="6"/>
      <c r="Z205" s="6">
        <f ca="1">('TUSD BE'!$AM$20+'TUSD BF'!$AM$20+'TUSD CVA'!$AM$20)*1</f>
        <v>982.05733872165513</v>
      </c>
      <c r="AA205" s="6">
        <f>('TE BE'!$AA$11+'TE BF'!$AA$11+'TE CVA'!$AA$11)*1</f>
        <v>330.73086315618451</v>
      </c>
      <c r="AB205" s="6">
        <f>$K$205*$V$205</f>
        <v>0</v>
      </c>
      <c r="AC205" s="6">
        <f>$M$205*$W$205</f>
        <v>3634.3222000000005</v>
      </c>
      <c r="AD205" s="6">
        <f>$O$205*$X$205</f>
        <v>1006.8151</v>
      </c>
      <c r="AE205" s="6">
        <f>$K$205*$Y$205</f>
        <v>0</v>
      </c>
      <c r="AF205" s="6">
        <f ca="1">$M$205*$Z$205</f>
        <v>4114.8202492437358</v>
      </c>
      <c r="AG205" s="6">
        <f>$O$205*$AA$205</f>
        <v>1385.7623166244132</v>
      </c>
    </row>
    <row r="206" spans="1:33" ht="11.25" customHeight="1" x14ac:dyDescent="0.3">
      <c r="A206" s="4" t="s">
        <v>21</v>
      </c>
      <c r="B206" s="4" t="s">
        <v>22</v>
      </c>
      <c r="C206" s="4" t="s">
        <v>23</v>
      </c>
      <c r="D206" s="4" t="s">
        <v>24</v>
      </c>
      <c r="E206" s="4" t="s">
        <v>24</v>
      </c>
      <c r="F206" s="4" t="s">
        <v>25</v>
      </c>
      <c r="G206" s="4" t="s">
        <v>25</v>
      </c>
      <c r="H206" s="4" t="s">
        <v>25</v>
      </c>
      <c r="I206" s="5">
        <v>44409</v>
      </c>
      <c r="J206" s="6">
        <v>0</v>
      </c>
      <c r="K206" s="6">
        <v>0</v>
      </c>
      <c r="L206" s="6">
        <v>722.93700000000001</v>
      </c>
      <c r="M206" s="6">
        <v>722.93700000000001</v>
      </c>
      <c r="N206" s="6">
        <v>722.93700000000001</v>
      </c>
      <c r="O206" s="6">
        <v>722.93700000000001</v>
      </c>
      <c r="P206" s="6">
        <v>6232</v>
      </c>
      <c r="Q206" s="4" t="s">
        <v>26</v>
      </c>
      <c r="R206" s="4">
        <v>0</v>
      </c>
      <c r="S206" s="6">
        <v>0</v>
      </c>
      <c r="T206" s="6">
        <v>8</v>
      </c>
      <c r="U206" s="6">
        <v>23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867.38</v>
      </c>
      <c r="X206" s="6">
        <f>IF(ISERROR(VLOOKUP($U$206,'TAR FIN'!$A$1:$O$85,15,0)),0,VLOOKUP($U$206,'TAR FIN'!$A$1:$O$85,15,0))</f>
        <v>240.29</v>
      </c>
      <c r="Y206" s="6"/>
      <c r="Z206" s="6">
        <f ca="1">('TUSD BE'!$AM$20+'TUSD BF'!$AM$20+'TUSD CVA'!$AM$20)*1</f>
        <v>982.05733872165513</v>
      </c>
      <c r="AA206" s="6">
        <f>('TE BE'!$AA$11+'TE BF'!$AA$11+'TE CVA'!$AA$11)*1</f>
        <v>330.73086315618451</v>
      </c>
      <c r="AB206" s="6">
        <f>$K$206*$V$206</f>
        <v>0</v>
      </c>
      <c r="AC206" s="6">
        <f>$M$206*$W$206</f>
        <v>627061.09505999996</v>
      </c>
      <c r="AD206" s="6">
        <f>$O$206*$X$206</f>
        <v>173714.53172999999</v>
      </c>
      <c r="AE206" s="6">
        <f>$K$206*$Y$206</f>
        <v>0</v>
      </c>
      <c r="AF206" s="6">
        <f ca="1">$M$206*$Z$206</f>
        <v>709965.58628341719</v>
      </c>
      <c r="AG206" s="6">
        <f>$O$206*$AA$206</f>
        <v>239097.57801754258</v>
      </c>
    </row>
    <row r="207" spans="1:33" ht="11.25" customHeight="1" x14ac:dyDescent="0.3">
      <c r="A207" s="4" t="s">
        <v>27</v>
      </c>
      <c r="B207" s="4" t="s">
        <v>22</v>
      </c>
      <c r="C207" s="4" t="s">
        <v>23</v>
      </c>
      <c r="D207" s="4" t="s">
        <v>24</v>
      </c>
      <c r="E207" s="4" t="s">
        <v>24</v>
      </c>
      <c r="F207" s="4" t="s">
        <v>25</v>
      </c>
      <c r="G207" s="4" t="s">
        <v>25</v>
      </c>
      <c r="H207" s="4" t="s">
        <v>25</v>
      </c>
      <c r="I207" s="5">
        <v>44409</v>
      </c>
      <c r="J207" s="6">
        <v>0</v>
      </c>
      <c r="K207" s="6">
        <v>0</v>
      </c>
      <c r="L207" s="6">
        <v>-0.443</v>
      </c>
      <c r="M207" s="6">
        <v>-0.443</v>
      </c>
      <c r="N207" s="6">
        <v>-0.443</v>
      </c>
      <c r="O207" s="6">
        <v>-0.443</v>
      </c>
      <c r="P207" s="6">
        <v>0</v>
      </c>
      <c r="Q207" s="4" t="s">
        <v>26</v>
      </c>
      <c r="R207" s="4">
        <v>0</v>
      </c>
      <c r="S207" s="6">
        <v>0</v>
      </c>
      <c r="T207" s="6">
        <v>8</v>
      </c>
      <c r="U207" s="6">
        <v>23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867.38</v>
      </c>
      <c r="X207" s="6">
        <f>IF(ISERROR(VLOOKUP($U$207,'TAR FIN'!$A$1:$O$85,15,0)),0,VLOOKUP($U$207,'TAR FIN'!$A$1:$O$85,15,0))</f>
        <v>240.29</v>
      </c>
      <c r="Y207" s="6"/>
      <c r="Z207" s="6">
        <f ca="1">('TUSD BE'!$AM$20+'TUSD BF'!$AM$20+'TUSD CVA'!$AM$20)*1</f>
        <v>982.05733872165513</v>
      </c>
      <c r="AA207" s="6">
        <f>('TE BE'!$AA$11+'TE BF'!$AA$11+'TE CVA'!$AA$11)*1</f>
        <v>330.73086315618451</v>
      </c>
      <c r="AB207" s="6">
        <f>$K$207*$V$207</f>
        <v>0</v>
      </c>
      <c r="AC207" s="6">
        <f>$M$207*$W$207</f>
        <v>-384.24934000000002</v>
      </c>
      <c r="AD207" s="6">
        <f>$O$207*$X$207</f>
        <v>-106.44847</v>
      </c>
      <c r="AE207" s="6">
        <f>$K$207*$Y$207</f>
        <v>0</v>
      </c>
      <c r="AF207" s="6">
        <f ca="1">$M$207*$Z$207</f>
        <v>-435.05140105369321</v>
      </c>
      <c r="AG207" s="6">
        <f>$O$207*$AA$207</f>
        <v>-146.51377237818974</v>
      </c>
    </row>
    <row r="208" spans="1:33" ht="11.25" customHeight="1" x14ac:dyDescent="0.3">
      <c r="A208" s="4" t="s">
        <v>28</v>
      </c>
      <c r="B208" s="4" t="s">
        <v>22</v>
      </c>
      <c r="C208" s="4" t="s">
        <v>23</v>
      </c>
      <c r="D208" s="4" t="s">
        <v>24</v>
      </c>
      <c r="E208" s="4" t="s">
        <v>24</v>
      </c>
      <c r="F208" s="4" t="s">
        <v>25</v>
      </c>
      <c r="G208" s="4" t="s">
        <v>25</v>
      </c>
      <c r="H208" s="4" t="s">
        <v>25</v>
      </c>
      <c r="I208" s="5">
        <v>44409</v>
      </c>
      <c r="J208" s="6">
        <v>0</v>
      </c>
      <c r="K208" s="6">
        <v>0</v>
      </c>
      <c r="L208" s="6">
        <v>4.3440000000000003</v>
      </c>
      <c r="M208" s="6">
        <v>4.3440000000000003</v>
      </c>
      <c r="N208" s="6">
        <v>4.3440000000000003</v>
      </c>
      <c r="O208" s="6">
        <v>4.3440000000000003</v>
      </c>
      <c r="P208" s="6">
        <v>44</v>
      </c>
      <c r="Q208" s="4" t="s">
        <v>26</v>
      </c>
      <c r="R208" s="4">
        <v>0</v>
      </c>
      <c r="S208" s="6">
        <v>0</v>
      </c>
      <c r="T208" s="6">
        <v>8</v>
      </c>
      <c r="U208" s="6">
        <v>23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867.38</v>
      </c>
      <c r="X208" s="6">
        <f>IF(ISERROR(VLOOKUP($U$208,'TAR FIN'!$A$1:$O$85,15,0)),0,VLOOKUP($U$208,'TAR FIN'!$A$1:$O$85,15,0))</f>
        <v>240.29</v>
      </c>
      <c r="Y208" s="6"/>
      <c r="Z208" s="6">
        <f ca="1">('TUSD BE'!$AM$20+'TUSD BF'!$AM$20+'TUSD CVA'!$AM$20)*1</f>
        <v>982.05733872165513</v>
      </c>
      <c r="AA208" s="6">
        <f>('TE BE'!$AA$11+'TE BF'!$AA$11+'TE CVA'!$AA$11)*1</f>
        <v>330.73086315618451</v>
      </c>
      <c r="AB208" s="6">
        <f>$K$208*$V$208</f>
        <v>0</v>
      </c>
      <c r="AC208" s="6">
        <f>$M$208*$W$208</f>
        <v>3767.8987200000001</v>
      </c>
      <c r="AD208" s="6">
        <f>$O$208*$X$208</f>
        <v>1043.8197600000001</v>
      </c>
      <c r="AE208" s="6">
        <f>$K$208*$Y$208</f>
        <v>0</v>
      </c>
      <c r="AF208" s="6">
        <f ca="1">$M$208*$Z$208</f>
        <v>4266.0570794068699</v>
      </c>
      <c r="AG208" s="6">
        <f>$O$208*$AA$208</f>
        <v>1436.6948695504657</v>
      </c>
    </row>
    <row r="209" spans="1:33" ht="11.25" customHeight="1" x14ac:dyDescent="0.3">
      <c r="A209" s="4" t="s">
        <v>21</v>
      </c>
      <c r="B209" s="4" t="s">
        <v>22</v>
      </c>
      <c r="C209" s="4" t="s">
        <v>23</v>
      </c>
      <c r="D209" s="4" t="s">
        <v>24</v>
      </c>
      <c r="E209" s="4" t="s">
        <v>24</v>
      </c>
      <c r="F209" s="4" t="s">
        <v>25</v>
      </c>
      <c r="G209" s="4" t="s">
        <v>25</v>
      </c>
      <c r="H209" s="4" t="s">
        <v>25</v>
      </c>
      <c r="I209" s="5">
        <v>44440</v>
      </c>
      <c r="J209" s="6">
        <v>0</v>
      </c>
      <c r="K209" s="6">
        <v>0</v>
      </c>
      <c r="L209" s="6">
        <v>748.72400000000005</v>
      </c>
      <c r="M209" s="6">
        <v>748.72400000000005</v>
      </c>
      <c r="N209" s="6">
        <v>748.72400000000005</v>
      </c>
      <c r="O209" s="6">
        <v>748.72400000000005</v>
      </c>
      <c r="P209" s="6">
        <v>6235</v>
      </c>
      <c r="Q209" s="4" t="s">
        <v>26</v>
      </c>
      <c r="R209" s="4">
        <v>0</v>
      </c>
      <c r="S209" s="6">
        <v>0</v>
      </c>
      <c r="T209" s="6">
        <v>8</v>
      </c>
      <c r="U209" s="6">
        <v>23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867.38</v>
      </c>
      <c r="X209" s="6">
        <f>IF(ISERROR(VLOOKUP($U$209,'TAR FIN'!$A$1:$O$85,15,0)),0,VLOOKUP($U$209,'TAR FIN'!$A$1:$O$85,15,0))</f>
        <v>240.29</v>
      </c>
      <c r="Y209" s="6"/>
      <c r="Z209" s="6">
        <f ca="1">('TUSD BE'!$AM$20+'TUSD BF'!$AM$20+'TUSD CVA'!$AM$20)*1</f>
        <v>982.05733872165513</v>
      </c>
      <c r="AA209" s="6">
        <f>('TE BE'!$AA$11+'TE BF'!$AA$11+'TE CVA'!$AA$11)*1</f>
        <v>330.73086315618451</v>
      </c>
      <c r="AB209" s="6">
        <f>$K$209*$V$209</f>
        <v>0</v>
      </c>
      <c r="AC209" s="6">
        <f>$M$209*$W$209</f>
        <v>649428.22311999998</v>
      </c>
      <c r="AD209" s="6">
        <f>$O$209*$X$209</f>
        <v>179910.88996</v>
      </c>
      <c r="AE209" s="6">
        <f>$K$209*$Y$209</f>
        <v>0</v>
      </c>
      <c r="AF209" s="6">
        <f ca="1">$M$209*$Z$209</f>
        <v>735289.89887703257</v>
      </c>
      <c r="AG209" s="6">
        <f>$O$209*$AA$209</f>
        <v>247626.13478575111</v>
      </c>
    </row>
    <row r="210" spans="1:33" ht="11.25" customHeight="1" x14ac:dyDescent="0.3">
      <c r="A210" s="4" t="s">
        <v>27</v>
      </c>
      <c r="B210" s="4" t="s">
        <v>22</v>
      </c>
      <c r="C210" s="4" t="s">
        <v>23</v>
      </c>
      <c r="D210" s="4" t="s">
        <v>24</v>
      </c>
      <c r="E210" s="4" t="s">
        <v>24</v>
      </c>
      <c r="F210" s="4" t="s">
        <v>25</v>
      </c>
      <c r="G210" s="4" t="s">
        <v>25</v>
      </c>
      <c r="H210" s="4" t="s">
        <v>25</v>
      </c>
      <c r="I210" s="5">
        <v>44440</v>
      </c>
      <c r="J210" s="6">
        <v>0</v>
      </c>
      <c r="K210" s="6">
        <v>0</v>
      </c>
      <c r="L210" s="6">
        <v>-1.8620000000000001</v>
      </c>
      <c r="M210" s="6">
        <v>-1.8620000000000001</v>
      </c>
      <c r="N210" s="6">
        <v>-1.8620000000000001</v>
      </c>
      <c r="O210" s="6">
        <v>-1.8620000000000001</v>
      </c>
      <c r="P210" s="6">
        <v>0</v>
      </c>
      <c r="Q210" s="4" t="s">
        <v>26</v>
      </c>
      <c r="R210" s="4">
        <v>0</v>
      </c>
      <c r="S210" s="6">
        <v>0</v>
      </c>
      <c r="T210" s="6">
        <v>8</v>
      </c>
      <c r="U210" s="6">
        <v>23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867.38</v>
      </c>
      <c r="X210" s="6">
        <f>IF(ISERROR(VLOOKUP($U$210,'TAR FIN'!$A$1:$O$85,15,0)),0,VLOOKUP($U$210,'TAR FIN'!$A$1:$O$85,15,0))</f>
        <v>240.29</v>
      </c>
      <c r="Y210" s="6"/>
      <c r="Z210" s="6">
        <f ca="1">('TUSD BE'!$AM$20+'TUSD BF'!$AM$20+'TUSD CVA'!$AM$20)*1</f>
        <v>982.05733872165513</v>
      </c>
      <c r="AA210" s="6">
        <f>('TE BE'!$AA$11+'TE BF'!$AA$11+'TE CVA'!$AA$11)*1</f>
        <v>330.73086315618451</v>
      </c>
      <c r="AB210" s="6">
        <f>$K$210*$V$210</f>
        <v>0</v>
      </c>
      <c r="AC210" s="6">
        <f>$M$210*$W$210</f>
        <v>-1615.0615600000001</v>
      </c>
      <c r="AD210" s="6">
        <f>$O$210*$X$210</f>
        <v>-447.41998000000001</v>
      </c>
      <c r="AE210" s="6">
        <f>$K$210*$Y$210</f>
        <v>0</v>
      </c>
      <c r="AF210" s="6">
        <f ca="1">$M$210*$Z$210</f>
        <v>-1828.5907646997221</v>
      </c>
      <c r="AG210" s="6">
        <f>$O$210*$AA$210</f>
        <v>-615.82086719681558</v>
      </c>
    </row>
    <row r="211" spans="1:33" ht="11.25" customHeight="1" x14ac:dyDescent="0.3">
      <c r="A211" s="4" t="s">
        <v>28</v>
      </c>
      <c r="B211" s="4" t="s">
        <v>22</v>
      </c>
      <c r="C211" s="4" t="s">
        <v>23</v>
      </c>
      <c r="D211" s="4" t="s">
        <v>24</v>
      </c>
      <c r="E211" s="4" t="s">
        <v>24</v>
      </c>
      <c r="F211" s="4" t="s">
        <v>25</v>
      </c>
      <c r="G211" s="4" t="s">
        <v>25</v>
      </c>
      <c r="H211" s="4" t="s">
        <v>25</v>
      </c>
      <c r="I211" s="5">
        <v>44440</v>
      </c>
      <c r="J211" s="6">
        <v>0</v>
      </c>
      <c r="K211" s="6">
        <v>0</v>
      </c>
      <c r="L211" s="6">
        <v>4.1399999999999997</v>
      </c>
      <c r="M211" s="6">
        <v>4.1399999999999997</v>
      </c>
      <c r="N211" s="6">
        <v>4.1399999999999997</v>
      </c>
      <c r="O211" s="6">
        <v>4.1399999999999997</v>
      </c>
      <c r="P211" s="6">
        <v>48</v>
      </c>
      <c r="Q211" s="4" t="s">
        <v>26</v>
      </c>
      <c r="R211" s="4">
        <v>0</v>
      </c>
      <c r="S211" s="6">
        <v>0</v>
      </c>
      <c r="T211" s="6">
        <v>8</v>
      </c>
      <c r="U211" s="6">
        <v>23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867.38</v>
      </c>
      <c r="X211" s="6">
        <f>IF(ISERROR(VLOOKUP($U$211,'TAR FIN'!$A$1:$O$85,15,0)),0,VLOOKUP($U$211,'TAR FIN'!$A$1:$O$85,15,0))</f>
        <v>240.29</v>
      </c>
      <c r="Y211" s="6"/>
      <c r="Z211" s="6">
        <f ca="1">('TUSD BE'!$AM$20+'TUSD BF'!$AM$20+'TUSD CVA'!$AM$20)*1</f>
        <v>982.05733872165513</v>
      </c>
      <c r="AA211" s="6">
        <f>('TE BE'!$AA$11+'TE BF'!$AA$11+'TE CVA'!$AA$11)*1</f>
        <v>330.73086315618451</v>
      </c>
      <c r="AB211" s="6">
        <f>$K$211*$V$211</f>
        <v>0</v>
      </c>
      <c r="AC211" s="6">
        <f>$M$211*$W$211</f>
        <v>3590.9531999999999</v>
      </c>
      <c r="AD211" s="6">
        <f>$O$211*$X$211</f>
        <v>994.80059999999992</v>
      </c>
      <c r="AE211" s="6">
        <f>$K$211*$Y$211</f>
        <v>0</v>
      </c>
      <c r="AF211" s="6">
        <f ca="1">$M$211*$Z$211</f>
        <v>4065.7173823076519</v>
      </c>
      <c r="AG211" s="6">
        <f>$O$211*$AA$211</f>
        <v>1369.2257734666039</v>
      </c>
    </row>
    <row r="212" spans="1:33" ht="11.25" customHeight="1" x14ac:dyDescent="0.3">
      <c r="A212" s="4" t="s">
        <v>21</v>
      </c>
      <c r="B212" s="4" t="s">
        <v>22</v>
      </c>
      <c r="C212" s="4" t="s">
        <v>23</v>
      </c>
      <c r="D212" s="4" t="s">
        <v>24</v>
      </c>
      <c r="E212" s="4" t="s">
        <v>24</v>
      </c>
      <c r="F212" s="4" t="s">
        <v>25</v>
      </c>
      <c r="G212" s="4" t="s">
        <v>25</v>
      </c>
      <c r="H212" s="4" t="s">
        <v>25</v>
      </c>
      <c r="I212" s="5">
        <v>44470</v>
      </c>
      <c r="J212" s="6">
        <v>0</v>
      </c>
      <c r="K212" s="6">
        <v>0</v>
      </c>
      <c r="L212" s="6">
        <v>800.19600000000003</v>
      </c>
      <c r="M212" s="6">
        <v>800.19600000000003</v>
      </c>
      <c r="N212" s="6">
        <v>800.19600000000003</v>
      </c>
      <c r="O212" s="6">
        <v>800.19600000000003</v>
      </c>
      <c r="P212" s="6">
        <v>6267</v>
      </c>
      <c r="Q212" s="4" t="s">
        <v>26</v>
      </c>
      <c r="R212" s="4">
        <v>0</v>
      </c>
      <c r="S212" s="6">
        <v>0</v>
      </c>
      <c r="T212" s="6">
        <v>8</v>
      </c>
      <c r="U212" s="6">
        <v>23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867.38</v>
      </c>
      <c r="X212" s="6">
        <f>IF(ISERROR(VLOOKUP($U$212,'TAR FIN'!$A$1:$O$85,15,0)),0,VLOOKUP($U$212,'TAR FIN'!$A$1:$O$85,15,0))</f>
        <v>240.29</v>
      </c>
      <c r="Y212" s="6"/>
      <c r="Z212" s="6">
        <f ca="1">('TUSD BE'!$AM$20+'TUSD BF'!$AM$20+'TUSD CVA'!$AM$20)*1</f>
        <v>982.05733872165513</v>
      </c>
      <c r="AA212" s="6">
        <f>('TE BE'!$AA$11+'TE BF'!$AA$11+'TE CVA'!$AA$11)*1</f>
        <v>330.73086315618451</v>
      </c>
      <c r="AB212" s="6">
        <f>$K$212*$V$212</f>
        <v>0</v>
      </c>
      <c r="AC212" s="6">
        <f>$M$212*$W$212</f>
        <v>694074.00647999998</v>
      </c>
      <c r="AD212" s="6">
        <f>$O$212*$X$212</f>
        <v>192279.09684000001</v>
      </c>
      <c r="AE212" s="6">
        <f>$K$212*$Y$212</f>
        <v>0</v>
      </c>
      <c r="AF212" s="6">
        <f ca="1">$M$212*$Z$212</f>
        <v>785838.35421571357</v>
      </c>
      <c r="AG212" s="6">
        <f>$O$212*$AA$212</f>
        <v>264649.51377412624</v>
      </c>
    </row>
    <row r="213" spans="1:33" ht="11.25" customHeight="1" x14ac:dyDescent="0.3">
      <c r="A213" s="4" t="s">
        <v>27</v>
      </c>
      <c r="B213" s="4" t="s">
        <v>22</v>
      </c>
      <c r="C213" s="4" t="s">
        <v>23</v>
      </c>
      <c r="D213" s="4" t="s">
        <v>24</v>
      </c>
      <c r="E213" s="4" t="s">
        <v>24</v>
      </c>
      <c r="F213" s="4" t="s">
        <v>25</v>
      </c>
      <c r="G213" s="4" t="s">
        <v>25</v>
      </c>
      <c r="H213" s="4" t="s">
        <v>25</v>
      </c>
      <c r="I213" s="5">
        <v>44470</v>
      </c>
      <c r="J213" s="6">
        <v>0</v>
      </c>
      <c r="K213" s="6">
        <v>0</v>
      </c>
      <c r="L213" s="6">
        <v>-0.66800000000000004</v>
      </c>
      <c r="M213" s="6">
        <v>-0.66800000000000004</v>
      </c>
      <c r="N213" s="6">
        <v>-0.66800000000000004</v>
      </c>
      <c r="O213" s="6">
        <v>-0.66800000000000004</v>
      </c>
      <c r="P213" s="6">
        <v>0</v>
      </c>
      <c r="Q213" s="4" t="s">
        <v>26</v>
      </c>
      <c r="R213" s="4">
        <v>0</v>
      </c>
      <c r="S213" s="6">
        <v>0</v>
      </c>
      <c r="T213" s="6">
        <v>8</v>
      </c>
      <c r="U213" s="6">
        <v>23</v>
      </c>
      <c r="V213" s="6">
        <f>IF(ISERROR(VLOOKUP($S$213,'TAR FIN'!$A$1:$O$85,15,0)),0,VLOOKUP($S$213,'TAR FIN'!$A$1:$O$85,15,0))</f>
        <v>0</v>
      </c>
      <c r="W213" s="6">
        <f>IF(ISERROR(VLOOKUP($T$213,'TAR FIN'!$A$1:$O$85,15,0)),0,VLOOKUP($T$213,'TAR FIN'!$A$1:$O$85,15,0))</f>
        <v>867.38</v>
      </c>
      <c r="X213" s="6">
        <f>IF(ISERROR(VLOOKUP($U$213,'TAR FIN'!$A$1:$O$85,15,0)),0,VLOOKUP($U$213,'TAR FIN'!$A$1:$O$85,15,0))</f>
        <v>240.29</v>
      </c>
      <c r="Y213" s="6"/>
      <c r="Z213" s="6">
        <f ca="1">('TUSD BE'!$AM$20+'TUSD BF'!$AM$20+'TUSD CVA'!$AM$20)*1</f>
        <v>982.05733872165513</v>
      </c>
      <c r="AA213" s="6">
        <f>('TE BE'!$AA$11+'TE BF'!$AA$11+'TE CVA'!$AA$11)*1</f>
        <v>330.73086315618451</v>
      </c>
      <c r="AB213" s="6">
        <f>$K$213*$V$213</f>
        <v>0</v>
      </c>
      <c r="AC213" s="6">
        <f>$M$213*$W$213</f>
        <v>-579.40984000000003</v>
      </c>
      <c r="AD213" s="6">
        <f>$O$213*$X$213</f>
        <v>-160.51372000000001</v>
      </c>
      <c r="AE213" s="6">
        <f>$K$213*$Y$213</f>
        <v>0</v>
      </c>
      <c r="AF213" s="6">
        <f ca="1">$M$213*$Z$213</f>
        <v>-656.01430226606567</v>
      </c>
      <c r="AG213" s="6">
        <f>$O$213*$AA$213</f>
        <v>-220.92821658833125</v>
      </c>
    </row>
    <row r="214" spans="1:33" ht="11.25" customHeight="1" x14ac:dyDescent="0.3">
      <c r="A214" s="4" t="s">
        <v>28</v>
      </c>
      <c r="B214" s="4" t="s">
        <v>22</v>
      </c>
      <c r="C214" s="4" t="s">
        <v>23</v>
      </c>
      <c r="D214" s="4" t="s">
        <v>24</v>
      </c>
      <c r="E214" s="4" t="s">
        <v>24</v>
      </c>
      <c r="F214" s="4" t="s">
        <v>25</v>
      </c>
      <c r="G214" s="4" t="s">
        <v>25</v>
      </c>
      <c r="H214" s="4" t="s">
        <v>25</v>
      </c>
      <c r="I214" s="5">
        <v>44470</v>
      </c>
      <c r="J214" s="6">
        <v>0</v>
      </c>
      <c r="K214" s="6">
        <v>0</v>
      </c>
      <c r="L214" s="6">
        <v>4.28</v>
      </c>
      <c r="M214" s="6">
        <v>4.28</v>
      </c>
      <c r="N214" s="6">
        <v>4.28</v>
      </c>
      <c r="O214" s="6">
        <v>4.28</v>
      </c>
      <c r="P214" s="6">
        <v>48</v>
      </c>
      <c r="Q214" s="4" t="s">
        <v>26</v>
      </c>
      <c r="R214" s="4">
        <v>0</v>
      </c>
      <c r="S214" s="6">
        <v>0</v>
      </c>
      <c r="T214" s="6">
        <v>8</v>
      </c>
      <c r="U214" s="6">
        <v>23</v>
      </c>
      <c r="V214" s="6">
        <f>IF(ISERROR(VLOOKUP($S$214,'TAR FIN'!$A$1:$O$85,15,0)),0,VLOOKUP($S$214,'TAR FIN'!$A$1:$O$85,15,0))</f>
        <v>0</v>
      </c>
      <c r="W214" s="6">
        <f>IF(ISERROR(VLOOKUP($T$214,'TAR FIN'!$A$1:$O$85,15,0)),0,VLOOKUP($T$214,'TAR FIN'!$A$1:$O$85,15,0))</f>
        <v>867.38</v>
      </c>
      <c r="X214" s="6">
        <f>IF(ISERROR(VLOOKUP($U$214,'TAR FIN'!$A$1:$O$85,15,0)),0,VLOOKUP($U$214,'TAR FIN'!$A$1:$O$85,15,0))</f>
        <v>240.29</v>
      </c>
      <c r="Y214" s="6"/>
      <c r="Z214" s="6">
        <f ca="1">('TUSD BE'!$AM$20+'TUSD BF'!$AM$20+'TUSD CVA'!$AM$20)*1</f>
        <v>982.05733872165513</v>
      </c>
      <c r="AA214" s="6">
        <f>('TE BE'!$AA$11+'TE BF'!$AA$11+'TE CVA'!$AA$11)*1</f>
        <v>330.73086315618451</v>
      </c>
      <c r="AB214" s="6">
        <f>$K$214*$V$214</f>
        <v>0</v>
      </c>
      <c r="AC214" s="6">
        <f>$M$214*$W$214</f>
        <v>3712.3864000000003</v>
      </c>
      <c r="AD214" s="6">
        <f>$O$214*$X$214</f>
        <v>1028.4412</v>
      </c>
      <c r="AE214" s="6">
        <f>$K$214*$Y$214</f>
        <v>0</v>
      </c>
      <c r="AF214" s="6">
        <f ca="1">$M$214*$Z$214</f>
        <v>4203.2054097286846</v>
      </c>
      <c r="AG214" s="6">
        <f>$O$214*$AA$214</f>
        <v>1415.5280943084697</v>
      </c>
    </row>
    <row r="215" spans="1:33" ht="11.25" customHeight="1" x14ac:dyDescent="0.3">
      <c r="A215" s="4" t="s">
        <v>21</v>
      </c>
      <c r="B215" s="4" t="s">
        <v>22</v>
      </c>
      <c r="C215" s="4" t="s">
        <v>23</v>
      </c>
      <c r="D215" s="4" t="s">
        <v>24</v>
      </c>
      <c r="E215" s="4" t="s">
        <v>24</v>
      </c>
      <c r="F215" s="4" t="s">
        <v>25</v>
      </c>
      <c r="G215" s="4" t="s">
        <v>25</v>
      </c>
      <c r="H215" s="4" t="s">
        <v>25</v>
      </c>
      <c r="I215" s="5">
        <v>44501</v>
      </c>
      <c r="J215" s="6">
        <v>0</v>
      </c>
      <c r="K215" s="6">
        <v>0</v>
      </c>
      <c r="L215" s="6">
        <v>748.33</v>
      </c>
      <c r="M215" s="6">
        <v>748.33</v>
      </c>
      <c r="N215" s="6">
        <v>748.33</v>
      </c>
      <c r="O215" s="6">
        <v>748.33</v>
      </c>
      <c r="P215" s="6">
        <v>6289</v>
      </c>
      <c r="Q215" s="4" t="s">
        <v>26</v>
      </c>
      <c r="R215" s="4">
        <v>0</v>
      </c>
      <c r="S215" s="6">
        <v>0</v>
      </c>
      <c r="T215" s="6">
        <v>8</v>
      </c>
      <c r="U215" s="6">
        <v>23</v>
      </c>
      <c r="V215" s="6">
        <f>IF(ISERROR(VLOOKUP($S$215,'TAR FIN'!$A$1:$O$85,15,0)),0,VLOOKUP($S$215,'TAR FIN'!$A$1:$O$85,15,0))</f>
        <v>0</v>
      </c>
      <c r="W215" s="6">
        <f>IF(ISERROR(VLOOKUP($T$215,'TAR FIN'!$A$1:$O$85,15,0)),0,VLOOKUP($T$215,'TAR FIN'!$A$1:$O$85,15,0))</f>
        <v>867.38</v>
      </c>
      <c r="X215" s="6">
        <f>IF(ISERROR(VLOOKUP($U$215,'TAR FIN'!$A$1:$O$85,15,0)),0,VLOOKUP($U$215,'TAR FIN'!$A$1:$O$85,15,0))</f>
        <v>240.29</v>
      </c>
      <c r="Y215" s="6"/>
      <c r="Z215" s="6">
        <f ca="1">('TUSD BE'!$AM$20+'TUSD BF'!$AM$20+'TUSD CVA'!$AM$20)*1</f>
        <v>982.05733872165513</v>
      </c>
      <c r="AA215" s="6">
        <f>('TE BE'!$AA$11+'TE BF'!$AA$11+'TE CVA'!$AA$11)*1</f>
        <v>330.73086315618451</v>
      </c>
      <c r="AB215" s="6">
        <f>$K$215*$V$215</f>
        <v>0</v>
      </c>
      <c r="AC215" s="6">
        <f>$M$215*$W$215</f>
        <v>649086.4754</v>
      </c>
      <c r="AD215" s="6">
        <f>$O$215*$X$215</f>
        <v>179816.2157</v>
      </c>
      <c r="AE215" s="6">
        <f>$K$215*$Y$215</f>
        <v>0</v>
      </c>
      <c r="AF215" s="6">
        <f ca="1">$M$215*$Z$215</f>
        <v>734902.96828557621</v>
      </c>
      <c r="AG215" s="6">
        <f>$O$215*$AA$215</f>
        <v>247495.82682566758</v>
      </c>
    </row>
    <row r="216" spans="1:33" ht="11.25" customHeight="1" x14ac:dyDescent="0.3">
      <c r="A216" s="4" t="s">
        <v>27</v>
      </c>
      <c r="B216" s="4" t="s">
        <v>22</v>
      </c>
      <c r="C216" s="4" t="s">
        <v>23</v>
      </c>
      <c r="D216" s="4" t="s">
        <v>24</v>
      </c>
      <c r="E216" s="4" t="s">
        <v>24</v>
      </c>
      <c r="F216" s="4" t="s">
        <v>25</v>
      </c>
      <c r="G216" s="4" t="s">
        <v>25</v>
      </c>
      <c r="H216" s="4" t="s">
        <v>25</v>
      </c>
      <c r="I216" s="5">
        <v>44501</v>
      </c>
      <c r="J216" s="6">
        <v>0</v>
      </c>
      <c r="K216" s="6">
        <v>0</v>
      </c>
      <c r="L216" s="6">
        <v>-0.90300000000000002</v>
      </c>
      <c r="M216" s="6">
        <v>-0.90300000000000002</v>
      </c>
      <c r="N216" s="6">
        <v>-0.90300000000000002</v>
      </c>
      <c r="O216" s="6">
        <v>-0.90300000000000002</v>
      </c>
      <c r="P216" s="6">
        <v>0</v>
      </c>
      <c r="Q216" s="4" t="s">
        <v>26</v>
      </c>
      <c r="R216" s="4">
        <v>0</v>
      </c>
      <c r="S216" s="6">
        <v>0</v>
      </c>
      <c r="T216" s="6">
        <v>8</v>
      </c>
      <c r="U216" s="6">
        <v>23</v>
      </c>
      <c r="V216" s="6">
        <f>IF(ISERROR(VLOOKUP($S$216,'TAR FIN'!$A$1:$O$85,15,0)),0,VLOOKUP($S$216,'TAR FIN'!$A$1:$O$85,15,0))</f>
        <v>0</v>
      </c>
      <c r="W216" s="6">
        <f>IF(ISERROR(VLOOKUP($T$216,'TAR FIN'!$A$1:$O$85,15,0)),0,VLOOKUP($T$216,'TAR FIN'!$A$1:$O$85,15,0))</f>
        <v>867.38</v>
      </c>
      <c r="X216" s="6">
        <f>IF(ISERROR(VLOOKUP($U$216,'TAR FIN'!$A$1:$O$85,15,0)),0,VLOOKUP($U$216,'TAR FIN'!$A$1:$O$85,15,0))</f>
        <v>240.29</v>
      </c>
      <c r="Y216" s="6"/>
      <c r="Z216" s="6">
        <f ca="1">('TUSD BE'!$AM$20+'TUSD BF'!$AM$20+'TUSD CVA'!$AM$20)*1</f>
        <v>982.05733872165513</v>
      </c>
      <c r="AA216" s="6">
        <f>('TE BE'!$AA$11+'TE BF'!$AA$11+'TE CVA'!$AA$11)*1</f>
        <v>330.73086315618451</v>
      </c>
      <c r="AB216" s="6">
        <f>$K$216*$V$216</f>
        <v>0</v>
      </c>
      <c r="AC216" s="6">
        <f>$M$216*$W$216</f>
        <v>-783.24414000000002</v>
      </c>
      <c r="AD216" s="6">
        <f>$O$216*$X$216</f>
        <v>-216.98186999999999</v>
      </c>
      <c r="AE216" s="6">
        <f>$K$216*$Y$216</f>
        <v>0</v>
      </c>
      <c r="AF216" s="6">
        <f ca="1">$M$216*$Z$216</f>
        <v>-886.79777686565455</v>
      </c>
      <c r="AG216" s="6">
        <f>$O$216*$AA$216</f>
        <v>-298.64996943003462</v>
      </c>
    </row>
    <row r="217" spans="1:33" ht="11.25" customHeight="1" x14ac:dyDescent="0.3">
      <c r="A217" s="4" t="s">
        <v>28</v>
      </c>
      <c r="B217" s="4" t="s">
        <v>22</v>
      </c>
      <c r="C217" s="4" t="s">
        <v>23</v>
      </c>
      <c r="D217" s="4" t="s">
        <v>24</v>
      </c>
      <c r="E217" s="4" t="s">
        <v>24</v>
      </c>
      <c r="F217" s="4" t="s">
        <v>25</v>
      </c>
      <c r="G217" s="4" t="s">
        <v>25</v>
      </c>
      <c r="H217" s="4" t="s">
        <v>25</v>
      </c>
      <c r="I217" s="5">
        <v>44501</v>
      </c>
      <c r="J217" s="6">
        <v>0</v>
      </c>
      <c r="K217" s="6">
        <v>0</v>
      </c>
      <c r="L217" s="6">
        <v>5.0919999999999996</v>
      </c>
      <c r="M217" s="6">
        <v>5.0919999999999996</v>
      </c>
      <c r="N217" s="6">
        <v>5.0919999999999996</v>
      </c>
      <c r="O217" s="6">
        <v>5.0919999999999996</v>
      </c>
      <c r="P217" s="6">
        <v>49</v>
      </c>
      <c r="Q217" s="4" t="s">
        <v>26</v>
      </c>
      <c r="R217" s="4">
        <v>0</v>
      </c>
      <c r="S217" s="6">
        <v>0</v>
      </c>
      <c r="T217" s="6">
        <v>8</v>
      </c>
      <c r="U217" s="6">
        <v>23</v>
      </c>
      <c r="V217" s="6">
        <f>IF(ISERROR(VLOOKUP($S$217,'TAR FIN'!$A$1:$O$85,15,0)),0,VLOOKUP($S$217,'TAR FIN'!$A$1:$O$85,15,0))</f>
        <v>0</v>
      </c>
      <c r="W217" s="6">
        <f>IF(ISERROR(VLOOKUP($T$217,'TAR FIN'!$A$1:$O$85,15,0)),0,VLOOKUP($T$217,'TAR FIN'!$A$1:$O$85,15,0))</f>
        <v>867.38</v>
      </c>
      <c r="X217" s="6">
        <f>IF(ISERROR(VLOOKUP($U$217,'TAR FIN'!$A$1:$O$85,15,0)),0,VLOOKUP($U$217,'TAR FIN'!$A$1:$O$85,15,0))</f>
        <v>240.29</v>
      </c>
      <c r="Y217" s="6"/>
      <c r="Z217" s="6">
        <f ca="1">('TUSD BE'!$AM$20+'TUSD BF'!$AM$20+'TUSD CVA'!$AM$20)*1</f>
        <v>982.05733872165513</v>
      </c>
      <c r="AA217" s="6">
        <f>('TE BE'!$AA$11+'TE BF'!$AA$11+'TE CVA'!$AA$11)*1</f>
        <v>330.73086315618451</v>
      </c>
      <c r="AB217" s="6">
        <f>$K$217*$V$217</f>
        <v>0</v>
      </c>
      <c r="AC217" s="6">
        <f>$M$217*$W$217</f>
        <v>4416.6989599999997</v>
      </c>
      <c r="AD217" s="6">
        <f>$O$217*$X$217</f>
        <v>1223.5566799999999</v>
      </c>
      <c r="AE217" s="6">
        <f>$K$217*$Y$217</f>
        <v>0</v>
      </c>
      <c r="AF217" s="6">
        <f ca="1">$M$217*$Z$217</f>
        <v>5000.6359687706672</v>
      </c>
      <c r="AG217" s="6">
        <f>$O$217*$AA$217</f>
        <v>1684.0815551912915</v>
      </c>
    </row>
    <row r="218" spans="1:33" ht="11.25" customHeight="1" x14ac:dyDescent="0.3">
      <c r="A218" s="4" t="s">
        <v>21</v>
      </c>
      <c r="B218" s="4" t="s">
        <v>22</v>
      </c>
      <c r="C218" s="4" t="s">
        <v>23</v>
      </c>
      <c r="D218" s="4" t="s">
        <v>24</v>
      </c>
      <c r="E218" s="4" t="s">
        <v>24</v>
      </c>
      <c r="F218" s="4" t="s">
        <v>25</v>
      </c>
      <c r="G218" s="4" t="s">
        <v>25</v>
      </c>
      <c r="H218" s="4" t="s">
        <v>25</v>
      </c>
      <c r="I218" s="5">
        <v>44531</v>
      </c>
      <c r="J218" s="6">
        <v>0</v>
      </c>
      <c r="K218" s="6">
        <v>0</v>
      </c>
      <c r="L218" s="6">
        <v>809.14</v>
      </c>
      <c r="M218" s="6">
        <v>809.14</v>
      </c>
      <c r="N218" s="6">
        <v>809.14</v>
      </c>
      <c r="O218" s="6">
        <v>809.14</v>
      </c>
      <c r="P218" s="6">
        <v>6289</v>
      </c>
      <c r="Q218" s="4" t="s">
        <v>26</v>
      </c>
      <c r="R218" s="4">
        <v>0</v>
      </c>
      <c r="S218" s="6">
        <v>0</v>
      </c>
      <c r="T218" s="6">
        <v>8</v>
      </c>
      <c r="U218" s="6">
        <v>23</v>
      </c>
      <c r="V218" s="6">
        <f>IF(ISERROR(VLOOKUP($S$218,'TAR FIN'!$A$1:$O$85,15,0)),0,VLOOKUP($S$218,'TAR FIN'!$A$1:$O$85,15,0))</f>
        <v>0</v>
      </c>
      <c r="W218" s="6">
        <f>IF(ISERROR(VLOOKUP($T$218,'TAR FIN'!$A$1:$O$85,15,0)),0,VLOOKUP($T$218,'TAR FIN'!$A$1:$O$85,15,0))</f>
        <v>867.38</v>
      </c>
      <c r="X218" s="6">
        <f>IF(ISERROR(VLOOKUP($U$218,'TAR FIN'!$A$1:$O$85,15,0)),0,VLOOKUP($U$218,'TAR FIN'!$A$1:$O$85,15,0))</f>
        <v>240.29</v>
      </c>
      <c r="Y218" s="6"/>
      <c r="Z218" s="6">
        <f ca="1">('TUSD BE'!$AM$20+'TUSD BF'!$AM$20+'TUSD CVA'!$AM$20)*1</f>
        <v>982.05733872165513</v>
      </c>
      <c r="AA218" s="6">
        <f>('TE BE'!$AA$11+'TE BF'!$AA$11+'TE CVA'!$AA$11)*1</f>
        <v>330.73086315618451</v>
      </c>
      <c r="AB218" s="6">
        <f>$K$218*$V$218</f>
        <v>0</v>
      </c>
      <c r="AC218" s="6">
        <f>$M$218*$W$218</f>
        <v>701831.85320000001</v>
      </c>
      <c r="AD218" s="6">
        <f>$O$218*$X$218</f>
        <v>194428.2506</v>
      </c>
      <c r="AE218" s="6">
        <f>$K$218*$Y$218</f>
        <v>0</v>
      </c>
      <c r="AF218" s="6">
        <f ca="1">$M$218*$Z$218</f>
        <v>794621.87505323999</v>
      </c>
      <c r="AG218" s="6">
        <f>$O$218*$AA$218</f>
        <v>267607.57061419514</v>
      </c>
    </row>
    <row r="219" spans="1:33" ht="11.25" customHeight="1" x14ac:dyDescent="0.3">
      <c r="A219" s="4" t="s">
        <v>27</v>
      </c>
      <c r="B219" s="4" t="s">
        <v>22</v>
      </c>
      <c r="C219" s="4" t="s">
        <v>23</v>
      </c>
      <c r="D219" s="4" t="s">
        <v>24</v>
      </c>
      <c r="E219" s="4" t="s">
        <v>24</v>
      </c>
      <c r="F219" s="4" t="s">
        <v>25</v>
      </c>
      <c r="G219" s="4" t="s">
        <v>25</v>
      </c>
      <c r="H219" s="4" t="s">
        <v>25</v>
      </c>
      <c r="I219" s="5">
        <v>44531</v>
      </c>
      <c r="J219" s="6">
        <v>0</v>
      </c>
      <c r="K219" s="6">
        <v>0</v>
      </c>
      <c r="L219" s="6">
        <v>-0.58599999999999997</v>
      </c>
      <c r="M219" s="6">
        <v>-0.58599999999999997</v>
      </c>
      <c r="N219" s="6">
        <v>-0.58599999999999997</v>
      </c>
      <c r="O219" s="6">
        <v>-0.58599999999999997</v>
      </c>
      <c r="P219" s="6">
        <v>0</v>
      </c>
      <c r="Q219" s="4" t="s">
        <v>26</v>
      </c>
      <c r="R219" s="4">
        <v>0</v>
      </c>
      <c r="S219" s="6">
        <v>0</v>
      </c>
      <c r="T219" s="6">
        <v>8</v>
      </c>
      <c r="U219" s="6">
        <v>23</v>
      </c>
      <c r="V219" s="6">
        <f>IF(ISERROR(VLOOKUP($S$219,'TAR FIN'!$A$1:$O$85,15,0)),0,VLOOKUP($S$219,'TAR FIN'!$A$1:$O$85,15,0))</f>
        <v>0</v>
      </c>
      <c r="W219" s="6">
        <f>IF(ISERROR(VLOOKUP($T$219,'TAR FIN'!$A$1:$O$85,15,0)),0,VLOOKUP($T$219,'TAR FIN'!$A$1:$O$85,15,0))</f>
        <v>867.38</v>
      </c>
      <c r="X219" s="6">
        <f>IF(ISERROR(VLOOKUP($U$219,'TAR FIN'!$A$1:$O$85,15,0)),0,VLOOKUP($U$219,'TAR FIN'!$A$1:$O$85,15,0))</f>
        <v>240.29</v>
      </c>
      <c r="Y219" s="6"/>
      <c r="Z219" s="6">
        <f ca="1">('TUSD BE'!$AM$20+'TUSD BF'!$AM$20+'TUSD CVA'!$AM$20)*1</f>
        <v>982.05733872165513</v>
      </c>
      <c r="AA219" s="6">
        <f>('TE BE'!$AA$11+'TE BF'!$AA$11+'TE CVA'!$AA$11)*1</f>
        <v>330.73086315618451</v>
      </c>
      <c r="AB219" s="6">
        <f>$K$219*$V$219</f>
        <v>0</v>
      </c>
      <c r="AC219" s="6">
        <f>$M$219*$W$219</f>
        <v>-508.28467999999998</v>
      </c>
      <c r="AD219" s="6">
        <f>$O$219*$X$219</f>
        <v>-140.80993999999998</v>
      </c>
      <c r="AE219" s="6">
        <f>$K$219*$Y$219</f>
        <v>0</v>
      </c>
      <c r="AF219" s="6">
        <f ca="1">$M$219*$Z$219</f>
        <v>-575.48560049088985</v>
      </c>
      <c r="AG219" s="6">
        <f>$O$219*$AA$219</f>
        <v>-193.80828580952411</v>
      </c>
    </row>
    <row r="220" spans="1:33" ht="11.25" customHeight="1" x14ac:dyDescent="0.3">
      <c r="A220" s="4" t="s">
        <v>28</v>
      </c>
      <c r="B220" s="4" t="s">
        <v>22</v>
      </c>
      <c r="C220" s="4" t="s">
        <v>23</v>
      </c>
      <c r="D220" s="4" t="s">
        <v>24</v>
      </c>
      <c r="E220" s="4" t="s">
        <v>24</v>
      </c>
      <c r="F220" s="4" t="s">
        <v>25</v>
      </c>
      <c r="G220" s="4" t="s">
        <v>25</v>
      </c>
      <c r="H220" s="4" t="s">
        <v>25</v>
      </c>
      <c r="I220" s="5">
        <v>44531</v>
      </c>
      <c r="J220" s="6">
        <v>0</v>
      </c>
      <c r="K220" s="6">
        <v>0</v>
      </c>
      <c r="L220" s="6">
        <v>4.6639999999999997</v>
      </c>
      <c r="M220" s="6">
        <v>4.6639999999999997</v>
      </c>
      <c r="N220" s="6">
        <v>4.6639999999999997</v>
      </c>
      <c r="O220" s="6">
        <v>4.6639999999999997</v>
      </c>
      <c r="P220" s="6">
        <v>54</v>
      </c>
      <c r="Q220" s="4" t="s">
        <v>26</v>
      </c>
      <c r="R220" s="4">
        <v>0</v>
      </c>
      <c r="S220" s="6">
        <v>0</v>
      </c>
      <c r="T220" s="6">
        <v>8</v>
      </c>
      <c r="U220" s="6">
        <v>23</v>
      </c>
      <c r="V220" s="6">
        <f>IF(ISERROR(VLOOKUP($S$220,'TAR FIN'!$A$1:$O$85,15,0)),0,VLOOKUP($S$220,'TAR FIN'!$A$1:$O$85,15,0))</f>
        <v>0</v>
      </c>
      <c r="W220" s="6">
        <f>IF(ISERROR(VLOOKUP($T$220,'TAR FIN'!$A$1:$O$85,15,0)),0,VLOOKUP($T$220,'TAR FIN'!$A$1:$O$85,15,0))</f>
        <v>867.38</v>
      </c>
      <c r="X220" s="6">
        <f>IF(ISERROR(VLOOKUP($U$220,'TAR FIN'!$A$1:$O$85,15,0)),0,VLOOKUP($U$220,'TAR FIN'!$A$1:$O$85,15,0))</f>
        <v>240.29</v>
      </c>
      <c r="Y220" s="6"/>
      <c r="Z220" s="6">
        <f ca="1">('TUSD BE'!$AM$20+'TUSD BF'!$AM$20+'TUSD CVA'!$AM$20)*1</f>
        <v>982.05733872165513</v>
      </c>
      <c r="AA220" s="6">
        <f>('TE BE'!$AA$11+'TE BF'!$AA$11+'TE CVA'!$AA$11)*1</f>
        <v>330.73086315618451</v>
      </c>
      <c r="AB220" s="6">
        <f>$K$220*$V$220</f>
        <v>0</v>
      </c>
      <c r="AC220" s="6">
        <f>$M$220*$W$220</f>
        <v>4045.4603199999997</v>
      </c>
      <c r="AD220" s="6">
        <f>$O$220*$X$220</f>
        <v>1120.7125599999999</v>
      </c>
      <c r="AE220" s="6">
        <f>$K$220*$Y$220</f>
        <v>0</v>
      </c>
      <c r="AF220" s="6">
        <f ca="1">$M$220*$Z$220</f>
        <v>4580.3154277977992</v>
      </c>
      <c r="AG220" s="6">
        <f>$O$220*$AA$220</f>
        <v>1542.5287457604445</v>
      </c>
    </row>
    <row r="221" spans="1:33" ht="11.25" customHeight="1" x14ac:dyDescent="0.3">
      <c r="A221" s="4" t="s">
        <v>21</v>
      </c>
      <c r="B221" s="4" t="s">
        <v>22</v>
      </c>
      <c r="C221" s="4" t="s">
        <v>23</v>
      </c>
      <c r="D221" s="4" t="s">
        <v>24</v>
      </c>
      <c r="E221" s="4" t="s">
        <v>24</v>
      </c>
      <c r="F221" s="4" t="s">
        <v>25</v>
      </c>
      <c r="G221" s="4" t="s">
        <v>25</v>
      </c>
      <c r="H221" s="4" t="s">
        <v>25</v>
      </c>
      <c r="I221" s="5">
        <v>44562</v>
      </c>
      <c r="J221" s="6">
        <v>0</v>
      </c>
      <c r="K221" s="6">
        <v>0</v>
      </c>
      <c r="L221" s="6">
        <v>924.58500000000004</v>
      </c>
      <c r="M221" s="6">
        <v>924.58500000000004</v>
      </c>
      <c r="N221" s="6">
        <v>924.58500000000004</v>
      </c>
      <c r="O221" s="6">
        <v>924.58500000000004</v>
      </c>
      <c r="P221" s="6">
        <v>6305</v>
      </c>
      <c r="Q221" s="4" t="s">
        <v>26</v>
      </c>
      <c r="R221" s="4">
        <v>0</v>
      </c>
      <c r="S221" s="6">
        <v>0</v>
      </c>
      <c r="T221" s="6">
        <v>8</v>
      </c>
      <c r="U221" s="6">
        <v>23</v>
      </c>
      <c r="V221" s="6">
        <f>IF(ISERROR(VLOOKUP($S$221,'TAR FIN'!$A$1:$O$85,15,0)),0,VLOOKUP($S$221,'TAR FIN'!$A$1:$O$85,15,0))</f>
        <v>0</v>
      </c>
      <c r="W221" s="6">
        <f>IF(ISERROR(VLOOKUP($T$221,'TAR FIN'!$A$1:$O$85,15,0)),0,VLOOKUP($T$221,'TAR FIN'!$A$1:$O$85,15,0))</f>
        <v>867.38</v>
      </c>
      <c r="X221" s="6">
        <f>IF(ISERROR(VLOOKUP($U$221,'TAR FIN'!$A$1:$O$85,15,0)),0,VLOOKUP($U$221,'TAR FIN'!$A$1:$O$85,15,0))</f>
        <v>240.29</v>
      </c>
      <c r="Y221" s="6"/>
      <c r="Z221" s="6">
        <f ca="1">('TUSD BE'!$AM$20+'TUSD BF'!$AM$20+'TUSD CVA'!$AM$20)*1</f>
        <v>982.05733872165513</v>
      </c>
      <c r="AA221" s="6">
        <f>('TE BE'!$AA$11+'TE BF'!$AA$11+'TE CVA'!$AA$11)*1</f>
        <v>330.73086315618451</v>
      </c>
      <c r="AB221" s="6">
        <f>$K$221*$V$221</f>
        <v>0</v>
      </c>
      <c r="AC221" s="6">
        <f>$M$221*$W$221</f>
        <v>801966.53730000008</v>
      </c>
      <c r="AD221" s="6">
        <f>$O$221*$X$221</f>
        <v>222168.52965000001</v>
      </c>
      <c r="AE221" s="6">
        <f>$K$221*$Y$221</f>
        <v>0</v>
      </c>
      <c r="AF221" s="6">
        <f ca="1">$M$221*$Z$221</f>
        <v>907995.48452196154</v>
      </c>
      <c r="AG221" s="6">
        <f>$O$221*$AA$221</f>
        <v>305788.79511126084</v>
      </c>
    </row>
    <row r="222" spans="1:33" ht="11.25" customHeight="1" x14ac:dyDescent="0.3">
      <c r="A222" s="4" t="s">
        <v>27</v>
      </c>
      <c r="B222" s="4" t="s">
        <v>22</v>
      </c>
      <c r="C222" s="4" t="s">
        <v>23</v>
      </c>
      <c r="D222" s="4" t="s">
        <v>24</v>
      </c>
      <c r="E222" s="4" t="s">
        <v>24</v>
      </c>
      <c r="F222" s="4" t="s">
        <v>25</v>
      </c>
      <c r="G222" s="4" t="s">
        <v>25</v>
      </c>
      <c r="H222" s="4" t="s">
        <v>25</v>
      </c>
      <c r="I222" s="5">
        <v>44562</v>
      </c>
      <c r="J222" s="6">
        <v>0</v>
      </c>
      <c r="K222" s="6">
        <v>0</v>
      </c>
      <c r="L222" s="6">
        <v>-0.111</v>
      </c>
      <c r="M222" s="6">
        <v>-0.111</v>
      </c>
      <c r="N222" s="6">
        <v>-0.111</v>
      </c>
      <c r="O222" s="6">
        <v>-0.111</v>
      </c>
      <c r="P222" s="6">
        <v>0</v>
      </c>
      <c r="Q222" s="4" t="s">
        <v>26</v>
      </c>
      <c r="R222" s="4">
        <v>0</v>
      </c>
      <c r="S222" s="6">
        <v>0</v>
      </c>
      <c r="T222" s="6">
        <v>8</v>
      </c>
      <c r="U222" s="6">
        <v>23</v>
      </c>
      <c r="V222" s="6">
        <f>IF(ISERROR(VLOOKUP($S$222,'TAR FIN'!$A$1:$O$85,15,0)),0,VLOOKUP($S$222,'TAR FIN'!$A$1:$O$85,15,0))</f>
        <v>0</v>
      </c>
      <c r="W222" s="6">
        <f>IF(ISERROR(VLOOKUP($T$222,'TAR FIN'!$A$1:$O$85,15,0)),0,VLOOKUP($T$222,'TAR FIN'!$A$1:$O$85,15,0))</f>
        <v>867.38</v>
      </c>
      <c r="X222" s="6">
        <f>IF(ISERROR(VLOOKUP($U$222,'TAR FIN'!$A$1:$O$85,15,0)),0,VLOOKUP($U$222,'TAR FIN'!$A$1:$O$85,15,0))</f>
        <v>240.29</v>
      </c>
      <c r="Y222" s="6"/>
      <c r="Z222" s="6">
        <f ca="1">('TUSD BE'!$AM$20+'TUSD BF'!$AM$20+'TUSD CVA'!$AM$20)*1</f>
        <v>982.05733872165513</v>
      </c>
      <c r="AA222" s="6">
        <f>('TE BE'!$AA$11+'TE BF'!$AA$11+'TE CVA'!$AA$11)*1</f>
        <v>330.73086315618451</v>
      </c>
      <c r="AB222" s="6">
        <f>$K$222*$V$222</f>
        <v>0</v>
      </c>
      <c r="AC222" s="6">
        <f>$M$222*$W$222</f>
        <v>-96.279179999999997</v>
      </c>
      <c r="AD222" s="6">
        <f>$O$222*$X$222</f>
        <v>-26.672190000000001</v>
      </c>
      <c r="AE222" s="6">
        <f>$K$222*$Y$222</f>
        <v>0</v>
      </c>
      <c r="AF222" s="6">
        <f ca="1">$M$222*$Z$222</f>
        <v>-109.00836459810373</v>
      </c>
      <c r="AG222" s="6">
        <f>$O$222*$AA$222</f>
        <v>-36.711125810336483</v>
      </c>
    </row>
    <row r="223" spans="1:33" ht="11.25" customHeight="1" x14ac:dyDescent="0.3">
      <c r="A223" s="4" t="s">
        <v>28</v>
      </c>
      <c r="B223" s="4" t="s">
        <v>22</v>
      </c>
      <c r="C223" s="4" t="s">
        <v>23</v>
      </c>
      <c r="D223" s="4" t="s">
        <v>24</v>
      </c>
      <c r="E223" s="4" t="s">
        <v>24</v>
      </c>
      <c r="F223" s="4" t="s">
        <v>25</v>
      </c>
      <c r="G223" s="4" t="s">
        <v>25</v>
      </c>
      <c r="H223" s="4" t="s">
        <v>25</v>
      </c>
      <c r="I223" s="5">
        <v>44562</v>
      </c>
      <c r="J223" s="6">
        <v>0</v>
      </c>
      <c r="K223" s="6">
        <v>0</v>
      </c>
      <c r="L223" s="6">
        <v>8.1890000000000001</v>
      </c>
      <c r="M223" s="6">
        <v>8.1890000000000001</v>
      </c>
      <c r="N223" s="6">
        <v>8.1890000000000001</v>
      </c>
      <c r="O223" s="6">
        <v>8.1890000000000001</v>
      </c>
      <c r="P223" s="6">
        <v>56</v>
      </c>
      <c r="Q223" s="4" t="s">
        <v>26</v>
      </c>
      <c r="R223" s="4">
        <v>0</v>
      </c>
      <c r="S223" s="6">
        <v>0</v>
      </c>
      <c r="T223" s="6">
        <v>8</v>
      </c>
      <c r="U223" s="6">
        <v>23</v>
      </c>
      <c r="V223" s="6">
        <f>IF(ISERROR(VLOOKUP($S$223,'TAR FIN'!$A$1:$O$85,15,0)),0,VLOOKUP($S$223,'TAR FIN'!$A$1:$O$85,15,0))</f>
        <v>0</v>
      </c>
      <c r="W223" s="6">
        <f>IF(ISERROR(VLOOKUP($T$223,'TAR FIN'!$A$1:$O$85,15,0)),0,VLOOKUP($T$223,'TAR FIN'!$A$1:$O$85,15,0))</f>
        <v>867.38</v>
      </c>
      <c r="X223" s="6">
        <f>IF(ISERROR(VLOOKUP($U$223,'TAR FIN'!$A$1:$O$85,15,0)),0,VLOOKUP($U$223,'TAR FIN'!$A$1:$O$85,15,0))</f>
        <v>240.29</v>
      </c>
      <c r="Y223" s="6"/>
      <c r="Z223" s="6">
        <f ca="1">('TUSD BE'!$AM$20+'TUSD BF'!$AM$20+'TUSD CVA'!$AM$20)*1</f>
        <v>982.05733872165513</v>
      </c>
      <c r="AA223" s="6">
        <f>('TE BE'!$AA$11+'TE BF'!$AA$11+'TE CVA'!$AA$11)*1</f>
        <v>330.73086315618451</v>
      </c>
      <c r="AB223" s="6">
        <f>$K$223*$V$223</f>
        <v>0</v>
      </c>
      <c r="AC223" s="6">
        <f>$M$223*$W$223</f>
        <v>7102.9748200000004</v>
      </c>
      <c r="AD223" s="6">
        <f>$O$223*$X$223</f>
        <v>1967.7348099999999</v>
      </c>
      <c r="AE223" s="6">
        <f>$K$223*$Y$223</f>
        <v>0</v>
      </c>
      <c r="AF223" s="6">
        <f ca="1">$M$223*$Z$223</f>
        <v>8042.0675467916335</v>
      </c>
      <c r="AG223" s="6">
        <f>$O$223*$AA$223</f>
        <v>2708.3550383859952</v>
      </c>
    </row>
    <row r="224" spans="1:33" ht="11.25" customHeight="1" x14ac:dyDescent="0.3">
      <c r="A224" s="4" t="s">
        <v>21</v>
      </c>
      <c r="B224" s="4" t="s">
        <v>22</v>
      </c>
      <c r="C224" s="4" t="s">
        <v>23</v>
      </c>
      <c r="D224" s="4" t="s">
        <v>24</v>
      </c>
      <c r="E224" s="4" t="s">
        <v>24</v>
      </c>
      <c r="F224" s="4" t="s">
        <v>25</v>
      </c>
      <c r="G224" s="4" t="s">
        <v>25</v>
      </c>
      <c r="H224" s="4" t="s">
        <v>25</v>
      </c>
      <c r="I224" s="5">
        <v>44593</v>
      </c>
      <c r="J224" s="6">
        <v>0</v>
      </c>
      <c r="K224" s="6">
        <v>0</v>
      </c>
      <c r="L224" s="6">
        <v>949.33</v>
      </c>
      <c r="M224" s="6">
        <v>949.33</v>
      </c>
      <c r="N224" s="6">
        <v>949.33</v>
      </c>
      <c r="O224" s="6">
        <v>949.33</v>
      </c>
      <c r="P224" s="6">
        <v>6291</v>
      </c>
      <c r="Q224" s="4" t="s">
        <v>26</v>
      </c>
      <c r="R224" s="4">
        <v>0</v>
      </c>
      <c r="S224" s="6">
        <v>0</v>
      </c>
      <c r="T224" s="6">
        <v>8</v>
      </c>
      <c r="U224" s="6">
        <v>23</v>
      </c>
      <c r="V224" s="6">
        <f>IF(ISERROR(VLOOKUP($S$224,'TAR FIN'!$A$1:$O$85,15,0)),0,VLOOKUP($S$224,'TAR FIN'!$A$1:$O$85,15,0))</f>
        <v>0</v>
      </c>
      <c r="W224" s="6">
        <f>IF(ISERROR(VLOOKUP($T$224,'TAR FIN'!$A$1:$O$85,15,0)),0,VLOOKUP($T$224,'TAR FIN'!$A$1:$O$85,15,0))</f>
        <v>867.38</v>
      </c>
      <c r="X224" s="6">
        <f>IF(ISERROR(VLOOKUP($U$224,'TAR FIN'!$A$1:$O$85,15,0)),0,VLOOKUP($U$224,'TAR FIN'!$A$1:$O$85,15,0))</f>
        <v>240.29</v>
      </c>
      <c r="Y224" s="6"/>
      <c r="Z224" s="6">
        <f ca="1">('TUSD BE'!$AM$20+'TUSD BF'!$AM$20+'TUSD CVA'!$AM$20)*1</f>
        <v>982.05733872165513</v>
      </c>
      <c r="AA224" s="6">
        <f>('TE BE'!$AA$11+'TE BF'!$AA$11+'TE CVA'!$AA$11)*1</f>
        <v>330.73086315618451</v>
      </c>
      <c r="AB224" s="6">
        <f>$K$224*$V$224</f>
        <v>0</v>
      </c>
      <c r="AC224" s="6">
        <f>$M$224*$W$224</f>
        <v>823429.8554</v>
      </c>
      <c r="AD224" s="6">
        <f>$O$224*$X$224</f>
        <v>228114.50570000001</v>
      </c>
      <c r="AE224" s="6">
        <f>$K$224*$Y$224</f>
        <v>0</v>
      </c>
      <c r="AF224" s="6">
        <f ca="1">$M$224*$Z$224</f>
        <v>932296.4933686289</v>
      </c>
      <c r="AG224" s="6">
        <f>$O$224*$AA$224</f>
        <v>313972.73032006068</v>
      </c>
    </row>
    <row r="225" spans="1:33" ht="11.25" customHeight="1" x14ac:dyDescent="0.3">
      <c r="A225" s="4" t="s">
        <v>27</v>
      </c>
      <c r="B225" s="4" t="s">
        <v>22</v>
      </c>
      <c r="C225" s="4" t="s">
        <v>23</v>
      </c>
      <c r="D225" s="4" t="s">
        <v>24</v>
      </c>
      <c r="E225" s="4" t="s">
        <v>24</v>
      </c>
      <c r="F225" s="4" t="s">
        <v>25</v>
      </c>
      <c r="G225" s="4" t="s">
        <v>25</v>
      </c>
      <c r="H225" s="4" t="s">
        <v>25</v>
      </c>
      <c r="I225" s="5">
        <v>44593</v>
      </c>
      <c r="J225" s="6">
        <v>0</v>
      </c>
      <c r="K225" s="6">
        <v>0</v>
      </c>
      <c r="L225" s="6">
        <v>-1.7000000000000001E-2</v>
      </c>
      <c r="M225" s="6">
        <v>-1.7000000000000001E-2</v>
      </c>
      <c r="N225" s="6">
        <v>-1.7000000000000001E-2</v>
      </c>
      <c r="O225" s="6">
        <v>-1.7000000000000001E-2</v>
      </c>
      <c r="P225" s="6">
        <v>0</v>
      </c>
      <c r="Q225" s="4" t="s">
        <v>26</v>
      </c>
      <c r="R225" s="4">
        <v>0</v>
      </c>
      <c r="S225" s="6">
        <v>0</v>
      </c>
      <c r="T225" s="6">
        <v>8</v>
      </c>
      <c r="U225" s="6">
        <v>23</v>
      </c>
      <c r="V225" s="6">
        <f>IF(ISERROR(VLOOKUP($S$225,'TAR FIN'!$A$1:$O$85,15,0)),0,VLOOKUP($S$225,'TAR FIN'!$A$1:$O$85,15,0))</f>
        <v>0</v>
      </c>
      <c r="W225" s="6">
        <f>IF(ISERROR(VLOOKUP($T$225,'TAR FIN'!$A$1:$O$85,15,0)),0,VLOOKUP($T$225,'TAR FIN'!$A$1:$O$85,15,0))</f>
        <v>867.38</v>
      </c>
      <c r="X225" s="6">
        <f>IF(ISERROR(VLOOKUP($U$225,'TAR FIN'!$A$1:$O$85,15,0)),0,VLOOKUP($U$225,'TAR FIN'!$A$1:$O$85,15,0))</f>
        <v>240.29</v>
      </c>
      <c r="Y225" s="6"/>
      <c r="Z225" s="6">
        <f ca="1">('TUSD BE'!$AM$20+'TUSD BF'!$AM$20+'TUSD CVA'!$AM$20)*1</f>
        <v>982.05733872165513</v>
      </c>
      <c r="AA225" s="6">
        <f>('TE BE'!$AA$11+'TE BF'!$AA$11+'TE CVA'!$AA$11)*1</f>
        <v>330.73086315618451</v>
      </c>
      <c r="AB225" s="6">
        <f>$K$225*$V$225</f>
        <v>0</v>
      </c>
      <c r="AC225" s="6">
        <f>$M$225*$W$225</f>
        <v>-14.745460000000001</v>
      </c>
      <c r="AD225" s="6">
        <f>$O$225*$X$225</f>
        <v>-4.0849299999999999</v>
      </c>
      <c r="AE225" s="6">
        <f>$K$225*$Y$225</f>
        <v>0</v>
      </c>
      <c r="AF225" s="6">
        <f ca="1">$M$225*$Z$225</f>
        <v>-16.694974758268138</v>
      </c>
      <c r="AG225" s="6">
        <f>$O$225*$AA$225</f>
        <v>-5.6224246736551375</v>
      </c>
    </row>
    <row r="226" spans="1:33" ht="11.25" customHeight="1" x14ac:dyDescent="0.3">
      <c r="A226" s="4" t="s">
        <v>28</v>
      </c>
      <c r="B226" s="4" t="s">
        <v>22</v>
      </c>
      <c r="C226" s="4" t="s">
        <v>23</v>
      </c>
      <c r="D226" s="4" t="s">
        <v>24</v>
      </c>
      <c r="E226" s="4" t="s">
        <v>24</v>
      </c>
      <c r="F226" s="4" t="s">
        <v>25</v>
      </c>
      <c r="G226" s="4" t="s">
        <v>25</v>
      </c>
      <c r="H226" s="4" t="s">
        <v>25</v>
      </c>
      <c r="I226" s="5">
        <v>44593</v>
      </c>
      <c r="J226" s="6">
        <v>0</v>
      </c>
      <c r="K226" s="6">
        <v>0</v>
      </c>
      <c r="L226" s="6">
        <v>6.3570000000000002</v>
      </c>
      <c r="M226" s="6">
        <v>6.3570000000000002</v>
      </c>
      <c r="N226" s="6">
        <v>6.3570000000000002</v>
      </c>
      <c r="O226" s="6">
        <v>6.3570000000000002</v>
      </c>
      <c r="P226" s="6">
        <v>59</v>
      </c>
      <c r="Q226" s="4" t="s">
        <v>26</v>
      </c>
      <c r="R226" s="4">
        <v>0</v>
      </c>
      <c r="S226" s="6">
        <v>0</v>
      </c>
      <c r="T226" s="6">
        <v>8</v>
      </c>
      <c r="U226" s="6">
        <v>23</v>
      </c>
      <c r="V226" s="6">
        <f>IF(ISERROR(VLOOKUP($S$226,'TAR FIN'!$A$1:$O$85,15,0)),0,VLOOKUP($S$226,'TAR FIN'!$A$1:$O$85,15,0))</f>
        <v>0</v>
      </c>
      <c r="W226" s="6">
        <f>IF(ISERROR(VLOOKUP($T$226,'TAR FIN'!$A$1:$O$85,15,0)),0,VLOOKUP($T$226,'TAR FIN'!$A$1:$O$85,15,0))</f>
        <v>867.38</v>
      </c>
      <c r="X226" s="6">
        <f>IF(ISERROR(VLOOKUP($U$226,'TAR FIN'!$A$1:$O$85,15,0)),0,VLOOKUP($U$226,'TAR FIN'!$A$1:$O$85,15,0))</f>
        <v>240.29</v>
      </c>
      <c r="Y226" s="6"/>
      <c r="Z226" s="6">
        <f ca="1">('TUSD BE'!$AM$20+'TUSD BF'!$AM$20+'TUSD CVA'!$AM$20)*1</f>
        <v>982.05733872165513</v>
      </c>
      <c r="AA226" s="6">
        <f>('TE BE'!$AA$11+'TE BF'!$AA$11+'TE CVA'!$AA$11)*1</f>
        <v>330.73086315618451</v>
      </c>
      <c r="AB226" s="6">
        <f>$K$226*$V$226</f>
        <v>0</v>
      </c>
      <c r="AC226" s="6">
        <f>$M$226*$W$226</f>
        <v>5513.9346599999999</v>
      </c>
      <c r="AD226" s="6">
        <f>$O$226*$X$226</f>
        <v>1527.5235299999999</v>
      </c>
      <c r="AE226" s="6">
        <f>$K$226*$Y$226</f>
        <v>0</v>
      </c>
      <c r="AF226" s="6">
        <f ca="1">$M$226*$Z$226</f>
        <v>6242.9385022535616</v>
      </c>
      <c r="AG226" s="6">
        <f>$O$226*$AA$226</f>
        <v>2102.4560970838652</v>
      </c>
    </row>
    <row r="227" spans="1:33" ht="11.25" customHeight="1" x14ac:dyDescent="0.3">
      <c r="A227" s="4" t="s">
        <v>21</v>
      </c>
      <c r="B227" s="4" t="s">
        <v>22</v>
      </c>
      <c r="C227" s="4" t="s">
        <v>23</v>
      </c>
      <c r="D227" s="4" t="s">
        <v>24</v>
      </c>
      <c r="E227" s="4" t="s">
        <v>24</v>
      </c>
      <c r="F227" s="4" t="s">
        <v>25</v>
      </c>
      <c r="G227" s="4" t="s">
        <v>25</v>
      </c>
      <c r="H227" s="4" t="s">
        <v>25</v>
      </c>
      <c r="I227" s="5">
        <v>44621</v>
      </c>
      <c r="J227" s="6">
        <v>0</v>
      </c>
      <c r="K227" s="6">
        <v>0</v>
      </c>
      <c r="L227" s="6">
        <v>925.30700000000002</v>
      </c>
      <c r="M227" s="6">
        <v>925.30700000000002</v>
      </c>
      <c r="N227" s="6">
        <v>925.30700000000002</v>
      </c>
      <c r="O227" s="6">
        <v>925.30700000000002</v>
      </c>
      <c r="P227" s="6">
        <v>6026</v>
      </c>
      <c r="Q227" s="4" t="s">
        <v>26</v>
      </c>
      <c r="R227" s="4">
        <v>0</v>
      </c>
      <c r="S227" s="6">
        <v>0</v>
      </c>
      <c r="T227" s="6">
        <v>8</v>
      </c>
      <c r="U227" s="6">
        <v>23</v>
      </c>
      <c r="V227" s="6">
        <f>IF(ISERROR(VLOOKUP($S$227,'TAR FIN'!$A$1:$O$85,15,0)),0,VLOOKUP($S$227,'TAR FIN'!$A$1:$O$85,15,0))</f>
        <v>0</v>
      </c>
      <c r="W227" s="6">
        <f>IF(ISERROR(VLOOKUP($T$227,'TAR FIN'!$A$1:$O$85,15,0)),0,VLOOKUP($T$227,'TAR FIN'!$A$1:$O$85,15,0))</f>
        <v>867.38</v>
      </c>
      <c r="X227" s="6">
        <f>IF(ISERROR(VLOOKUP($U$227,'TAR FIN'!$A$1:$O$85,15,0)),0,VLOOKUP($U$227,'TAR FIN'!$A$1:$O$85,15,0))</f>
        <v>240.29</v>
      </c>
      <c r="Y227" s="6"/>
      <c r="Z227" s="6">
        <f ca="1">('TUSD BE'!$AM$20+'TUSD BF'!$AM$20+'TUSD CVA'!$AM$20)*1</f>
        <v>982.05733872165513</v>
      </c>
      <c r="AA227" s="6">
        <f>('TE BE'!$AA$11+'TE BF'!$AA$11+'TE CVA'!$AA$11)*1</f>
        <v>330.73086315618451</v>
      </c>
      <c r="AB227" s="6">
        <f>$K$227*$V$227</f>
        <v>0</v>
      </c>
      <c r="AC227" s="6">
        <f>$M$227*$W$227</f>
        <v>802592.78566000005</v>
      </c>
      <c r="AD227" s="6">
        <f>$O$227*$X$227</f>
        <v>222342.01903</v>
      </c>
      <c r="AE227" s="6">
        <f>$K$227*$Y$227</f>
        <v>0</v>
      </c>
      <c r="AF227" s="6">
        <f ca="1">$M$227*$Z$227</f>
        <v>908704.52992051851</v>
      </c>
      <c r="AG227" s="6">
        <f>$O$227*$AA$227</f>
        <v>306027.58279445965</v>
      </c>
    </row>
    <row r="228" spans="1:33" ht="11.25" customHeight="1" x14ac:dyDescent="0.3">
      <c r="A228" s="4" t="s">
        <v>27</v>
      </c>
      <c r="B228" s="4" t="s">
        <v>22</v>
      </c>
      <c r="C228" s="4" t="s">
        <v>23</v>
      </c>
      <c r="D228" s="4" t="s">
        <v>24</v>
      </c>
      <c r="E228" s="4" t="s">
        <v>24</v>
      </c>
      <c r="F228" s="4" t="s">
        <v>25</v>
      </c>
      <c r="G228" s="4" t="s">
        <v>25</v>
      </c>
      <c r="H228" s="4" t="s">
        <v>25</v>
      </c>
      <c r="I228" s="5">
        <v>44621</v>
      </c>
      <c r="J228" s="6">
        <v>0</v>
      </c>
      <c r="K228" s="6">
        <v>0</v>
      </c>
      <c r="L228" s="6">
        <v>0.20599999999999999</v>
      </c>
      <c r="M228" s="6">
        <v>0.20599999999999999</v>
      </c>
      <c r="N228" s="6">
        <v>0.20599999999999999</v>
      </c>
      <c r="O228" s="6">
        <v>0.20599999999999999</v>
      </c>
      <c r="P228" s="6">
        <v>0</v>
      </c>
      <c r="Q228" s="4" t="s">
        <v>26</v>
      </c>
      <c r="R228" s="4">
        <v>0</v>
      </c>
      <c r="S228" s="6">
        <v>0</v>
      </c>
      <c r="T228" s="6">
        <v>8</v>
      </c>
      <c r="U228" s="6">
        <v>23</v>
      </c>
      <c r="V228" s="6">
        <f>IF(ISERROR(VLOOKUP($S$228,'TAR FIN'!$A$1:$O$85,15,0)),0,VLOOKUP($S$228,'TAR FIN'!$A$1:$O$85,15,0))</f>
        <v>0</v>
      </c>
      <c r="W228" s="6">
        <f>IF(ISERROR(VLOOKUP($T$228,'TAR FIN'!$A$1:$O$85,15,0)),0,VLOOKUP($T$228,'TAR FIN'!$A$1:$O$85,15,0))</f>
        <v>867.38</v>
      </c>
      <c r="X228" s="6">
        <f>IF(ISERROR(VLOOKUP($U$228,'TAR FIN'!$A$1:$O$85,15,0)),0,VLOOKUP($U$228,'TAR FIN'!$A$1:$O$85,15,0))</f>
        <v>240.29</v>
      </c>
      <c r="Y228" s="6"/>
      <c r="Z228" s="6">
        <f ca="1">('TUSD BE'!$AM$20+'TUSD BF'!$AM$20+'TUSD CVA'!$AM$20)*1</f>
        <v>982.05733872165513</v>
      </c>
      <c r="AA228" s="6">
        <f>('TE BE'!$AA$11+'TE BF'!$AA$11+'TE CVA'!$AA$11)*1</f>
        <v>330.73086315618451</v>
      </c>
      <c r="AB228" s="6">
        <f>$K$228*$V$228</f>
        <v>0</v>
      </c>
      <c r="AC228" s="6">
        <f>$M$228*$W$228</f>
        <v>178.68027999999998</v>
      </c>
      <c r="AD228" s="6">
        <f>$O$228*$X$228</f>
        <v>49.499739999999996</v>
      </c>
      <c r="AE228" s="6">
        <f>$K$228*$Y$228</f>
        <v>0</v>
      </c>
      <c r="AF228" s="6">
        <f ca="1">$M$228*$Z$228</f>
        <v>202.30381177666095</v>
      </c>
      <c r="AG228" s="6">
        <f>$O$228*$AA$228</f>
        <v>68.130557810174011</v>
      </c>
    </row>
    <row r="229" spans="1:33" ht="11.25" customHeight="1" x14ac:dyDescent="0.3">
      <c r="A229" s="4" t="s">
        <v>28</v>
      </c>
      <c r="B229" s="4" t="s">
        <v>22</v>
      </c>
      <c r="C229" s="4" t="s">
        <v>23</v>
      </c>
      <c r="D229" s="4" t="s">
        <v>24</v>
      </c>
      <c r="E229" s="4" t="s">
        <v>24</v>
      </c>
      <c r="F229" s="4" t="s">
        <v>25</v>
      </c>
      <c r="G229" s="4" t="s">
        <v>25</v>
      </c>
      <c r="H229" s="4" t="s">
        <v>25</v>
      </c>
      <c r="I229" s="5">
        <v>44621</v>
      </c>
      <c r="J229" s="6">
        <v>0</v>
      </c>
      <c r="K229" s="6">
        <v>0</v>
      </c>
      <c r="L229" s="6">
        <v>13.574999999999999</v>
      </c>
      <c r="M229" s="6">
        <v>13.574999999999999</v>
      </c>
      <c r="N229" s="6">
        <v>13.574999999999999</v>
      </c>
      <c r="O229" s="6">
        <v>13.574999999999999</v>
      </c>
      <c r="P229" s="6">
        <v>62</v>
      </c>
      <c r="Q229" s="4" t="s">
        <v>26</v>
      </c>
      <c r="R229" s="4">
        <v>0</v>
      </c>
      <c r="S229" s="6">
        <v>0</v>
      </c>
      <c r="T229" s="6">
        <v>8</v>
      </c>
      <c r="U229" s="6">
        <v>23</v>
      </c>
      <c r="V229" s="6">
        <f>IF(ISERROR(VLOOKUP($S$229,'TAR FIN'!$A$1:$O$85,15,0)),0,VLOOKUP($S$229,'TAR FIN'!$A$1:$O$85,15,0))</f>
        <v>0</v>
      </c>
      <c r="W229" s="6">
        <f>IF(ISERROR(VLOOKUP($T$229,'TAR FIN'!$A$1:$O$85,15,0)),0,VLOOKUP($T$229,'TAR FIN'!$A$1:$O$85,15,0))</f>
        <v>867.38</v>
      </c>
      <c r="X229" s="6">
        <f>IF(ISERROR(VLOOKUP($U$229,'TAR FIN'!$A$1:$O$85,15,0)),0,VLOOKUP($U$229,'TAR FIN'!$A$1:$O$85,15,0))</f>
        <v>240.29</v>
      </c>
      <c r="Y229" s="6"/>
      <c r="Z229" s="6">
        <f ca="1">('TUSD BE'!$AM$20+'TUSD BF'!$AM$20+'TUSD CVA'!$AM$20)*1</f>
        <v>982.05733872165513</v>
      </c>
      <c r="AA229" s="6">
        <f>('TE BE'!$AA$11+'TE BF'!$AA$11+'TE CVA'!$AA$11)*1</f>
        <v>330.73086315618451</v>
      </c>
      <c r="AB229" s="6">
        <f>$K$229*$V$229</f>
        <v>0</v>
      </c>
      <c r="AC229" s="6">
        <f>$M$229*$W$229</f>
        <v>11774.683499999999</v>
      </c>
      <c r="AD229" s="6">
        <f>$O$229*$X$229</f>
        <v>3261.9367499999998</v>
      </c>
      <c r="AE229" s="6">
        <f>$K$229*$Y$229</f>
        <v>0</v>
      </c>
      <c r="AF229" s="6">
        <f ca="1">$M$229*$Z$229</f>
        <v>13331.428373146467</v>
      </c>
      <c r="AG229" s="6">
        <f>$O$229*$AA$229</f>
        <v>4489.6714673452043</v>
      </c>
    </row>
    <row r="230" spans="1:33" ht="11.25" customHeight="1" x14ac:dyDescent="0.3">
      <c r="A230" s="4" t="s">
        <v>21</v>
      </c>
      <c r="B230" s="4" t="s">
        <v>22</v>
      </c>
      <c r="C230" s="4" t="s">
        <v>23</v>
      </c>
      <c r="D230" s="4" t="s">
        <v>24</v>
      </c>
      <c r="E230" s="4" t="s">
        <v>29</v>
      </c>
      <c r="F230" s="4" t="s">
        <v>25</v>
      </c>
      <c r="G230" s="4" t="s">
        <v>25</v>
      </c>
      <c r="H230" s="4" t="s">
        <v>25</v>
      </c>
      <c r="I230" s="5">
        <v>44287</v>
      </c>
      <c r="J230" s="6">
        <v>0</v>
      </c>
      <c r="K230" s="6">
        <v>0</v>
      </c>
      <c r="L230" s="6">
        <v>1.95</v>
      </c>
      <c r="M230" s="6">
        <v>1.95</v>
      </c>
      <c r="N230" s="6">
        <v>1.95</v>
      </c>
      <c r="O230" s="6">
        <v>1.95</v>
      </c>
      <c r="P230" s="6">
        <v>2</v>
      </c>
      <c r="Q230" s="4" t="s">
        <v>26</v>
      </c>
      <c r="R230" s="4">
        <v>0</v>
      </c>
      <c r="S230" s="6">
        <v>0</v>
      </c>
      <c r="T230" s="6">
        <v>9</v>
      </c>
      <c r="U230" s="6">
        <v>75</v>
      </c>
      <c r="V230" s="6">
        <f>IF(ISERROR(VLOOKUP($S$230,'TAR FIN'!$A$1:$O$85,15,0)),0,VLOOKUP($S$230,'TAR FIN'!$A$1:$O$85,15,0))</f>
        <v>0</v>
      </c>
      <c r="W230" s="6">
        <f>IF(ISERROR(VLOOKUP($T$230,'TAR FIN'!$A$1:$O$85,15,0)),0,VLOOKUP($T$230,'TAR FIN'!$A$1:$O$85,15,0))</f>
        <v>273.68</v>
      </c>
      <c r="X230" s="6">
        <f>IF(ISERROR(VLOOKUP($U$230,'TAR FIN'!$A$1:$O$85,15,0)),0,VLOOKUP($U$230,'TAR FIN'!$A$1:$O$85,15,0))</f>
        <v>84.1</v>
      </c>
      <c r="Y230" s="6"/>
      <c r="Z230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230" s="6">
        <f>('TE BE'!$AA$12+'TE BF'!$AA$12+'TE CVA'!$AA$12)*(1-CUSTOS!$M$34)</f>
        <v>115.75580210466457</v>
      </c>
      <c r="AB230" s="6">
        <f>$K$230*$V$230</f>
        <v>0</v>
      </c>
      <c r="AC230" s="6">
        <f>$M$230*$W$230</f>
        <v>533.67600000000004</v>
      </c>
      <c r="AD230" s="6">
        <f>$O$230*$X$230</f>
        <v>163.99499999999998</v>
      </c>
      <c r="AE230" s="6">
        <f>$K$230*$Y$230</f>
        <v>0</v>
      </c>
      <c r="AF230" s="6">
        <f ca="1">$M$230*$Z$230</f>
        <v>587.38628047953739</v>
      </c>
      <c r="AG230" s="6">
        <f>$O$230*$AA$230</f>
        <v>225.72381410409591</v>
      </c>
    </row>
    <row r="231" spans="1:33" ht="11.25" customHeight="1" x14ac:dyDescent="0.3">
      <c r="A231" s="4" t="s">
        <v>21</v>
      </c>
      <c r="B231" s="4" t="s">
        <v>22</v>
      </c>
      <c r="C231" s="4" t="s">
        <v>23</v>
      </c>
      <c r="D231" s="4" t="s">
        <v>24</v>
      </c>
      <c r="E231" s="4" t="s">
        <v>29</v>
      </c>
      <c r="F231" s="4" t="s">
        <v>25</v>
      </c>
      <c r="G231" s="4" t="s">
        <v>25</v>
      </c>
      <c r="H231" s="4" t="s">
        <v>25</v>
      </c>
      <c r="I231" s="5">
        <v>44317</v>
      </c>
      <c r="J231" s="6">
        <v>0</v>
      </c>
      <c r="K231" s="6">
        <v>0</v>
      </c>
      <c r="L231" s="6">
        <v>2.13</v>
      </c>
      <c r="M231" s="6">
        <v>2.13</v>
      </c>
      <c r="N231" s="6">
        <v>2.13</v>
      </c>
      <c r="O231" s="6">
        <v>2.13</v>
      </c>
      <c r="P231" s="6">
        <v>3</v>
      </c>
      <c r="Q231" s="4" t="s">
        <v>26</v>
      </c>
      <c r="R231" s="4">
        <v>0</v>
      </c>
      <c r="S231" s="6">
        <v>0</v>
      </c>
      <c r="T231" s="6">
        <v>9</v>
      </c>
      <c r="U231" s="6">
        <v>75</v>
      </c>
      <c r="V231" s="6">
        <f>IF(ISERROR(VLOOKUP($S$231,'TAR FIN'!$A$1:$O$85,15,0)),0,VLOOKUP($S$231,'TAR FIN'!$A$1:$O$85,15,0))</f>
        <v>0</v>
      </c>
      <c r="W231" s="6">
        <f>IF(ISERROR(VLOOKUP($T$231,'TAR FIN'!$A$1:$O$85,15,0)),0,VLOOKUP($T$231,'TAR FIN'!$A$1:$O$85,15,0))</f>
        <v>273.68</v>
      </c>
      <c r="X231" s="6">
        <f>IF(ISERROR(VLOOKUP($U$231,'TAR FIN'!$A$1:$O$85,15,0)),0,VLOOKUP($U$231,'TAR FIN'!$A$1:$O$85,15,0))</f>
        <v>84.1</v>
      </c>
      <c r="Y231" s="6"/>
      <c r="Z231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231" s="6">
        <f>('TE BE'!$AA$12+'TE BF'!$AA$12+'TE CVA'!$AA$12)*(1-CUSTOS!$M$34)</f>
        <v>115.75580210466457</v>
      </c>
      <c r="AB231" s="6">
        <f>$K$231*$V$231</f>
        <v>0</v>
      </c>
      <c r="AC231" s="6">
        <f>$M$231*$W$231</f>
        <v>582.9384</v>
      </c>
      <c r="AD231" s="6">
        <f>$O$231*$X$231</f>
        <v>179.13299999999998</v>
      </c>
      <c r="AE231" s="6">
        <f>$K$231*$Y$231</f>
        <v>0</v>
      </c>
      <c r="AF231" s="6">
        <f ca="1">$M$231*$Z$231</f>
        <v>641.60655252380229</v>
      </c>
      <c r="AG231" s="6">
        <f>$O$231*$AA$231</f>
        <v>246.55985848293551</v>
      </c>
    </row>
    <row r="232" spans="1:33" ht="11.25" customHeight="1" x14ac:dyDescent="0.3">
      <c r="A232" s="4" t="s">
        <v>21</v>
      </c>
      <c r="B232" s="4" t="s">
        <v>22</v>
      </c>
      <c r="C232" s="4" t="s">
        <v>23</v>
      </c>
      <c r="D232" s="4" t="s">
        <v>24</v>
      </c>
      <c r="E232" s="4" t="s">
        <v>29</v>
      </c>
      <c r="F232" s="4" t="s">
        <v>25</v>
      </c>
      <c r="G232" s="4" t="s">
        <v>25</v>
      </c>
      <c r="H232" s="4" t="s">
        <v>25</v>
      </c>
      <c r="I232" s="5">
        <v>44348</v>
      </c>
      <c r="J232" s="6">
        <v>0</v>
      </c>
      <c r="K232" s="6">
        <v>0</v>
      </c>
      <c r="L232" s="6">
        <v>2.2200000000000002</v>
      </c>
      <c r="M232" s="6">
        <v>2.2200000000000002</v>
      </c>
      <c r="N232" s="6">
        <v>2.2200000000000002</v>
      </c>
      <c r="O232" s="6">
        <v>2.2200000000000002</v>
      </c>
      <c r="P232" s="6">
        <v>3</v>
      </c>
      <c r="Q232" s="4" t="s">
        <v>26</v>
      </c>
      <c r="R232" s="4">
        <v>0</v>
      </c>
      <c r="S232" s="6">
        <v>0</v>
      </c>
      <c r="T232" s="6">
        <v>9</v>
      </c>
      <c r="U232" s="6">
        <v>75</v>
      </c>
      <c r="V232" s="6">
        <f>IF(ISERROR(VLOOKUP($S$232,'TAR FIN'!$A$1:$O$85,15,0)),0,VLOOKUP($S$232,'TAR FIN'!$A$1:$O$85,15,0))</f>
        <v>0</v>
      </c>
      <c r="W232" s="6">
        <f>IF(ISERROR(VLOOKUP($T$232,'TAR FIN'!$A$1:$O$85,15,0)),0,VLOOKUP($T$232,'TAR FIN'!$A$1:$O$85,15,0))</f>
        <v>273.68</v>
      </c>
      <c r="X232" s="6">
        <f>IF(ISERROR(VLOOKUP($U$232,'TAR FIN'!$A$1:$O$85,15,0)),0,VLOOKUP($U$232,'TAR FIN'!$A$1:$O$85,15,0))</f>
        <v>84.1</v>
      </c>
      <c r="Y232" s="6"/>
      <c r="Z232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232" s="6">
        <f>('TE BE'!$AA$12+'TE BF'!$AA$12+'TE CVA'!$AA$12)*(1-CUSTOS!$M$34)</f>
        <v>115.75580210466457</v>
      </c>
      <c r="AB232" s="6">
        <f>$K$232*$V$232</f>
        <v>0</v>
      </c>
      <c r="AC232" s="6">
        <f>$M$232*$W$232</f>
        <v>607.56960000000004</v>
      </c>
      <c r="AD232" s="6">
        <f>$O$232*$X$232</f>
        <v>186.702</v>
      </c>
      <c r="AE232" s="6">
        <f>$K$232*$Y$232</f>
        <v>0</v>
      </c>
      <c r="AF232" s="6">
        <f ca="1">$M$232*$Z$232</f>
        <v>668.71668854593497</v>
      </c>
      <c r="AG232" s="6">
        <f>$O$232*$AA$232</f>
        <v>256.97788067235535</v>
      </c>
    </row>
    <row r="233" spans="1:33" ht="11.25" customHeight="1" x14ac:dyDescent="0.3">
      <c r="A233" s="4" t="s">
        <v>21</v>
      </c>
      <c r="B233" s="4" t="s">
        <v>22</v>
      </c>
      <c r="C233" s="4" t="s">
        <v>23</v>
      </c>
      <c r="D233" s="4" t="s">
        <v>24</v>
      </c>
      <c r="E233" s="4" t="s">
        <v>29</v>
      </c>
      <c r="F233" s="4" t="s">
        <v>25</v>
      </c>
      <c r="G233" s="4" t="s">
        <v>25</v>
      </c>
      <c r="H233" s="4" t="s">
        <v>25</v>
      </c>
      <c r="I233" s="5">
        <v>44378</v>
      </c>
      <c r="J233" s="6">
        <v>0</v>
      </c>
      <c r="K233" s="6">
        <v>0</v>
      </c>
      <c r="L233" s="6">
        <v>2.2799999999999998</v>
      </c>
      <c r="M233" s="6">
        <v>2.2799999999999998</v>
      </c>
      <c r="N233" s="6">
        <v>2.2799999999999998</v>
      </c>
      <c r="O233" s="6">
        <v>2.2799999999999998</v>
      </c>
      <c r="P233" s="6">
        <v>3</v>
      </c>
      <c r="Q233" s="4" t="s">
        <v>26</v>
      </c>
      <c r="R233" s="4">
        <v>0</v>
      </c>
      <c r="S233" s="6">
        <v>0</v>
      </c>
      <c r="T233" s="6">
        <v>9</v>
      </c>
      <c r="U233" s="6">
        <v>75</v>
      </c>
      <c r="V233" s="6">
        <f>IF(ISERROR(VLOOKUP($S$233,'TAR FIN'!$A$1:$O$85,15,0)),0,VLOOKUP($S$233,'TAR FIN'!$A$1:$O$85,15,0))</f>
        <v>0</v>
      </c>
      <c r="W233" s="6">
        <f>IF(ISERROR(VLOOKUP($T$233,'TAR FIN'!$A$1:$O$85,15,0)),0,VLOOKUP($T$233,'TAR FIN'!$A$1:$O$85,15,0))</f>
        <v>273.68</v>
      </c>
      <c r="X233" s="6">
        <f>IF(ISERROR(VLOOKUP($U$233,'TAR FIN'!$A$1:$O$85,15,0)),0,VLOOKUP($U$233,'TAR FIN'!$A$1:$O$85,15,0))</f>
        <v>84.1</v>
      </c>
      <c r="Y233" s="6"/>
      <c r="Z233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233" s="6">
        <f>('TE BE'!$AA$12+'TE BF'!$AA$12+'TE CVA'!$AA$12)*(1-CUSTOS!$M$34)</f>
        <v>115.75580210466457</v>
      </c>
      <c r="AB233" s="6">
        <f>$K$233*$V$233</f>
        <v>0</v>
      </c>
      <c r="AC233" s="6">
        <f>$M$233*$W$233</f>
        <v>623.99039999999991</v>
      </c>
      <c r="AD233" s="6">
        <f>$O$233*$X$233</f>
        <v>191.74799999999996</v>
      </c>
      <c r="AE233" s="6">
        <f>$K$233*$Y$233</f>
        <v>0</v>
      </c>
      <c r="AF233" s="6">
        <f ca="1">$M$233*$Z$233</f>
        <v>686.79011256068975</v>
      </c>
      <c r="AG233" s="6">
        <f>$O$233*$AA$233</f>
        <v>263.92322879863519</v>
      </c>
    </row>
    <row r="234" spans="1:33" ht="11.25" customHeight="1" x14ac:dyDescent="0.3">
      <c r="A234" s="4" t="s">
        <v>21</v>
      </c>
      <c r="B234" s="4" t="s">
        <v>22</v>
      </c>
      <c r="C234" s="4" t="s">
        <v>23</v>
      </c>
      <c r="D234" s="4" t="s">
        <v>24</v>
      </c>
      <c r="E234" s="4" t="s">
        <v>29</v>
      </c>
      <c r="F234" s="4" t="s">
        <v>25</v>
      </c>
      <c r="G234" s="4" t="s">
        <v>25</v>
      </c>
      <c r="H234" s="4" t="s">
        <v>25</v>
      </c>
      <c r="I234" s="5">
        <v>44409</v>
      </c>
      <c r="J234" s="6">
        <v>0</v>
      </c>
      <c r="K234" s="6">
        <v>0</v>
      </c>
      <c r="L234" s="6">
        <v>2.31</v>
      </c>
      <c r="M234" s="6">
        <v>2.31</v>
      </c>
      <c r="N234" s="6">
        <v>2.31</v>
      </c>
      <c r="O234" s="6">
        <v>2.31</v>
      </c>
      <c r="P234" s="6">
        <v>5</v>
      </c>
      <c r="Q234" s="4" t="s">
        <v>26</v>
      </c>
      <c r="R234" s="4">
        <v>0</v>
      </c>
      <c r="S234" s="6">
        <v>0</v>
      </c>
      <c r="T234" s="6">
        <v>9</v>
      </c>
      <c r="U234" s="6">
        <v>75</v>
      </c>
      <c r="V234" s="6">
        <f>IF(ISERROR(VLOOKUP($S$234,'TAR FIN'!$A$1:$O$85,15,0)),0,VLOOKUP($S$234,'TAR FIN'!$A$1:$O$85,15,0))</f>
        <v>0</v>
      </c>
      <c r="W234" s="6">
        <f>IF(ISERROR(VLOOKUP($T$234,'TAR FIN'!$A$1:$O$85,15,0)),0,VLOOKUP($T$234,'TAR FIN'!$A$1:$O$85,15,0))</f>
        <v>273.68</v>
      </c>
      <c r="X234" s="6">
        <f>IF(ISERROR(VLOOKUP($U$234,'TAR FIN'!$A$1:$O$85,15,0)),0,VLOOKUP($U$234,'TAR FIN'!$A$1:$O$85,15,0))</f>
        <v>84.1</v>
      </c>
      <c r="Y234" s="6"/>
      <c r="Z234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234" s="6">
        <f>('TE BE'!$AA$12+'TE BF'!$AA$12+'TE CVA'!$AA$12)*(1-CUSTOS!$M$34)</f>
        <v>115.75580210466457</v>
      </c>
      <c r="AB234" s="6">
        <f>$K$234*$V$234</f>
        <v>0</v>
      </c>
      <c r="AC234" s="6">
        <f>$M$234*$W$234</f>
        <v>632.20080000000007</v>
      </c>
      <c r="AD234" s="6">
        <f>$O$234*$X$234</f>
        <v>194.27099999999999</v>
      </c>
      <c r="AE234" s="6">
        <f>$K$234*$Y$234</f>
        <v>0</v>
      </c>
      <c r="AF234" s="6">
        <f ca="1">$M$234*$Z$234</f>
        <v>695.82682456806742</v>
      </c>
      <c r="AG234" s="6">
        <f>$O$234*$AA$234</f>
        <v>267.39590286177514</v>
      </c>
    </row>
    <row r="235" spans="1:33" ht="11.25" customHeight="1" x14ac:dyDescent="0.3">
      <c r="A235" s="4" t="s">
        <v>21</v>
      </c>
      <c r="B235" s="4" t="s">
        <v>22</v>
      </c>
      <c r="C235" s="4" t="s">
        <v>23</v>
      </c>
      <c r="D235" s="4" t="s">
        <v>24</v>
      </c>
      <c r="E235" s="4" t="s">
        <v>29</v>
      </c>
      <c r="F235" s="4" t="s">
        <v>25</v>
      </c>
      <c r="G235" s="4" t="s">
        <v>25</v>
      </c>
      <c r="H235" s="4" t="s">
        <v>25</v>
      </c>
      <c r="I235" s="5">
        <v>44440</v>
      </c>
      <c r="J235" s="6">
        <v>0</v>
      </c>
      <c r="K235" s="6">
        <v>0</v>
      </c>
      <c r="L235" s="6">
        <v>2.34</v>
      </c>
      <c r="M235" s="6">
        <v>2.34</v>
      </c>
      <c r="N235" s="6">
        <v>2.34</v>
      </c>
      <c r="O235" s="6">
        <v>2.34</v>
      </c>
      <c r="P235" s="6">
        <v>2</v>
      </c>
      <c r="Q235" s="4" t="s">
        <v>26</v>
      </c>
      <c r="R235" s="4">
        <v>0</v>
      </c>
      <c r="S235" s="6">
        <v>0</v>
      </c>
      <c r="T235" s="6">
        <v>9</v>
      </c>
      <c r="U235" s="6">
        <v>75</v>
      </c>
      <c r="V235" s="6">
        <f>IF(ISERROR(VLOOKUP($S$235,'TAR FIN'!$A$1:$O$85,15,0)),0,VLOOKUP($S$235,'TAR FIN'!$A$1:$O$85,15,0))</f>
        <v>0</v>
      </c>
      <c r="W235" s="6">
        <f>IF(ISERROR(VLOOKUP($T$235,'TAR FIN'!$A$1:$O$85,15,0)),0,VLOOKUP($T$235,'TAR FIN'!$A$1:$O$85,15,0))</f>
        <v>273.68</v>
      </c>
      <c r="X235" s="6">
        <f>IF(ISERROR(VLOOKUP($U$235,'TAR FIN'!$A$1:$O$85,15,0)),0,VLOOKUP($U$235,'TAR FIN'!$A$1:$O$85,15,0))</f>
        <v>84.1</v>
      </c>
      <c r="Y235" s="6"/>
      <c r="Z235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235" s="6">
        <f>('TE BE'!$AA$12+'TE BF'!$AA$12+'TE CVA'!$AA$12)*(1-CUSTOS!$M$34)</f>
        <v>115.75580210466457</v>
      </c>
      <c r="AB235" s="6">
        <f>$K$235*$V$235</f>
        <v>0</v>
      </c>
      <c r="AC235" s="6">
        <f>$M$235*$W$235</f>
        <v>640.41120000000001</v>
      </c>
      <c r="AD235" s="6">
        <f>$O$235*$X$235</f>
        <v>196.79399999999998</v>
      </c>
      <c r="AE235" s="6">
        <f>$K$235*$Y$235</f>
        <v>0</v>
      </c>
      <c r="AF235" s="6">
        <f ca="1">$M$235*$Z$235</f>
        <v>704.86353657544487</v>
      </c>
      <c r="AG235" s="6">
        <f>$O$235*$AA$235</f>
        <v>270.86857692491509</v>
      </c>
    </row>
    <row r="236" spans="1:33" ht="11.25" customHeight="1" x14ac:dyDescent="0.3">
      <c r="A236" s="4" t="s">
        <v>21</v>
      </c>
      <c r="B236" s="4" t="s">
        <v>22</v>
      </c>
      <c r="C236" s="4" t="s">
        <v>23</v>
      </c>
      <c r="D236" s="4" t="s">
        <v>24</v>
      </c>
      <c r="E236" s="4" t="s">
        <v>29</v>
      </c>
      <c r="F236" s="4" t="s">
        <v>25</v>
      </c>
      <c r="G236" s="4" t="s">
        <v>25</v>
      </c>
      <c r="H236" s="4" t="s">
        <v>25</v>
      </c>
      <c r="I236" s="5">
        <v>44470</v>
      </c>
      <c r="J236" s="6">
        <v>0</v>
      </c>
      <c r="K236" s="6">
        <v>0</v>
      </c>
      <c r="L236" s="6">
        <v>2.4300000000000002</v>
      </c>
      <c r="M236" s="6">
        <v>2.4300000000000002</v>
      </c>
      <c r="N236" s="6">
        <v>2.4300000000000002</v>
      </c>
      <c r="O236" s="6">
        <v>2.4300000000000002</v>
      </c>
      <c r="P236" s="6">
        <v>2</v>
      </c>
      <c r="Q236" s="4" t="s">
        <v>26</v>
      </c>
      <c r="R236" s="4">
        <v>0</v>
      </c>
      <c r="S236" s="6">
        <v>0</v>
      </c>
      <c r="T236" s="6">
        <v>9</v>
      </c>
      <c r="U236" s="6">
        <v>75</v>
      </c>
      <c r="V236" s="6">
        <f>IF(ISERROR(VLOOKUP($S$236,'TAR FIN'!$A$1:$O$85,15,0)),0,VLOOKUP($S$236,'TAR FIN'!$A$1:$O$85,15,0))</f>
        <v>0</v>
      </c>
      <c r="W236" s="6">
        <f>IF(ISERROR(VLOOKUP($T$236,'TAR FIN'!$A$1:$O$85,15,0)),0,VLOOKUP($T$236,'TAR FIN'!$A$1:$O$85,15,0))</f>
        <v>273.68</v>
      </c>
      <c r="X236" s="6">
        <f>IF(ISERROR(VLOOKUP($U$236,'TAR FIN'!$A$1:$O$85,15,0)),0,VLOOKUP($U$236,'TAR FIN'!$A$1:$O$85,15,0))</f>
        <v>84.1</v>
      </c>
      <c r="Y236" s="6"/>
      <c r="Z236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236" s="6">
        <f>('TE BE'!$AA$12+'TE BF'!$AA$12+'TE CVA'!$AA$12)*(1-CUSTOS!$M$34)</f>
        <v>115.75580210466457</v>
      </c>
      <c r="AB236" s="6">
        <f>$K$236*$V$236</f>
        <v>0</v>
      </c>
      <c r="AC236" s="6">
        <f>$M$236*$W$236</f>
        <v>665.04240000000004</v>
      </c>
      <c r="AD236" s="6">
        <f>$O$236*$X$236</f>
        <v>204.363</v>
      </c>
      <c r="AE236" s="6">
        <f>$K$236*$Y$236</f>
        <v>0</v>
      </c>
      <c r="AF236" s="6">
        <f ca="1">$M$236*$Z$236</f>
        <v>731.97367259757743</v>
      </c>
      <c r="AG236" s="6">
        <f>$O$236*$AA$236</f>
        <v>281.28659911433493</v>
      </c>
    </row>
    <row r="237" spans="1:33" ht="11.25" customHeight="1" x14ac:dyDescent="0.3">
      <c r="A237" s="4" t="s">
        <v>21</v>
      </c>
      <c r="B237" s="4" t="s">
        <v>22</v>
      </c>
      <c r="C237" s="4" t="s">
        <v>23</v>
      </c>
      <c r="D237" s="4" t="s">
        <v>24</v>
      </c>
      <c r="E237" s="4" t="s">
        <v>29</v>
      </c>
      <c r="F237" s="4" t="s">
        <v>25</v>
      </c>
      <c r="G237" s="4" t="s">
        <v>25</v>
      </c>
      <c r="H237" s="4" t="s">
        <v>25</v>
      </c>
      <c r="I237" s="5">
        <v>44501</v>
      </c>
      <c r="J237" s="6">
        <v>0</v>
      </c>
      <c r="K237" s="6">
        <v>0</v>
      </c>
      <c r="L237" s="6">
        <v>2.64</v>
      </c>
      <c r="M237" s="6">
        <v>2.64</v>
      </c>
      <c r="N237" s="6">
        <v>2.64</v>
      </c>
      <c r="O237" s="6">
        <v>2.64</v>
      </c>
      <c r="P237" s="6">
        <v>5</v>
      </c>
      <c r="Q237" s="4" t="s">
        <v>26</v>
      </c>
      <c r="R237" s="4">
        <v>0</v>
      </c>
      <c r="S237" s="6">
        <v>0</v>
      </c>
      <c r="T237" s="6">
        <v>9</v>
      </c>
      <c r="U237" s="6">
        <v>75</v>
      </c>
      <c r="V237" s="6">
        <f>IF(ISERROR(VLOOKUP($S$237,'TAR FIN'!$A$1:$O$85,15,0)),0,VLOOKUP($S$237,'TAR FIN'!$A$1:$O$85,15,0))</f>
        <v>0</v>
      </c>
      <c r="W237" s="6">
        <f>IF(ISERROR(VLOOKUP($T$237,'TAR FIN'!$A$1:$O$85,15,0)),0,VLOOKUP($T$237,'TAR FIN'!$A$1:$O$85,15,0))</f>
        <v>273.68</v>
      </c>
      <c r="X237" s="6">
        <f>IF(ISERROR(VLOOKUP($U$237,'TAR FIN'!$A$1:$O$85,15,0)),0,VLOOKUP($U$237,'TAR FIN'!$A$1:$O$85,15,0))</f>
        <v>84.1</v>
      </c>
      <c r="Y237" s="6"/>
      <c r="Z237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237" s="6">
        <f>('TE BE'!$AA$12+'TE BF'!$AA$12+'TE CVA'!$AA$12)*(1-CUSTOS!$M$34)</f>
        <v>115.75580210466457</v>
      </c>
      <c r="AB237" s="6">
        <f>$K$237*$V$237</f>
        <v>0</v>
      </c>
      <c r="AC237" s="6">
        <f>$M$237*$W$237</f>
        <v>722.51520000000005</v>
      </c>
      <c r="AD237" s="6">
        <f>$O$237*$X$237</f>
        <v>222.024</v>
      </c>
      <c r="AE237" s="6">
        <f>$K$237*$Y$237</f>
        <v>0</v>
      </c>
      <c r="AF237" s="6">
        <f ca="1">$M$237*$Z$237</f>
        <v>795.2306566492199</v>
      </c>
      <c r="AG237" s="6">
        <f>$O$237*$AA$237</f>
        <v>305.59531755631446</v>
      </c>
    </row>
    <row r="238" spans="1:33" ht="11.25" customHeight="1" x14ac:dyDescent="0.3">
      <c r="A238" s="4" t="s">
        <v>21</v>
      </c>
      <c r="B238" s="4" t="s">
        <v>22</v>
      </c>
      <c r="C238" s="4" t="s">
        <v>23</v>
      </c>
      <c r="D238" s="4" t="s">
        <v>24</v>
      </c>
      <c r="E238" s="4" t="s">
        <v>29</v>
      </c>
      <c r="F238" s="4" t="s">
        <v>25</v>
      </c>
      <c r="G238" s="4" t="s">
        <v>25</v>
      </c>
      <c r="H238" s="4" t="s">
        <v>25</v>
      </c>
      <c r="I238" s="5">
        <v>44531</v>
      </c>
      <c r="J238" s="6">
        <v>0</v>
      </c>
      <c r="K238" s="6">
        <v>0</v>
      </c>
      <c r="L238" s="6">
        <v>2.73</v>
      </c>
      <c r="M238" s="6">
        <v>2.73</v>
      </c>
      <c r="N238" s="6">
        <v>2.73</v>
      </c>
      <c r="O238" s="6">
        <v>2.73</v>
      </c>
      <c r="P238" s="6">
        <v>5</v>
      </c>
      <c r="Q238" s="4" t="s">
        <v>26</v>
      </c>
      <c r="R238" s="4">
        <v>0</v>
      </c>
      <c r="S238" s="6">
        <v>0</v>
      </c>
      <c r="T238" s="6">
        <v>9</v>
      </c>
      <c r="U238" s="6">
        <v>75</v>
      </c>
      <c r="V238" s="6">
        <f>IF(ISERROR(VLOOKUP($S$238,'TAR FIN'!$A$1:$O$85,15,0)),0,VLOOKUP($S$238,'TAR FIN'!$A$1:$O$85,15,0))</f>
        <v>0</v>
      </c>
      <c r="W238" s="6">
        <f>IF(ISERROR(VLOOKUP($T$238,'TAR FIN'!$A$1:$O$85,15,0)),0,VLOOKUP($T$238,'TAR FIN'!$A$1:$O$85,15,0))</f>
        <v>273.68</v>
      </c>
      <c r="X238" s="6">
        <f>IF(ISERROR(VLOOKUP($U$238,'TAR FIN'!$A$1:$O$85,15,0)),0,VLOOKUP($U$238,'TAR FIN'!$A$1:$O$85,15,0))</f>
        <v>84.1</v>
      </c>
      <c r="Y238" s="6"/>
      <c r="Z238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238" s="6">
        <f>('TE BE'!$AA$12+'TE BF'!$AA$12+'TE CVA'!$AA$12)*(1-CUSTOS!$M$34)</f>
        <v>115.75580210466457</v>
      </c>
      <c r="AB238" s="6">
        <f>$K$238*$V$238</f>
        <v>0</v>
      </c>
      <c r="AC238" s="6">
        <f>$M$238*$W$238</f>
        <v>747.14639999999997</v>
      </c>
      <c r="AD238" s="6">
        <f>$O$238*$X$238</f>
        <v>229.59299999999999</v>
      </c>
      <c r="AE238" s="6">
        <f>$K$238*$Y$238</f>
        <v>0</v>
      </c>
      <c r="AF238" s="6">
        <f ca="1">$M$238*$Z$238</f>
        <v>822.34079267135235</v>
      </c>
      <c r="AG238" s="6">
        <f>$O$238*$AA$238</f>
        <v>316.01333974573424</v>
      </c>
    </row>
    <row r="239" spans="1:33" ht="11.25" customHeight="1" x14ac:dyDescent="0.3">
      <c r="A239" s="4" t="s">
        <v>21</v>
      </c>
      <c r="B239" s="4" t="s">
        <v>22</v>
      </c>
      <c r="C239" s="4" t="s">
        <v>23</v>
      </c>
      <c r="D239" s="4" t="s">
        <v>24</v>
      </c>
      <c r="E239" s="4" t="s">
        <v>29</v>
      </c>
      <c r="F239" s="4" t="s">
        <v>25</v>
      </c>
      <c r="G239" s="4" t="s">
        <v>25</v>
      </c>
      <c r="H239" s="4" t="s">
        <v>25</v>
      </c>
      <c r="I239" s="5">
        <v>44562</v>
      </c>
      <c r="J239" s="6">
        <v>0</v>
      </c>
      <c r="K239" s="6">
        <v>0</v>
      </c>
      <c r="L239" s="6">
        <v>2.73</v>
      </c>
      <c r="M239" s="6">
        <v>2.73</v>
      </c>
      <c r="N239" s="6">
        <v>2.73</v>
      </c>
      <c r="O239" s="6">
        <v>2.73</v>
      </c>
      <c r="P239" s="6">
        <v>3</v>
      </c>
      <c r="Q239" s="4" t="s">
        <v>26</v>
      </c>
      <c r="R239" s="4">
        <v>0</v>
      </c>
      <c r="S239" s="6">
        <v>0</v>
      </c>
      <c r="T239" s="6">
        <v>9</v>
      </c>
      <c r="U239" s="6">
        <v>75</v>
      </c>
      <c r="V239" s="6">
        <f>IF(ISERROR(VLOOKUP($S$239,'TAR FIN'!$A$1:$O$85,15,0)),0,VLOOKUP($S$239,'TAR FIN'!$A$1:$O$85,15,0))</f>
        <v>0</v>
      </c>
      <c r="W239" s="6">
        <f>IF(ISERROR(VLOOKUP($T$239,'TAR FIN'!$A$1:$O$85,15,0)),0,VLOOKUP($T$239,'TAR FIN'!$A$1:$O$85,15,0))</f>
        <v>273.68</v>
      </c>
      <c r="X239" s="6">
        <f>IF(ISERROR(VLOOKUP($U$239,'TAR FIN'!$A$1:$O$85,15,0)),0,VLOOKUP($U$239,'TAR FIN'!$A$1:$O$85,15,0))</f>
        <v>84.1</v>
      </c>
      <c r="Y239" s="6"/>
      <c r="Z239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239" s="6">
        <f>('TE BE'!$AA$12+'TE BF'!$AA$12+'TE CVA'!$AA$12)*(1-CUSTOS!$M$34)</f>
        <v>115.75580210466457</v>
      </c>
      <c r="AB239" s="6">
        <f>$K$239*$V$239</f>
        <v>0</v>
      </c>
      <c r="AC239" s="6">
        <f>$M$239*$W$239</f>
        <v>747.14639999999997</v>
      </c>
      <c r="AD239" s="6">
        <f>$O$239*$X$239</f>
        <v>229.59299999999999</v>
      </c>
      <c r="AE239" s="6">
        <f>$K$239*$Y$239</f>
        <v>0</v>
      </c>
      <c r="AF239" s="6">
        <f ca="1">$M$239*$Z$239</f>
        <v>822.34079267135235</v>
      </c>
      <c r="AG239" s="6">
        <f>$O$239*$AA$239</f>
        <v>316.01333974573424</v>
      </c>
    </row>
    <row r="240" spans="1:33" ht="11.25" customHeight="1" x14ac:dyDescent="0.3">
      <c r="A240" s="4" t="s">
        <v>21</v>
      </c>
      <c r="B240" s="4" t="s">
        <v>22</v>
      </c>
      <c r="C240" s="4" t="s">
        <v>23</v>
      </c>
      <c r="D240" s="4" t="s">
        <v>24</v>
      </c>
      <c r="E240" s="4" t="s">
        <v>29</v>
      </c>
      <c r="F240" s="4" t="s">
        <v>25</v>
      </c>
      <c r="G240" s="4" t="s">
        <v>25</v>
      </c>
      <c r="H240" s="4" t="s">
        <v>25</v>
      </c>
      <c r="I240" s="5">
        <v>44593</v>
      </c>
      <c r="J240" s="6">
        <v>0</v>
      </c>
      <c r="K240" s="6">
        <v>0</v>
      </c>
      <c r="L240" s="6">
        <v>3.15</v>
      </c>
      <c r="M240" s="6">
        <v>3.15</v>
      </c>
      <c r="N240" s="6">
        <v>3.15</v>
      </c>
      <c r="O240" s="6">
        <v>3.15</v>
      </c>
      <c r="P240" s="6">
        <v>4</v>
      </c>
      <c r="Q240" s="4" t="s">
        <v>26</v>
      </c>
      <c r="R240" s="4">
        <v>0</v>
      </c>
      <c r="S240" s="6">
        <v>0</v>
      </c>
      <c r="T240" s="6">
        <v>9</v>
      </c>
      <c r="U240" s="6">
        <v>75</v>
      </c>
      <c r="V240" s="6">
        <f>IF(ISERROR(VLOOKUP($S$240,'TAR FIN'!$A$1:$O$85,15,0)),0,VLOOKUP($S$240,'TAR FIN'!$A$1:$O$85,15,0))</f>
        <v>0</v>
      </c>
      <c r="W240" s="6">
        <f>IF(ISERROR(VLOOKUP($T$240,'TAR FIN'!$A$1:$O$85,15,0)),0,VLOOKUP($T$240,'TAR FIN'!$A$1:$O$85,15,0))</f>
        <v>273.68</v>
      </c>
      <c r="X240" s="6">
        <f>IF(ISERROR(VLOOKUP($U$240,'TAR FIN'!$A$1:$O$85,15,0)),0,VLOOKUP($U$240,'TAR FIN'!$A$1:$O$85,15,0))</f>
        <v>84.1</v>
      </c>
      <c r="Y240" s="6"/>
      <c r="Z240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240" s="6">
        <f>('TE BE'!$AA$12+'TE BF'!$AA$12+'TE CVA'!$AA$12)*(1-CUSTOS!$M$34)</f>
        <v>115.75580210466457</v>
      </c>
      <c r="AB240" s="6">
        <f>$K$240*$V$240</f>
        <v>0</v>
      </c>
      <c r="AC240" s="6">
        <f>$M$240*$W$240</f>
        <v>862.09199999999998</v>
      </c>
      <c r="AD240" s="6">
        <f>$O$240*$X$240</f>
        <v>264.91499999999996</v>
      </c>
      <c r="AE240" s="6">
        <f>$K$240*$Y$240</f>
        <v>0</v>
      </c>
      <c r="AF240" s="6">
        <f ca="1">$M$240*$Z$240</f>
        <v>948.85476077463727</v>
      </c>
      <c r="AG240" s="6">
        <f>$O$240*$AA$240</f>
        <v>364.6307766296934</v>
      </c>
    </row>
    <row r="241" spans="1:33" ht="11.25" customHeight="1" x14ac:dyDescent="0.3">
      <c r="A241" s="4" t="s">
        <v>21</v>
      </c>
      <c r="B241" s="4" t="s">
        <v>22</v>
      </c>
      <c r="C241" s="4" t="s">
        <v>23</v>
      </c>
      <c r="D241" s="4" t="s">
        <v>24</v>
      </c>
      <c r="E241" s="4" t="s">
        <v>29</v>
      </c>
      <c r="F241" s="4" t="s">
        <v>25</v>
      </c>
      <c r="G241" s="4" t="s">
        <v>25</v>
      </c>
      <c r="H241" s="4" t="s">
        <v>25</v>
      </c>
      <c r="I241" s="5">
        <v>44621</v>
      </c>
      <c r="J241" s="6">
        <v>0</v>
      </c>
      <c r="K241" s="6">
        <v>0</v>
      </c>
      <c r="L241" s="6">
        <v>11.67</v>
      </c>
      <c r="M241" s="6">
        <v>11.67</v>
      </c>
      <c r="N241" s="6">
        <v>11.67</v>
      </c>
      <c r="O241" s="6">
        <v>11.67</v>
      </c>
      <c r="P241" s="6">
        <v>30</v>
      </c>
      <c r="Q241" s="4" t="s">
        <v>26</v>
      </c>
      <c r="R241" s="4">
        <v>0</v>
      </c>
      <c r="S241" s="6">
        <v>0</v>
      </c>
      <c r="T241" s="6">
        <v>9</v>
      </c>
      <c r="U241" s="6">
        <v>75</v>
      </c>
      <c r="V241" s="6">
        <f>IF(ISERROR(VLOOKUP($S$241,'TAR FIN'!$A$1:$O$85,15,0)),0,VLOOKUP($S$241,'TAR FIN'!$A$1:$O$85,15,0))</f>
        <v>0</v>
      </c>
      <c r="W241" s="6">
        <f>IF(ISERROR(VLOOKUP($T$241,'TAR FIN'!$A$1:$O$85,15,0)),0,VLOOKUP($T$241,'TAR FIN'!$A$1:$O$85,15,0))</f>
        <v>273.68</v>
      </c>
      <c r="X241" s="6">
        <f>IF(ISERROR(VLOOKUP($U$241,'TAR FIN'!$A$1:$O$85,15,0)),0,VLOOKUP($U$241,'TAR FIN'!$A$1:$O$85,15,0))</f>
        <v>84.1</v>
      </c>
      <c r="Y241" s="6"/>
      <c r="Z241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241" s="6">
        <f>('TE BE'!$AA$12+'TE BF'!$AA$12+'TE CVA'!$AA$12)*(1-CUSTOS!$M$34)</f>
        <v>115.75580210466457</v>
      </c>
      <c r="AB241" s="6">
        <f>$K$241*$V$241</f>
        <v>0</v>
      </c>
      <c r="AC241" s="6">
        <f>$M$241*$W$241</f>
        <v>3193.8456000000001</v>
      </c>
      <c r="AD241" s="6">
        <f>$O$241*$X$241</f>
        <v>981.44699999999989</v>
      </c>
      <c r="AE241" s="6">
        <f>$K$241*$Y$241</f>
        <v>0</v>
      </c>
      <c r="AF241" s="6">
        <f ca="1">$M$241*$Z$241</f>
        <v>3515.2809708698469</v>
      </c>
      <c r="AG241" s="6">
        <f>$O$241*$AA$241</f>
        <v>1350.8702105614354</v>
      </c>
    </row>
    <row r="242" spans="1:33" ht="11.25" customHeight="1" x14ac:dyDescent="0.3">
      <c r="A242" s="4" t="s">
        <v>21</v>
      </c>
      <c r="B242" s="4" t="s">
        <v>22</v>
      </c>
      <c r="C242" s="4" t="s">
        <v>23</v>
      </c>
      <c r="D242" s="4" t="s">
        <v>24</v>
      </c>
      <c r="E242" s="4" t="s">
        <v>30</v>
      </c>
      <c r="F242" s="4" t="s">
        <v>25</v>
      </c>
      <c r="G242" s="4" t="s">
        <v>25</v>
      </c>
      <c r="H242" s="4" t="s">
        <v>25</v>
      </c>
      <c r="I242" s="5">
        <v>44287</v>
      </c>
      <c r="J242" s="6">
        <v>0</v>
      </c>
      <c r="K242" s="6">
        <v>0</v>
      </c>
      <c r="L242" s="6">
        <v>4.2549999999999999</v>
      </c>
      <c r="M242" s="6">
        <v>4.2549999999999999</v>
      </c>
      <c r="N242" s="6">
        <v>4.2549999999999999</v>
      </c>
      <c r="O242" s="6">
        <v>4.2549999999999999</v>
      </c>
      <c r="P242" s="6">
        <v>7</v>
      </c>
      <c r="Q242" s="4" t="s">
        <v>26</v>
      </c>
      <c r="R242" s="4">
        <v>0</v>
      </c>
      <c r="S242" s="6">
        <v>0</v>
      </c>
      <c r="T242" s="6">
        <v>53</v>
      </c>
      <c r="U242" s="6">
        <v>76</v>
      </c>
      <c r="V242" s="6">
        <f>IF(ISERROR(VLOOKUP($S$242,'TAR FIN'!$A$1:$O$85,15,0)),0,VLOOKUP($S$242,'TAR FIN'!$A$1:$O$85,15,0))</f>
        <v>0</v>
      </c>
      <c r="W242" s="6">
        <f>IF(ISERROR(VLOOKUP($T$242,'TAR FIN'!$A$1:$O$85,15,0)),0,VLOOKUP($T$242,'TAR FIN'!$A$1:$O$85,15,0))</f>
        <v>469.16</v>
      </c>
      <c r="X242" s="6">
        <f>IF(ISERROR(VLOOKUP($U$242,'TAR FIN'!$A$1:$O$85,15,0)),0,VLOOKUP($U$242,'TAR FIN'!$A$1:$O$85,15,0))</f>
        <v>144.18</v>
      </c>
      <c r="Y242" s="6"/>
      <c r="Z242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242" s="6">
        <f>('TE BE'!$AA$13+'TE BF'!$AA$13+'TE CVA'!$AA$13)*(1-CUSTOS!$M$35)</f>
        <v>198.4385178937107</v>
      </c>
      <c r="AB242" s="6">
        <f>$K$242*$V$242</f>
        <v>0</v>
      </c>
      <c r="AC242" s="6">
        <f>$M$242*$W$242</f>
        <v>1996.2758000000001</v>
      </c>
      <c r="AD242" s="6">
        <f>$O$242*$X$242</f>
        <v>613.48590000000002</v>
      </c>
      <c r="AE242" s="6">
        <f>$K$242*$Y$242</f>
        <v>0</v>
      </c>
      <c r="AF242" s="6">
        <f ca="1">$M$242*$Z$242</f>
        <v>2197.211976650929</v>
      </c>
      <c r="AG242" s="6">
        <f>$O$242*$AA$242</f>
        <v>844.35589363773897</v>
      </c>
    </row>
    <row r="243" spans="1:33" ht="11.25" customHeight="1" x14ac:dyDescent="0.3">
      <c r="A243" s="4" t="s">
        <v>21</v>
      </c>
      <c r="B243" s="4" t="s">
        <v>22</v>
      </c>
      <c r="C243" s="4" t="s">
        <v>23</v>
      </c>
      <c r="D243" s="4" t="s">
        <v>24</v>
      </c>
      <c r="E243" s="4" t="s">
        <v>30</v>
      </c>
      <c r="F243" s="4" t="s">
        <v>25</v>
      </c>
      <c r="G243" s="4" t="s">
        <v>25</v>
      </c>
      <c r="H243" s="4" t="s">
        <v>25</v>
      </c>
      <c r="I243" s="5">
        <v>44317</v>
      </c>
      <c r="J243" s="6">
        <v>0</v>
      </c>
      <c r="K243" s="6">
        <v>0</v>
      </c>
      <c r="L243" s="6">
        <v>4.4409999999999998</v>
      </c>
      <c r="M243" s="6">
        <v>4.4409999999999998</v>
      </c>
      <c r="N243" s="6">
        <v>4.4409999999999998</v>
      </c>
      <c r="O243" s="6">
        <v>4.4409999999999998</v>
      </c>
      <c r="P243" s="6">
        <v>11</v>
      </c>
      <c r="Q243" s="4" t="s">
        <v>26</v>
      </c>
      <c r="R243" s="4">
        <v>0</v>
      </c>
      <c r="S243" s="6">
        <v>0</v>
      </c>
      <c r="T243" s="6">
        <v>53</v>
      </c>
      <c r="U243" s="6">
        <v>76</v>
      </c>
      <c r="V243" s="6">
        <f>IF(ISERROR(VLOOKUP($S$243,'TAR FIN'!$A$1:$O$85,15,0)),0,VLOOKUP($S$243,'TAR FIN'!$A$1:$O$85,15,0))</f>
        <v>0</v>
      </c>
      <c r="W243" s="6">
        <f>IF(ISERROR(VLOOKUP($T$243,'TAR FIN'!$A$1:$O$85,15,0)),0,VLOOKUP($T$243,'TAR FIN'!$A$1:$O$85,15,0))</f>
        <v>469.16</v>
      </c>
      <c r="X243" s="6">
        <f>IF(ISERROR(VLOOKUP($U$243,'TAR FIN'!$A$1:$O$85,15,0)),0,VLOOKUP($U$243,'TAR FIN'!$A$1:$O$85,15,0))</f>
        <v>144.18</v>
      </c>
      <c r="Y243" s="6"/>
      <c r="Z243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243" s="6">
        <f>('TE BE'!$AA$13+'TE BF'!$AA$13+'TE CVA'!$AA$13)*(1-CUSTOS!$M$35)</f>
        <v>198.4385178937107</v>
      </c>
      <c r="AB243" s="6">
        <f>$K$243*$V$243</f>
        <v>0</v>
      </c>
      <c r="AC243" s="6">
        <f>$M$243*$W$243</f>
        <v>2083.5395600000002</v>
      </c>
      <c r="AD243" s="6">
        <f>$O$243*$X$243</f>
        <v>640.30338000000006</v>
      </c>
      <c r="AE243" s="6">
        <f>$K$243*$Y$243</f>
        <v>0</v>
      </c>
      <c r="AF243" s="6">
        <f ca="1">$M$243*$Z$243</f>
        <v>2293.25931570077</v>
      </c>
      <c r="AG243" s="6">
        <f>$O$243*$AA$243</f>
        <v>881.26545796596918</v>
      </c>
    </row>
    <row r="244" spans="1:33" ht="11.25" customHeight="1" x14ac:dyDescent="0.3">
      <c r="A244" s="4" t="s">
        <v>21</v>
      </c>
      <c r="B244" s="4" t="s">
        <v>22</v>
      </c>
      <c r="C244" s="4" t="s">
        <v>23</v>
      </c>
      <c r="D244" s="4" t="s">
        <v>24</v>
      </c>
      <c r="E244" s="4" t="s">
        <v>30</v>
      </c>
      <c r="F244" s="4" t="s">
        <v>25</v>
      </c>
      <c r="G244" s="4" t="s">
        <v>25</v>
      </c>
      <c r="H244" s="4" t="s">
        <v>25</v>
      </c>
      <c r="I244" s="5">
        <v>44348</v>
      </c>
      <c r="J244" s="6">
        <v>0</v>
      </c>
      <c r="K244" s="6">
        <v>0</v>
      </c>
      <c r="L244" s="6">
        <v>4.7050000000000001</v>
      </c>
      <c r="M244" s="6">
        <v>4.7050000000000001</v>
      </c>
      <c r="N244" s="6">
        <v>4.7050000000000001</v>
      </c>
      <c r="O244" s="6">
        <v>4.7050000000000001</v>
      </c>
      <c r="P244" s="6">
        <v>12</v>
      </c>
      <c r="Q244" s="4" t="s">
        <v>26</v>
      </c>
      <c r="R244" s="4">
        <v>0</v>
      </c>
      <c r="S244" s="6">
        <v>0</v>
      </c>
      <c r="T244" s="6">
        <v>53</v>
      </c>
      <c r="U244" s="6">
        <v>76</v>
      </c>
      <c r="V244" s="6">
        <f>IF(ISERROR(VLOOKUP($S$244,'TAR FIN'!$A$1:$O$85,15,0)),0,VLOOKUP($S$244,'TAR FIN'!$A$1:$O$85,15,0))</f>
        <v>0</v>
      </c>
      <c r="W244" s="6">
        <f>IF(ISERROR(VLOOKUP($T$244,'TAR FIN'!$A$1:$O$85,15,0)),0,VLOOKUP($T$244,'TAR FIN'!$A$1:$O$85,15,0))</f>
        <v>469.16</v>
      </c>
      <c r="X244" s="6">
        <f>IF(ISERROR(VLOOKUP($U$244,'TAR FIN'!$A$1:$O$85,15,0)),0,VLOOKUP($U$244,'TAR FIN'!$A$1:$O$85,15,0))</f>
        <v>144.18</v>
      </c>
      <c r="Y244" s="6"/>
      <c r="Z244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244" s="6">
        <f>('TE BE'!$AA$13+'TE BF'!$AA$13+'TE CVA'!$AA$13)*(1-CUSTOS!$M$35)</f>
        <v>198.4385178937107</v>
      </c>
      <c r="AB244" s="6">
        <f>$K$244*$V$244</f>
        <v>0</v>
      </c>
      <c r="AC244" s="6">
        <f>$M$244*$W$244</f>
        <v>2207.3978000000002</v>
      </c>
      <c r="AD244" s="6">
        <f>$O$244*$X$244</f>
        <v>678.36689999999999</v>
      </c>
      <c r="AE244" s="6">
        <f>$K$244*$Y$244</f>
        <v>0</v>
      </c>
      <c r="AF244" s="6">
        <f ca="1">$M$244*$Z$244</f>
        <v>2429.5845711263505</v>
      </c>
      <c r="AG244" s="6">
        <f>$O$244*$AA$244</f>
        <v>933.65322668990882</v>
      </c>
    </row>
    <row r="245" spans="1:33" ht="11.25" customHeight="1" x14ac:dyDescent="0.3">
      <c r="A245" s="4" t="s">
        <v>21</v>
      </c>
      <c r="B245" s="4" t="s">
        <v>22</v>
      </c>
      <c r="C245" s="4" t="s">
        <v>23</v>
      </c>
      <c r="D245" s="4" t="s">
        <v>24</v>
      </c>
      <c r="E245" s="4" t="s">
        <v>30</v>
      </c>
      <c r="F245" s="4" t="s">
        <v>25</v>
      </c>
      <c r="G245" s="4" t="s">
        <v>25</v>
      </c>
      <c r="H245" s="4" t="s">
        <v>25</v>
      </c>
      <c r="I245" s="5">
        <v>44378</v>
      </c>
      <c r="J245" s="6">
        <v>0</v>
      </c>
      <c r="K245" s="6">
        <v>0</v>
      </c>
      <c r="L245" s="6">
        <v>4.46</v>
      </c>
      <c r="M245" s="6">
        <v>4.46</v>
      </c>
      <c r="N245" s="6">
        <v>4.46</v>
      </c>
      <c r="O245" s="6">
        <v>4.46</v>
      </c>
      <c r="P245" s="6">
        <v>28</v>
      </c>
      <c r="Q245" s="4" t="s">
        <v>26</v>
      </c>
      <c r="R245" s="4">
        <v>0</v>
      </c>
      <c r="S245" s="6">
        <v>0</v>
      </c>
      <c r="T245" s="6">
        <v>53</v>
      </c>
      <c r="U245" s="6">
        <v>76</v>
      </c>
      <c r="V245" s="6">
        <f>IF(ISERROR(VLOOKUP($S$245,'TAR FIN'!$A$1:$O$85,15,0)),0,VLOOKUP($S$245,'TAR FIN'!$A$1:$O$85,15,0))</f>
        <v>0</v>
      </c>
      <c r="W245" s="6">
        <f>IF(ISERROR(VLOOKUP($T$245,'TAR FIN'!$A$1:$O$85,15,0)),0,VLOOKUP($T$245,'TAR FIN'!$A$1:$O$85,15,0))</f>
        <v>469.16</v>
      </c>
      <c r="X245" s="6">
        <f>IF(ISERROR(VLOOKUP($U$245,'TAR FIN'!$A$1:$O$85,15,0)),0,VLOOKUP($U$245,'TAR FIN'!$A$1:$O$85,15,0))</f>
        <v>144.18</v>
      </c>
      <c r="Y245" s="6"/>
      <c r="Z245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245" s="6">
        <f>('TE BE'!$AA$13+'TE BF'!$AA$13+'TE CVA'!$AA$13)*(1-CUSTOS!$M$35)</f>
        <v>198.4385178937107</v>
      </c>
      <c r="AB245" s="6">
        <f>$K$245*$V$245</f>
        <v>0</v>
      </c>
      <c r="AC245" s="6">
        <f>$M$245*$W$245</f>
        <v>2092.4536000000003</v>
      </c>
      <c r="AD245" s="6">
        <f>$O$245*$X$245</f>
        <v>643.04280000000006</v>
      </c>
      <c r="AE245" s="6">
        <f>$K$245*$Y$245</f>
        <v>0</v>
      </c>
      <c r="AF245" s="6">
        <f ca="1">$M$245*$Z$245</f>
        <v>2303.0706030230654</v>
      </c>
      <c r="AG245" s="6">
        <f>$O$245*$AA$245</f>
        <v>885.03578980594966</v>
      </c>
    </row>
    <row r="246" spans="1:33" ht="11.25" customHeight="1" x14ac:dyDescent="0.3">
      <c r="A246" s="4" t="s">
        <v>21</v>
      </c>
      <c r="B246" s="4" t="s">
        <v>22</v>
      </c>
      <c r="C246" s="4" t="s">
        <v>23</v>
      </c>
      <c r="D246" s="4" t="s">
        <v>24</v>
      </c>
      <c r="E246" s="4" t="s">
        <v>30</v>
      </c>
      <c r="F246" s="4" t="s">
        <v>25</v>
      </c>
      <c r="G246" s="4" t="s">
        <v>25</v>
      </c>
      <c r="H246" s="4" t="s">
        <v>25</v>
      </c>
      <c r="I246" s="5">
        <v>44409</v>
      </c>
      <c r="J246" s="6">
        <v>0</v>
      </c>
      <c r="K246" s="6">
        <v>0</v>
      </c>
      <c r="L246" s="6">
        <v>4.375</v>
      </c>
      <c r="M246" s="6">
        <v>4.375</v>
      </c>
      <c r="N246" s="6">
        <v>4.375</v>
      </c>
      <c r="O246" s="6">
        <v>4.375</v>
      </c>
      <c r="P246" s="6">
        <v>31</v>
      </c>
      <c r="Q246" s="4" t="s">
        <v>26</v>
      </c>
      <c r="R246" s="4">
        <v>0</v>
      </c>
      <c r="S246" s="6">
        <v>0</v>
      </c>
      <c r="T246" s="6">
        <v>53</v>
      </c>
      <c r="U246" s="6">
        <v>76</v>
      </c>
      <c r="V246" s="6">
        <f>IF(ISERROR(VLOOKUP($S$246,'TAR FIN'!$A$1:$O$85,15,0)),0,VLOOKUP($S$246,'TAR FIN'!$A$1:$O$85,15,0))</f>
        <v>0</v>
      </c>
      <c r="W246" s="6">
        <f>IF(ISERROR(VLOOKUP($T$246,'TAR FIN'!$A$1:$O$85,15,0)),0,VLOOKUP($T$246,'TAR FIN'!$A$1:$O$85,15,0))</f>
        <v>469.16</v>
      </c>
      <c r="X246" s="6">
        <f>IF(ISERROR(VLOOKUP($U$246,'TAR FIN'!$A$1:$O$85,15,0)),0,VLOOKUP($U$246,'TAR FIN'!$A$1:$O$85,15,0))</f>
        <v>144.18</v>
      </c>
      <c r="Y246" s="6"/>
      <c r="Z246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246" s="6">
        <f>('TE BE'!$AA$13+'TE BF'!$AA$13+'TE CVA'!$AA$13)*(1-CUSTOS!$M$35)</f>
        <v>198.4385178937107</v>
      </c>
      <c r="AB246" s="6">
        <f>$K$246*$V$246</f>
        <v>0</v>
      </c>
      <c r="AC246" s="6">
        <f>$M$246*$W$246</f>
        <v>2052.5750000000003</v>
      </c>
      <c r="AD246" s="6">
        <f>$O$246*$X$246</f>
        <v>630.78750000000002</v>
      </c>
      <c r="AE246" s="6">
        <f>$K$246*$Y$246</f>
        <v>0</v>
      </c>
      <c r="AF246" s="6">
        <f ca="1">$M$246*$Z$246</f>
        <v>2259.1780018443746</v>
      </c>
      <c r="AG246" s="6">
        <f>$O$246*$AA$246</f>
        <v>868.16851578498427</v>
      </c>
    </row>
    <row r="247" spans="1:33" ht="11.25" customHeight="1" x14ac:dyDescent="0.3">
      <c r="A247" s="4" t="s">
        <v>21</v>
      </c>
      <c r="B247" s="4" t="s">
        <v>22</v>
      </c>
      <c r="C247" s="4" t="s">
        <v>23</v>
      </c>
      <c r="D247" s="4" t="s">
        <v>24</v>
      </c>
      <c r="E247" s="4" t="s">
        <v>30</v>
      </c>
      <c r="F247" s="4" t="s">
        <v>25</v>
      </c>
      <c r="G247" s="4" t="s">
        <v>25</v>
      </c>
      <c r="H247" s="4" t="s">
        <v>25</v>
      </c>
      <c r="I247" s="5">
        <v>44440</v>
      </c>
      <c r="J247" s="6">
        <v>0</v>
      </c>
      <c r="K247" s="6">
        <v>0</v>
      </c>
      <c r="L247" s="6">
        <v>4.665</v>
      </c>
      <c r="M247" s="6">
        <v>4.665</v>
      </c>
      <c r="N247" s="6">
        <v>4.665</v>
      </c>
      <c r="O247" s="6">
        <v>4.665</v>
      </c>
      <c r="P247" s="6">
        <v>20</v>
      </c>
      <c r="Q247" s="4" t="s">
        <v>26</v>
      </c>
      <c r="R247" s="4">
        <v>0</v>
      </c>
      <c r="S247" s="6">
        <v>0</v>
      </c>
      <c r="T247" s="6">
        <v>53</v>
      </c>
      <c r="U247" s="6">
        <v>76</v>
      </c>
      <c r="V247" s="6">
        <f>IF(ISERROR(VLOOKUP($S$247,'TAR FIN'!$A$1:$O$85,15,0)),0,VLOOKUP($S$247,'TAR FIN'!$A$1:$O$85,15,0))</f>
        <v>0</v>
      </c>
      <c r="W247" s="6">
        <f>IF(ISERROR(VLOOKUP($T$247,'TAR FIN'!$A$1:$O$85,15,0)),0,VLOOKUP($T$247,'TAR FIN'!$A$1:$O$85,15,0))</f>
        <v>469.16</v>
      </c>
      <c r="X247" s="6">
        <f>IF(ISERROR(VLOOKUP($U$247,'TAR FIN'!$A$1:$O$85,15,0)),0,VLOOKUP($U$247,'TAR FIN'!$A$1:$O$85,15,0))</f>
        <v>144.18</v>
      </c>
      <c r="Y247" s="6"/>
      <c r="Z247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247" s="6">
        <f>('TE BE'!$AA$13+'TE BF'!$AA$13+'TE CVA'!$AA$13)*(1-CUSTOS!$M$35)</f>
        <v>198.4385178937107</v>
      </c>
      <c r="AB247" s="6">
        <f>$K$247*$V$247</f>
        <v>0</v>
      </c>
      <c r="AC247" s="6">
        <f>$M$247*$W$247</f>
        <v>2188.6314000000002</v>
      </c>
      <c r="AD247" s="6">
        <f>$O$247*$X$247</f>
        <v>672.59969999999998</v>
      </c>
      <c r="AE247" s="6">
        <f>$K$247*$Y$247</f>
        <v>0</v>
      </c>
      <c r="AF247" s="6">
        <f ca="1">$M$247*$Z$247</f>
        <v>2408.9292293952017</v>
      </c>
      <c r="AG247" s="6">
        <f>$O$247*$AA$247</f>
        <v>925.71568597416035</v>
      </c>
    </row>
    <row r="248" spans="1:33" ht="11.25" customHeight="1" x14ac:dyDescent="0.3">
      <c r="A248" s="4" t="s">
        <v>21</v>
      </c>
      <c r="B248" s="4" t="s">
        <v>22</v>
      </c>
      <c r="C248" s="4" t="s">
        <v>23</v>
      </c>
      <c r="D248" s="4" t="s">
        <v>24</v>
      </c>
      <c r="E248" s="4" t="s">
        <v>30</v>
      </c>
      <c r="F248" s="4" t="s">
        <v>25</v>
      </c>
      <c r="G248" s="4" t="s">
        <v>25</v>
      </c>
      <c r="H248" s="4" t="s">
        <v>25</v>
      </c>
      <c r="I248" s="5">
        <v>44470</v>
      </c>
      <c r="J248" s="6">
        <v>0</v>
      </c>
      <c r="K248" s="6">
        <v>0</v>
      </c>
      <c r="L248" s="6">
        <v>4.9409999999999998</v>
      </c>
      <c r="M248" s="6">
        <v>4.9409999999999998</v>
      </c>
      <c r="N248" s="6">
        <v>4.9409999999999998</v>
      </c>
      <c r="O248" s="6">
        <v>4.9409999999999998</v>
      </c>
      <c r="P248" s="6">
        <v>19</v>
      </c>
      <c r="Q248" s="4" t="s">
        <v>26</v>
      </c>
      <c r="R248" s="4">
        <v>0</v>
      </c>
      <c r="S248" s="6">
        <v>0</v>
      </c>
      <c r="T248" s="6">
        <v>53</v>
      </c>
      <c r="U248" s="6">
        <v>76</v>
      </c>
      <c r="V248" s="6">
        <f>IF(ISERROR(VLOOKUP($S$248,'TAR FIN'!$A$1:$O$85,15,0)),0,VLOOKUP($S$248,'TAR FIN'!$A$1:$O$85,15,0))</f>
        <v>0</v>
      </c>
      <c r="W248" s="6">
        <f>IF(ISERROR(VLOOKUP($T$248,'TAR FIN'!$A$1:$O$85,15,0)),0,VLOOKUP($T$248,'TAR FIN'!$A$1:$O$85,15,0))</f>
        <v>469.16</v>
      </c>
      <c r="X248" s="6">
        <f>IF(ISERROR(VLOOKUP($U$248,'TAR FIN'!$A$1:$O$85,15,0)),0,VLOOKUP($U$248,'TAR FIN'!$A$1:$O$85,15,0))</f>
        <v>144.18</v>
      </c>
      <c r="Y248" s="6"/>
      <c r="Z248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248" s="6">
        <f>('TE BE'!$AA$13+'TE BF'!$AA$13+'TE CVA'!$AA$13)*(1-CUSTOS!$M$35)</f>
        <v>198.4385178937107</v>
      </c>
      <c r="AB248" s="6">
        <f>$K$248*$V$248</f>
        <v>0</v>
      </c>
      <c r="AC248" s="6">
        <f>$M$248*$W$248</f>
        <v>2318.1195600000001</v>
      </c>
      <c r="AD248" s="6">
        <f>$O$248*$X$248</f>
        <v>712.39337999999998</v>
      </c>
      <c r="AE248" s="6">
        <f>$K$248*$Y$248</f>
        <v>0</v>
      </c>
      <c r="AF248" s="6">
        <f ca="1">$M$248*$Z$248</f>
        <v>2551.4510873401268</v>
      </c>
      <c r="AG248" s="6">
        <f>$O$248*$AA$248</f>
        <v>980.48471691282452</v>
      </c>
    </row>
    <row r="249" spans="1:33" ht="11.25" customHeight="1" x14ac:dyDescent="0.3">
      <c r="A249" s="4" t="s">
        <v>21</v>
      </c>
      <c r="B249" s="4" t="s">
        <v>22</v>
      </c>
      <c r="C249" s="4" t="s">
        <v>23</v>
      </c>
      <c r="D249" s="4" t="s">
        <v>24</v>
      </c>
      <c r="E249" s="4" t="s">
        <v>30</v>
      </c>
      <c r="F249" s="4" t="s">
        <v>25</v>
      </c>
      <c r="G249" s="4" t="s">
        <v>25</v>
      </c>
      <c r="H249" s="4" t="s">
        <v>25</v>
      </c>
      <c r="I249" s="5">
        <v>44501</v>
      </c>
      <c r="J249" s="6">
        <v>0</v>
      </c>
      <c r="K249" s="6">
        <v>0</v>
      </c>
      <c r="L249" s="6">
        <v>5.03</v>
      </c>
      <c r="M249" s="6">
        <v>5.03</v>
      </c>
      <c r="N249" s="6">
        <v>5.03</v>
      </c>
      <c r="O249" s="6">
        <v>5.03</v>
      </c>
      <c r="P249" s="6">
        <v>28</v>
      </c>
      <c r="Q249" s="4" t="s">
        <v>26</v>
      </c>
      <c r="R249" s="4">
        <v>0</v>
      </c>
      <c r="S249" s="6">
        <v>0</v>
      </c>
      <c r="T249" s="6">
        <v>53</v>
      </c>
      <c r="U249" s="6">
        <v>76</v>
      </c>
      <c r="V249" s="6">
        <f>IF(ISERROR(VLOOKUP($S$249,'TAR FIN'!$A$1:$O$85,15,0)),0,VLOOKUP($S$249,'TAR FIN'!$A$1:$O$85,15,0))</f>
        <v>0</v>
      </c>
      <c r="W249" s="6">
        <f>IF(ISERROR(VLOOKUP($T$249,'TAR FIN'!$A$1:$O$85,15,0)),0,VLOOKUP($T$249,'TAR FIN'!$A$1:$O$85,15,0))</f>
        <v>469.16</v>
      </c>
      <c r="X249" s="6">
        <f>IF(ISERROR(VLOOKUP($U$249,'TAR FIN'!$A$1:$O$85,15,0)),0,VLOOKUP($U$249,'TAR FIN'!$A$1:$O$85,15,0))</f>
        <v>144.18</v>
      </c>
      <c r="Y249" s="6"/>
      <c r="Z249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249" s="6">
        <f>('TE BE'!$AA$13+'TE BF'!$AA$13+'TE CVA'!$AA$13)*(1-CUSTOS!$M$35)</f>
        <v>198.4385178937107</v>
      </c>
      <c r="AB249" s="6">
        <f>$K$249*$V$249</f>
        <v>0</v>
      </c>
      <c r="AC249" s="6">
        <f>$M$249*$W$249</f>
        <v>2359.8748000000001</v>
      </c>
      <c r="AD249" s="6">
        <f>$O$249*$X$249</f>
        <v>725.22540000000004</v>
      </c>
      <c r="AE249" s="6">
        <f>$K$249*$Y$249</f>
        <v>0</v>
      </c>
      <c r="AF249" s="6">
        <f ca="1">$M$249*$Z$249</f>
        <v>2597.4092226919329</v>
      </c>
      <c r="AG249" s="6">
        <f>$O$249*$AA$249</f>
        <v>998.1457450053648</v>
      </c>
    </row>
    <row r="250" spans="1:33" ht="11.25" customHeight="1" x14ac:dyDescent="0.3">
      <c r="A250" s="4" t="s">
        <v>21</v>
      </c>
      <c r="B250" s="4" t="s">
        <v>22</v>
      </c>
      <c r="C250" s="4" t="s">
        <v>23</v>
      </c>
      <c r="D250" s="4" t="s">
        <v>24</v>
      </c>
      <c r="E250" s="4" t="s">
        <v>30</v>
      </c>
      <c r="F250" s="4" t="s">
        <v>25</v>
      </c>
      <c r="G250" s="4" t="s">
        <v>25</v>
      </c>
      <c r="H250" s="4" t="s">
        <v>25</v>
      </c>
      <c r="I250" s="5">
        <v>44531</v>
      </c>
      <c r="J250" s="6">
        <v>0</v>
      </c>
      <c r="K250" s="6">
        <v>0</v>
      </c>
      <c r="L250" s="6">
        <v>5.51</v>
      </c>
      <c r="M250" s="6">
        <v>5.51</v>
      </c>
      <c r="N250" s="6">
        <v>5.51</v>
      </c>
      <c r="O250" s="6">
        <v>5.51</v>
      </c>
      <c r="P250" s="6">
        <v>20</v>
      </c>
      <c r="Q250" s="4" t="s">
        <v>26</v>
      </c>
      <c r="R250" s="4">
        <v>0</v>
      </c>
      <c r="S250" s="6">
        <v>0</v>
      </c>
      <c r="T250" s="6">
        <v>53</v>
      </c>
      <c r="U250" s="6">
        <v>76</v>
      </c>
      <c r="V250" s="6">
        <f>IF(ISERROR(VLOOKUP($S$250,'TAR FIN'!$A$1:$O$85,15,0)),0,VLOOKUP($S$250,'TAR FIN'!$A$1:$O$85,15,0))</f>
        <v>0</v>
      </c>
      <c r="W250" s="6">
        <f>IF(ISERROR(VLOOKUP($T$250,'TAR FIN'!$A$1:$O$85,15,0)),0,VLOOKUP($T$250,'TAR FIN'!$A$1:$O$85,15,0))</f>
        <v>469.16</v>
      </c>
      <c r="X250" s="6">
        <f>IF(ISERROR(VLOOKUP($U$250,'TAR FIN'!$A$1:$O$85,15,0)),0,VLOOKUP($U$250,'TAR FIN'!$A$1:$O$85,15,0))</f>
        <v>144.18</v>
      </c>
      <c r="Y250" s="6"/>
      <c r="Z250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250" s="6">
        <f>('TE BE'!$AA$13+'TE BF'!$AA$13+'TE CVA'!$AA$13)*(1-CUSTOS!$M$35)</f>
        <v>198.4385178937107</v>
      </c>
      <c r="AB250" s="6">
        <f>$K$250*$V$250</f>
        <v>0</v>
      </c>
      <c r="AC250" s="6">
        <f>$M$250*$W$250</f>
        <v>2585.0716000000002</v>
      </c>
      <c r="AD250" s="6">
        <f>$O$250*$X$250</f>
        <v>794.43179999999995</v>
      </c>
      <c r="AE250" s="6">
        <f>$K$250*$Y$250</f>
        <v>0</v>
      </c>
      <c r="AF250" s="6">
        <f ca="1">$M$250*$Z$250</f>
        <v>2845.2733234657153</v>
      </c>
      <c r="AG250" s="6">
        <f>$O$250*$AA$250</f>
        <v>1093.3962335943459</v>
      </c>
    </row>
    <row r="251" spans="1:33" ht="11.25" customHeight="1" x14ac:dyDescent="0.3">
      <c r="A251" s="4" t="s">
        <v>21</v>
      </c>
      <c r="B251" s="4" t="s">
        <v>22</v>
      </c>
      <c r="C251" s="4" t="s">
        <v>23</v>
      </c>
      <c r="D251" s="4" t="s">
        <v>24</v>
      </c>
      <c r="E251" s="4" t="s">
        <v>30</v>
      </c>
      <c r="F251" s="4" t="s">
        <v>25</v>
      </c>
      <c r="G251" s="4" t="s">
        <v>25</v>
      </c>
      <c r="H251" s="4" t="s">
        <v>25</v>
      </c>
      <c r="I251" s="5">
        <v>44562</v>
      </c>
      <c r="J251" s="6">
        <v>0</v>
      </c>
      <c r="K251" s="6">
        <v>0</v>
      </c>
      <c r="L251" s="6">
        <v>5.641</v>
      </c>
      <c r="M251" s="6">
        <v>5.641</v>
      </c>
      <c r="N251" s="6">
        <v>5.641</v>
      </c>
      <c r="O251" s="6">
        <v>5.641</v>
      </c>
      <c r="P251" s="6">
        <v>19</v>
      </c>
      <c r="Q251" s="4" t="s">
        <v>26</v>
      </c>
      <c r="R251" s="4">
        <v>0</v>
      </c>
      <c r="S251" s="6">
        <v>0</v>
      </c>
      <c r="T251" s="6">
        <v>53</v>
      </c>
      <c r="U251" s="6">
        <v>76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469.16</v>
      </c>
      <c r="X251" s="6">
        <f>IF(ISERROR(VLOOKUP($U$251,'TAR FIN'!$A$1:$O$85,15,0)),0,VLOOKUP($U$251,'TAR FIN'!$A$1:$O$85,15,0))</f>
        <v>144.18</v>
      </c>
      <c r="Y251" s="6"/>
      <c r="Z251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251" s="6">
        <f>('TE BE'!$AA$13+'TE BF'!$AA$13+'TE CVA'!$AA$13)*(1-CUSTOS!$M$35)</f>
        <v>198.4385178937107</v>
      </c>
      <c r="AB251" s="6">
        <f>$K$251*$V$251</f>
        <v>0</v>
      </c>
      <c r="AC251" s="6">
        <f>$M$251*$W$251</f>
        <v>2646.5315600000004</v>
      </c>
      <c r="AD251" s="6">
        <f>$O$251*$X$251</f>
        <v>813.31938000000002</v>
      </c>
      <c r="AE251" s="6">
        <f>$K$251*$Y$251</f>
        <v>0</v>
      </c>
      <c r="AF251" s="6">
        <f ca="1">$M$251*$Z$251</f>
        <v>2912.9195676352269</v>
      </c>
      <c r="AG251" s="6">
        <f>$O$251*$AA$251</f>
        <v>1119.391679438422</v>
      </c>
    </row>
    <row r="252" spans="1:33" ht="11.25" customHeight="1" x14ac:dyDescent="0.3">
      <c r="A252" s="4" t="s">
        <v>21</v>
      </c>
      <c r="B252" s="4" t="s">
        <v>22</v>
      </c>
      <c r="C252" s="4" t="s">
        <v>23</v>
      </c>
      <c r="D252" s="4" t="s">
        <v>24</v>
      </c>
      <c r="E252" s="4" t="s">
        <v>30</v>
      </c>
      <c r="F252" s="4" t="s">
        <v>25</v>
      </c>
      <c r="G252" s="4" t="s">
        <v>25</v>
      </c>
      <c r="H252" s="4" t="s">
        <v>25</v>
      </c>
      <c r="I252" s="5">
        <v>44593</v>
      </c>
      <c r="J252" s="6">
        <v>0</v>
      </c>
      <c r="K252" s="6">
        <v>0</v>
      </c>
      <c r="L252" s="6">
        <v>6.7670000000000003</v>
      </c>
      <c r="M252" s="6">
        <v>6.7670000000000003</v>
      </c>
      <c r="N252" s="6">
        <v>6.7670000000000003</v>
      </c>
      <c r="O252" s="6">
        <v>6.7670000000000003</v>
      </c>
      <c r="P252" s="6">
        <v>14</v>
      </c>
      <c r="Q252" s="4" t="s">
        <v>26</v>
      </c>
      <c r="R252" s="4">
        <v>0</v>
      </c>
      <c r="S252" s="6">
        <v>0</v>
      </c>
      <c r="T252" s="6">
        <v>53</v>
      </c>
      <c r="U252" s="6">
        <v>76</v>
      </c>
      <c r="V252" s="6">
        <f>IF(ISERROR(VLOOKUP($S$252,'TAR FIN'!$A$1:$O$85,15,0)),0,VLOOKUP($S$252,'TAR FIN'!$A$1:$O$85,15,0))</f>
        <v>0</v>
      </c>
      <c r="W252" s="6">
        <f>IF(ISERROR(VLOOKUP($T$252,'TAR FIN'!$A$1:$O$85,15,0)),0,VLOOKUP($T$252,'TAR FIN'!$A$1:$O$85,15,0))</f>
        <v>469.16</v>
      </c>
      <c r="X252" s="6">
        <f>IF(ISERROR(VLOOKUP($U$252,'TAR FIN'!$A$1:$O$85,15,0)),0,VLOOKUP($U$252,'TAR FIN'!$A$1:$O$85,15,0))</f>
        <v>144.18</v>
      </c>
      <c r="Y252" s="6"/>
      <c r="Z252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252" s="6">
        <f>('TE BE'!$AA$13+'TE BF'!$AA$13+'TE CVA'!$AA$13)*(1-CUSTOS!$M$35)</f>
        <v>198.4385178937107</v>
      </c>
      <c r="AB252" s="6">
        <f>$K$252*$V$252</f>
        <v>0</v>
      </c>
      <c r="AC252" s="6">
        <f>$M$252*$W$252</f>
        <v>3174.8057200000003</v>
      </c>
      <c r="AD252" s="6">
        <f>$O$252*$X$252</f>
        <v>975.66606000000013</v>
      </c>
      <c r="AE252" s="6">
        <f>$K$252*$Y$252</f>
        <v>0</v>
      </c>
      <c r="AF252" s="6">
        <f ca="1">$M$252*$Z$252</f>
        <v>3494.3674373670592</v>
      </c>
      <c r="AG252" s="6">
        <f>$O$252*$AA$252</f>
        <v>1342.8334505867404</v>
      </c>
    </row>
    <row r="253" spans="1:33" ht="11.25" customHeight="1" x14ac:dyDescent="0.3">
      <c r="A253" s="4" t="s">
        <v>21</v>
      </c>
      <c r="B253" s="4" t="s">
        <v>22</v>
      </c>
      <c r="C253" s="4" t="s">
        <v>23</v>
      </c>
      <c r="D253" s="4" t="s">
        <v>24</v>
      </c>
      <c r="E253" s="4" t="s">
        <v>30</v>
      </c>
      <c r="F253" s="4" t="s">
        <v>25</v>
      </c>
      <c r="G253" s="4" t="s">
        <v>25</v>
      </c>
      <c r="H253" s="4" t="s">
        <v>25</v>
      </c>
      <c r="I253" s="5">
        <v>44621</v>
      </c>
      <c r="J253" s="6">
        <v>0</v>
      </c>
      <c r="K253" s="6">
        <v>0</v>
      </c>
      <c r="L253" s="6">
        <v>22.331</v>
      </c>
      <c r="M253" s="6">
        <v>22.331</v>
      </c>
      <c r="N253" s="6">
        <v>22.331</v>
      </c>
      <c r="O253" s="6">
        <v>22.331</v>
      </c>
      <c r="P253" s="6">
        <v>92</v>
      </c>
      <c r="Q253" s="4" t="s">
        <v>26</v>
      </c>
      <c r="R253" s="4">
        <v>0</v>
      </c>
      <c r="S253" s="6">
        <v>0</v>
      </c>
      <c r="T253" s="6">
        <v>53</v>
      </c>
      <c r="U253" s="6">
        <v>76</v>
      </c>
      <c r="V253" s="6">
        <f>IF(ISERROR(VLOOKUP($S$253,'TAR FIN'!$A$1:$O$85,15,0)),0,VLOOKUP($S$253,'TAR FIN'!$A$1:$O$85,15,0))</f>
        <v>0</v>
      </c>
      <c r="W253" s="6">
        <f>IF(ISERROR(VLOOKUP($T$253,'TAR FIN'!$A$1:$O$85,15,0)),0,VLOOKUP($T$253,'TAR FIN'!$A$1:$O$85,15,0))</f>
        <v>469.16</v>
      </c>
      <c r="X253" s="6">
        <f>IF(ISERROR(VLOOKUP($U$253,'TAR FIN'!$A$1:$O$85,15,0)),0,VLOOKUP($U$253,'TAR FIN'!$A$1:$O$85,15,0))</f>
        <v>144.18</v>
      </c>
      <c r="Y253" s="6"/>
      <c r="Z253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253" s="6">
        <f>('TE BE'!$AA$13+'TE BF'!$AA$13+'TE CVA'!$AA$13)*(1-CUSTOS!$M$35)</f>
        <v>198.4385178937107</v>
      </c>
      <c r="AB253" s="6">
        <f>$K$253*$V$253</f>
        <v>0</v>
      </c>
      <c r="AC253" s="6">
        <f>$M$253*$W$253</f>
        <v>10476.811960000001</v>
      </c>
      <c r="AD253" s="6">
        <f>$O$253*$X$253</f>
        <v>3219.6835799999999</v>
      </c>
      <c r="AE253" s="6">
        <f>$K$253*$Y$253</f>
        <v>0</v>
      </c>
      <c r="AF253" s="6">
        <f ca="1">$M$253*$Z$253</f>
        <v>11531.360904956968</v>
      </c>
      <c r="AG253" s="6">
        <f>$O$253*$AA$253</f>
        <v>4431.3305430844539</v>
      </c>
    </row>
    <row r="254" spans="1:33" ht="11.25" customHeight="1" x14ac:dyDescent="0.3">
      <c r="A254" s="4" t="s">
        <v>21</v>
      </c>
      <c r="B254" s="4" t="s">
        <v>22</v>
      </c>
      <c r="C254" s="4" t="s">
        <v>23</v>
      </c>
      <c r="D254" s="4" t="s">
        <v>24</v>
      </c>
      <c r="E254" s="4" t="s">
        <v>31</v>
      </c>
      <c r="F254" s="4" t="s">
        <v>25</v>
      </c>
      <c r="G254" s="4" t="s">
        <v>25</v>
      </c>
      <c r="H254" s="4" t="s">
        <v>25</v>
      </c>
      <c r="I254" s="5">
        <v>44287</v>
      </c>
      <c r="J254" s="6">
        <v>0</v>
      </c>
      <c r="K254" s="6">
        <v>0</v>
      </c>
      <c r="L254" s="6">
        <v>4.0590000000000002</v>
      </c>
      <c r="M254" s="6">
        <v>4.0590000000000002</v>
      </c>
      <c r="N254" s="6">
        <v>4.0590000000000002</v>
      </c>
      <c r="O254" s="6">
        <v>4.0590000000000002</v>
      </c>
      <c r="P254" s="6">
        <v>47</v>
      </c>
      <c r="Q254" s="4" t="s">
        <v>26</v>
      </c>
      <c r="R254" s="4">
        <v>0</v>
      </c>
      <c r="S254" s="6">
        <v>0</v>
      </c>
      <c r="T254" s="6">
        <v>54</v>
      </c>
      <c r="U254" s="6">
        <v>24</v>
      </c>
      <c r="V254" s="6">
        <f>IF(ISERROR(VLOOKUP($S$254,'TAR FIN'!$A$1:$O$85,15,0)),0,VLOOKUP($S$254,'TAR FIN'!$A$1:$O$85,15,0))</f>
        <v>0</v>
      </c>
      <c r="W254" s="6">
        <f>IF(ISERROR(VLOOKUP($T$254,'TAR FIN'!$A$1:$O$85,15,0)),0,VLOOKUP($T$254,'TAR FIN'!$A$1:$O$85,15,0))</f>
        <v>703.74</v>
      </c>
      <c r="X254" s="6">
        <f>IF(ISERROR(VLOOKUP($U$254,'TAR FIN'!$A$1:$O$85,15,0)),0,VLOOKUP($U$254,'TAR FIN'!$A$1:$O$85,15,0))</f>
        <v>216.26</v>
      </c>
      <c r="Y254" s="6"/>
      <c r="Z254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254" s="6">
        <f>('TE BE'!$AA$14+'TE BF'!$AA$14+'TE CVA'!$AA$14)*(1-CUSTOS!$M$36)</f>
        <v>297.65777684056604</v>
      </c>
      <c r="AB254" s="6">
        <f>$K$254*$V$254</f>
        <v>0</v>
      </c>
      <c r="AC254" s="6">
        <f>$M$254*$W$254</f>
        <v>2856.4806600000002</v>
      </c>
      <c r="AD254" s="6">
        <f>$O$254*$X$254</f>
        <v>877.79934000000003</v>
      </c>
      <c r="AE254" s="6">
        <f>$K$254*$Y$254</f>
        <v>0</v>
      </c>
      <c r="AF254" s="6">
        <f ca="1">$M$254*$Z$254</f>
        <v>3144.0012032524519</v>
      </c>
      <c r="AG254" s="6">
        <f>$O$254*$AA$254</f>
        <v>1208.1929161958576</v>
      </c>
    </row>
    <row r="255" spans="1:33" ht="11.25" customHeight="1" x14ac:dyDescent="0.3">
      <c r="A255" s="4" t="s">
        <v>21</v>
      </c>
      <c r="B255" s="4" t="s">
        <v>22</v>
      </c>
      <c r="C255" s="4" t="s">
        <v>23</v>
      </c>
      <c r="D255" s="4" t="s">
        <v>24</v>
      </c>
      <c r="E255" s="4" t="s">
        <v>31</v>
      </c>
      <c r="F255" s="4" t="s">
        <v>25</v>
      </c>
      <c r="G255" s="4" t="s">
        <v>25</v>
      </c>
      <c r="H255" s="4" t="s">
        <v>25</v>
      </c>
      <c r="I255" s="5">
        <v>44317</v>
      </c>
      <c r="J255" s="6">
        <v>0</v>
      </c>
      <c r="K255" s="6">
        <v>0</v>
      </c>
      <c r="L255" s="6">
        <v>2.5710000000000002</v>
      </c>
      <c r="M255" s="6">
        <v>2.5710000000000002</v>
      </c>
      <c r="N255" s="6">
        <v>2.5710000000000002</v>
      </c>
      <c r="O255" s="6">
        <v>2.5710000000000002</v>
      </c>
      <c r="P255" s="6">
        <v>53</v>
      </c>
      <c r="Q255" s="4" t="s">
        <v>26</v>
      </c>
      <c r="R255" s="4">
        <v>0</v>
      </c>
      <c r="S255" s="6">
        <v>0</v>
      </c>
      <c r="T255" s="6">
        <v>54</v>
      </c>
      <c r="U255" s="6">
        <v>24</v>
      </c>
      <c r="V255" s="6">
        <f>IF(ISERROR(VLOOKUP($S$255,'TAR FIN'!$A$1:$O$85,15,0)),0,VLOOKUP($S$255,'TAR FIN'!$A$1:$O$85,15,0))</f>
        <v>0</v>
      </c>
      <c r="W255" s="6">
        <f>IF(ISERROR(VLOOKUP($T$255,'TAR FIN'!$A$1:$O$85,15,0)),0,VLOOKUP($T$255,'TAR FIN'!$A$1:$O$85,15,0))</f>
        <v>703.74</v>
      </c>
      <c r="X255" s="6">
        <f>IF(ISERROR(VLOOKUP($U$255,'TAR FIN'!$A$1:$O$85,15,0)),0,VLOOKUP($U$255,'TAR FIN'!$A$1:$O$85,15,0))</f>
        <v>216.26</v>
      </c>
      <c r="Y255" s="6"/>
      <c r="Z255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255" s="6">
        <f>('TE BE'!$AA$14+'TE BF'!$AA$14+'TE CVA'!$AA$14)*(1-CUSTOS!$M$36)</f>
        <v>297.65777684056604</v>
      </c>
      <c r="AB255" s="6">
        <f>$K$255*$V$255</f>
        <v>0</v>
      </c>
      <c r="AC255" s="6">
        <f>$M$255*$W$255</f>
        <v>1809.3155400000001</v>
      </c>
      <c r="AD255" s="6">
        <f>$O$255*$X$255</f>
        <v>556.00445999999999</v>
      </c>
      <c r="AE255" s="6">
        <f>$K$255*$Y$255</f>
        <v>0</v>
      </c>
      <c r="AF255" s="6">
        <f ca="1">$M$255*$Z$255</f>
        <v>1991.4331346543618</v>
      </c>
      <c r="AG255" s="6">
        <f>$O$255*$AA$255</f>
        <v>765.27814425709539</v>
      </c>
    </row>
    <row r="256" spans="1:33" ht="11.25" customHeight="1" x14ac:dyDescent="0.3">
      <c r="A256" s="4" t="s">
        <v>21</v>
      </c>
      <c r="B256" s="4" t="s">
        <v>22</v>
      </c>
      <c r="C256" s="4" t="s">
        <v>23</v>
      </c>
      <c r="D256" s="4" t="s">
        <v>24</v>
      </c>
      <c r="E256" s="4" t="s">
        <v>31</v>
      </c>
      <c r="F256" s="4" t="s">
        <v>25</v>
      </c>
      <c r="G256" s="4" t="s">
        <v>25</v>
      </c>
      <c r="H256" s="4" t="s">
        <v>25</v>
      </c>
      <c r="I256" s="5">
        <v>44348</v>
      </c>
      <c r="J256" s="6">
        <v>0</v>
      </c>
      <c r="K256" s="6">
        <v>0</v>
      </c>
      <c r="L256" s="6">
        <v>3.3809999999999998</v>
      </c>
      <c r="M256" s="6">
        <v>3.3809999999999998</v>
      </c>
      <c r="N256" s="6">
        <v>3.3809999999999998</v>
      </c>
      <c r="O256" s="6">
        <v>3.3809999999999998</v>
      </c>
      <c r="P256" s="6">
        <v>53</v>
      </c>
      <c r="Q256" s="4" t="s">
        <v>26</v>
      </c>
      <c r="R256" s="4">
        <v>0</v>
      </c>
      <c r="S256" s="6">
        <v>0</v>
      </c>
      <c r="T256" s="6">
        <v>54</v>
      </c>
      <c r="U256" s="6">
        <v>24</v>
      </c>
      <c r="V256" s="6">
        <f>IF(ISERROR(VLOOKUP($S$256,'TAR FIN'!$A$1:$O$85,15,0)),0,VLOOKUP($S$256,'TAR FIN'!$A$1:$O$85,15,0))</f>
        <v>0</v>
      </c>
      <c r="W256" s="6">
        <f>IF(ISERROR(VLOOKUP($T$256,'TAR FIN'!$A$1:$O$85,15,0)),0,VLOOKUP($T$256,'TAR FIN'!$A$1:$O$85,15,0))</f>
        <v>703.74</v>
      </c>
      <c r="X256" s="6">
        <f>IF(ISERROR(VLOOKUP($U$256,'TAR FIN'!$A$1:$O$85,15,0)),0,VLOOKUP($U$256,'TAR FIN'!$A$1:$O$85,15,0))</f>
        <v>216.26</v>
      </c>
      <c r="Y256" s="6"/>
      <c r="Z256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256" s="6">
        <f>('TE BE'!$AA$14+'TE BF'!$AA$14+'TE CVA'!$AA$14)*(1-CUSTOS!$M$36)</f>
        <v>297.65777684056604</v>
      </c>
      <c r="AB256" s="6">
        <f>$K$256*$V$256</f>
        <v>0</v>
      </c>
      <c r="AC256" s="6">
        <f>$M$256*$W$256</f>
        <v>2379.34494</v>
      </c>
      <c r="AD256" s="6">
        <f>$O$256*$X$256</f>
        <v>731.17505999999992</v>
      </c>
      <c r="AE256" s="6">
        <f>$K$256*$Y$256</f>
        <v>0</v>
      </c>
      <c r="AF256" s="6">
        <f ca="1">$M$256*$Z$256</f>
        <v>2618.8391397379992</v>
      </c>
      <c r="AG256" s="6">
        <f>$O$256*$AA$256</f>
        <v>1006.3809434979537</v>
      </c>
    </row>
    <row r="257" spans="1:33" ht="11.25" customHeight="1" x14ac:dyDescent="0.3">
      <c r="A257" s="4" t="s">
        <v>21</v>
      </c>
      <c r="B257" s="4" t="s">
        <v>22</v>
      </c>
      <c r="C257" s="4" t="s">
        <v>23</v>
      </c>
      <c r="D257" s="4" t="s">
        <v>24</v>
      </c>
      <c r="E257" s="4" t="s">
        <v>31</v>
      </c>
      <c r="F257" s="4" t="s">
        <v>25</v>
      </c>
      <c r="G257" s="4" t="s">
        <v>25</v>
      </c>
      <c r="H257" s="4" t="s">
        <v>25</v>
      </c>
      <c r="I257" s="5">
        <v>44378</v>
      </c>
      <c r="J257" s="6">
        <v>0</v>
      </c>
      <c r="K257" s="6">
        <v>0</v>
      </c>
      <c r="L257" s="6">
        <v>1.5980000000000001</v>
      </c>
      <c r="M257" s="6">
        <v>1.5980000000000001</v>
      </c>
      <c r="N257" s="6">
        <v>1.5980000000000001</v>
      </c>
      <c r="O257" s="6">
        <v>1.5980000000000001</v>
      </c>
      <c r="P257" s="6">
        <v>42</v>
      </c>
      <c r="Q257" s="4" t="s">
        <v>26</v>
      </c>
      <c r="R257" s="4">
        <v>0</v>
      </c>
      <c r="S257" s="6">
        <v>0</v>
      </c>
      <c r="T257" s="6">
        <v>54</v>
      </c>
      <c r="U257" s="6">
        <v>24</v>
      </c>
      <c r="V257" s="6">
        <f>IF(ISERROR(VLOOKUP($S$257,'TAR FIN'!$A$1:$O$85,15,0)),0,VLOOKUP($S$257,'TAR FIN'!$A$1:$O$85,15,0))</f>
        <v>0</v>
      </c>
      <c r="W257" s="6">
        <f>IF(ISERROR(VLOOKUP($T$257,'TAR FIN'!$A$1:$O$85,15,0)),0,VLOOKUP($T$257,'TAR FIN'!$A$1:$O$85,15,0))</f>
        <v>703.74</v>
      </c>
      <c r="X257" s="6">
        <f>IF(ISERROR(VLOOKUP($U$257,'TAR FIN'!$A$1:$O$85,15,0)),0,VLOOKUP($U$257,'TAR FIN'!$A$1:$O$85,15,0))</f>
        <v>216.26</v>
      </c>
      <c r="Y257" s="6"/>
      <c r="Z257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257" s="6">
        <f>('TE BE'!$AA$14+'TE BF'!$AA$14+'TE CVA'!$AA$14)*(1-CUSTOS!$M$36)</f>
        <v>297.65777684056604</v>
      </c>
      <c r="AB257" s="6">
        <f>$K$257*$V$257</f>
        <v>0</v>
      </c>
      <c r="AC257" s="6">
        <f>$M$257*$W$257</f>
        <v>1124.5765200000001</v>
      </c>
      <c r="AD257" s="6">
        <f>$O$257*$X$257</f>
        <v>345.58348000000001</v>
      </c>
      <c r="AE257" s="6">
        <f>$K$257*$Y$257</f>
        <v>0</v>
      </c>
      <c r="AF257" s="6">
        <f ca="1">$M$257*$Z$257</f>
        <v>1237.7713532390781</v>
      </c>
      <c r="AG257" s="6">
        <f>$O$257*$AA$257</f>
        <v>475.65712739122455</v>
      </c>
    </row>
    <row r="258" spans="1:33" ht="11.25" customHeight="1" x14ac:dyDescent="0.3">
      <c r="A258" s="4" t="s">
        <v>21</v>
      </c>
      <c r="B258" s="4" t="s">
        <v>22</v>
      </c>
      <c r="C258" s="4" t="s">
        <v>23</v>
      </c>
      <c r="D258" s="4" t="s">
        <v>24</v>
      </c>
      <c r="E258" s="4" t="s">
        <v>31</v>
      </c>
      <c r="F258" s="4" t="s">
        <v>25</v>
      </c>
      <c r="G258" s="4" t="s">
        <v>25</v>
      </c>
      <c r="H258" s="4" t="s">
        <v>25</v>
      </c>
      <c r="I258" s="5">
        <v>44409</v>
      </c>
      <c r="J258" s="6">
        <v>0</v>
      </c>
      <c r="K258" s="6">
        <v>0</v>
      </c>
      <c r="L258" s="6">
        <v>1.5640000000000001</v>
      </c>
      <c r="M258" s="6">
        <v>1.5640000000000001</v>
      </c>
      <c r="N258" s="6">
        <v>1.5640000000000001</v>
      </c>
      <c r="O258" s="6">
        <v>1.5640000000000001</v>
      </c>
      <c r="P258" s="6">
        <v>39</v>
      </c>
      <c r="Q258" s="4" t="s">
        <v>26</v>
      </c>
      <c r="R258" s="4">
        <v>0</v>
      </c>
      <c r="S258" s="6">
        <v>0</v>
      </c>
      <c r="T258" s="6">
        <v>54</v>
      </c>
      <c r="U258" s="6">
        <v>24</v>
      </c>
      <c r="V258" s="6">
        <f>IF(ISERROR(VLOOKUP($S$258,'TAR FIN'!$A$1:$O$85,15,0)),0,VLOOKUP($S$258,'TAR FIN'!$A$1:$O$85,15,0))</f>
        <v>0</v>
      </c>
      <c r="W258" s="6">
        <f>IF(ISERROR(VLOOKUP($T$258,'TAR FIN'!$A$1:$O$85,15,0)),0,VLOOKUP($T$258,'TAR FIN'!$A$1:$O$85,15,0))</f>
        <v>703.74</v>
      </c>
      <c r="X258" s="6">
        <f>IF(ISERROR(VLOOKUP($U$258,'TAR FIN'!$A$1:$O$85,15,0)),0,VLOOKUP($U$258,'TAR FIN'!$A$1:$O$85,15,0))</f>
        <v>216.26</v>
      </c>
      <c r="Y258" s="6"/>
      <c r="Z258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258" s="6">
        <f>('TE BE'!$AA$14+'TE BF'!$AA$14+'TE CVA'!$AA$14)*(1-CUSTOS!$M$36)</f>
        <v>297.65777684056604</v>
      </c>
      <c r="AB258" s="6">
        <f>$K$258*$V$258</f>
        <v>0</v>
      </c>
      <c r="AC258" s="6">
        <f>$M$258*$W$258</f>
        <v>1100.6493600000001</v>
      </c>
      <c r="AD258" s="6">
        <f>$O$258*$X$258</f>
        <v>338.23063999999999</v>
      </c>
      <c r="AE258" s="6">
        <f>$K$258*$Y$258</f>
        <v>0</v>
      </c>
      <c r="AF258" s="6">
        <f ca="1">$M$258*$Z$258</f>
        <v>1211.4357925318636</v>
      </c>
      <c r="AG258" s="6">
        <f>$O$258*$AA$258</f>
        <v>465.5367629786453</v>
      </c>
    </row>
    <row r="259" spans="1:33" ht="11.25" customHeight="1" x14ac:dyDescent="0.3">
      <c r="A259" s="4" t="s">
        <v>21</v>
      </c>
      <c r="B259" s="4" t="s">
        <v>22</v>
      </c>
      <c r="C259" s="4" t="s">
        <v>23</v>
      </c>
      <c r="D259" s="4" t="s">
        <v>24</v>
      </c>
      <c r="E259" s="4" t="s">
        <v>31</v>
      </c>
      <c r="F259" s="4" t="s">
        <v>25</v>
      </c>
      <c r="G259" s="4" t="s">
        <v>25</v>
      </c>
      <c r="H259" s="4" t="s">
        <v>25</v>
      </c>
      <c r="I259" s="5">
        <v>44440</v>
      </c>
      <c r="J259" s="6">
        <v>0</v>
      </c>
      <c r="K259" s="6">
        <v>0</v>
      </c>
      <c r="L259" s="6">
        <v>2.6970000000000001</v>
      </c>
      <c r="M259" s="6">
        <v>2.6970000000000001</v>
      </c>
      <c r="N259" s="6">
        <v>2.6970000000000001</v>
      </c>
      <c r="O259" s="6">
        <v>2.6970000000000001</v>
      </c>
      <c r="P259" s="6">
        <v>52</v>
      </c>
      <c r="Q259" s="4" t="s">
        <v>26</v>
      </c>
      <c r="R259" s="4">
        <v>0</v>
      </c>
      <c r="S259" s="6">
        <v>0</v>
      </c>
      <c r="T259" s="6">
        <v>54</v>
      </c>
      <c r="U259" s="6">
        <v>24</v>
      </c>
      <c r="V259" s="6">
        <f>IF(ISERROR(VLOOKUP($S$259,'TAR FIN'!$A$1:$O$85,15,0)),0,VLOOKUP($S$259,'TAR FIN'!$A$1:$O$85,15,0))</f>
        <v>0</v>
      </c>
      <c r="W259" s="6">
        <f>IF(ISERROR(VLOOKUP($T$259,'TAR FIN'!$A$1:$O$85,15,0)),0,VLOOKUP($T$259,'TAR FIN'!$A$1:$O$85,15,0))</f>
        <v>703.74</v>
      </c>
      <c r="X259" s="6">
        <f>IF(ISERROR(VLOOKUP($U$259,'TAR FIN'!$A$1:$O$85,15,0)),0,VLOOKUP($U$259,'TAR FIN'!$A$1:$O$85,15,0))</f>
        <v>216.26</v>
      </c>
      <c r="Y259" s="6"/>
      <c r="Z259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259" s="6">
        <f>('TE BE'!$AA$14+'TE BF'!$AA$14+'TE CVA'!$AA$14)*(1-CUSTOS!$M$36)</f>
        <v>297.65777684056604</v>
      </c>
      <c r="AB259" s="6">
        <f>$K$259*$V$259</f>
        <v>0</v>
      </c>
      <c r="AC259" s="6">
        <f>$M$259*$W$259</f>
        <v>1897.9867800000002</v>
      </c>
      <c r="AD259" s="6">
        <f>$O$259*$X$259</f>
        <v>583.25321999999994</v>
      </c>
      <c r="AE259" s="6">
        <f>$K$259*$Y$259</f>
        <v>0</v>
      </c>
      <c r="AF259" s="6">
        <f ca="1">$M$259*$Z$259</f>
        <v>2089.0296243340385</v>
      </c>
      <c r="AG259" s="6">
        <f>$O$259*$AA$259</f>
        <v>802.78302413900667</v>
      </c>
    </row>
    <row r="260" spans="1:33" ht="11.25" customHeight="1" x14ac:dyDescent="0.3">
      <c r="A260" s="4" t="s">
        <v>21</v>
      </c>
      <c r="B260" s="4" t="s">
        <v>22</v>
      </c>
      <c r="C260" s="4" t="s">
        <v>23</v>
      </c>
      <c r="D260" s="4" t="s">
        <v>24</v>
      </c>
      <c r="E260" s="4" t="s">
        <v>31</v>
      </c>
      <c r="F260" s="4" t="s">
        <v>25</v>
      </c>
      <c r="G260" s="4" t="s">
        <v>25</v>
      </c>
      <c r="H260" s="4" t="s">
        <v>25</v>
      </c>
      <c r="I260" s="5">
        <v>44470</v>
      </c>
      <c r="J260" s="6">
        <v>0</v>
      </c>
      <c r="K260" s="6">
        <v>0</v>
      </c>
      <c r="L260" s="6">
        <v>2.8450000000000002</v>
      </c>
      <c r="M260" s="6">
        <v>2.8450000000000002</v>
      </c>
      <c r="N260" s="6">
        <v>2.8450000000000002</v>
      </c>
      <c r="O260" s="6">
        <v>2.8450000000000002</v>
      </c>
      <c r="P260" s="6">
        <v>54</v>
      </c>
      <c r="Q260" s="4" t="s">
        <v>26</v>
      </c>
      <c r="R260" s="4">
        <v>0</v>
      </c>
      <c r="S260" s="6">
        <v>0</v>
      </c>
      <c r="T260" s="6">
        <v>54</v>
      </c>
      <c r="U260" s="6">
        <v>24</v>
      </c>
      <c r="V260" s="6">
        <f>IF(ISERROR(VLOOKUP($S$260,'TAR FIN'!$A$1:$O$85,15,0)),0,VLOOKUP($S$260,'TAR FIN'!$A$1:$O$85,15,0))</f>
        <v>0</v>
      </c>
      <c r="W260" s="6">
        <f>IF(ISERROR(VLOOKUP($T$260,'TAR FIN'!$A$1:$O$85,15,0)),0,VLOOKUP($T$260,'TAR FIN'!$A$1:$O$85,15,0))</f>
        <v>703.74</v>
      </c>
      <c r="X260" s="6">
        <f>IF(ISERROR(VLOOKUP($U$260,'TAR FIN'!$A$1:$O$85,15,0)),0,VLOOKUP($U$260,'TAR FIN'!$A$1:$O$85,15,0))</f>
        <v>216.26</v>
      </c>
      <c r="Y260" s="6"/>
      <c r="Z260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260" s="6">
        <f>('TE BE'!$AA$14+'TE BF'!$AA$14+'TE CVA'!$AA$14)*(1-CUSTOS!$M$36)</f>
        <v>297.65777684056604</v>
      </c>
      <c r="AB260" s="6">
        <f>$K$260*$V$260</f>
        <v>0</v>
      </c>
      <c r="AC260" s="6">
        <f>$M$260*$W$260</f>
        <v>2002.1403000000003</v>
      </c>
      <c r="AD260" s="6">
        <f>$O$260*$X$260</f>
        <v>615.25970000000007</v>
      </c>
      <c r="AE260" s="6">
        <f>$K$260*$Y$260</f>
        <v>0</v>
      </c>
      <c r="AF260" s="6">
        <f ca="1">$M$260*$Z$260</f>
        <v>2203.6667709419135</v>
      </c>
      <c r="AG260" s="6">
        <f>$O$260*$AA$260</f>
        <v>846.83637511141046</v>
      </c>
    </row>
    <row r="261" spans="1:33" ht="11.25" customHeight="1" x14ac:dyDescent="0.3">
      <c r="A261" s="4" t="s">
        <v>21</v>
      </c>
      <c r="B261" s="4" t="s">
        <v>22</v>
      </c>
      <c r="C261" s="4" t="s">
        <v>23</v>
      </c>
      <c r="D261" s="4" t="s">
        <v>24</v>
      </c>
      <c r="E261" s="4" t="s">
        <v>31</v>
      </c>
      <c r="F261" s="4" t="s">
        <v>25</v>
      </c>
      <c r="G261" s="4" t="s">
        <v>25</v>
      </c>
      <c r="H261" s="4" t="s">
        <v>25</v>
      </c>
      <c r="I261" s="5">
        <v>44501</v>
      </c>
      <c r="J261" s="6">
        <v>0</v>
      </c>
      <c r="K261" s="6">
        <v>0</v>
      </c>
      <c r="L261" s="6">
        <v>2.488</v>
      </c>
      <c r="M261" s="6">
        <v>2.488</v>
      </c>
      <c r="N261" s="6">
        <v>2.488</v>
      </c>
      <c r="O261" s="6">
        <v>2.488</v>
      </c>
      <c r="P261" s="6">
        <v>51</v>
      </c>
      <c r="Q261" s="4" t="s">
        <v>26</v>
      </c>
      <c r="R261" s="4">
        <v>0</v>
      </c>
      <c r="S261" s="6">
        <v>0</v>
      </c>
      <c r="T261" s="6">
        <v>54</v>
      </c>
      <c r="U261" s="6">
        <v>24</v>
      </c>
      <c r="V261" s="6">
        <f>IF(ISERROR(VLOOKUP($S$261,'TAR FIN'!$A$1:$O$85,15,0)),0,VLOOKUP($S$261,'TAR FIN'!$A$1:$O$85,15,0))</f>
        <v>0</v>
      </c>
      <c r="W261" s="6">
        <f>IF(ISERROR(VLOOKUP($T$261,'TAR FIN'!$A$1:$O$85,15,0)),0,VLOOKUP($T$261,'TAR FIN'!$A$1:$O$85,15,0))</f>
        <v>703.74</v>
      </c>
      <c r="X261" s="6">
        <f>IF(ISERROR(VLOOKUP($U$261,'TAR FIN'!$A$1:$O$85,15,0)),0,VLOOKUP($U$261,'TAR FIN'!$A$1:$O$85,15,0))</f>
        <v>216.26</v>
      </c>
      <c r="Y261" s="6"/>
      <c r="Z261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261" s="6">
        <f>('TE BE'!$AA$14+'TE BF'!$AA$14+'TE CVA'!$AA$14)*(1-CUSTOS!$M$36)</f>
        <v>297.65777684056604</v>
      </c>
      <c r="AB261" s="6">
        <f>$K$261*$V$261</f>
        <v>0</v>
      </c>
      <c r="AC261" s="6">
        <f>$M$261*$W$261</f>
        <v>1750.9051200000001</v>
      </c>
      <c r="AD261" s="6">
        <f>$O$261*$X$261</f>
        <v>538.05488000000003</v>
      </c>
      <c r="AE261" s="6">
        <f>$K$261*$Y$261</f>
        <v>0</v>
      </c>
      <c r="AF261" s="6">
        <f ca="1">$M$261*$Z$261</f>
        <v>1927.1433835161615</v>
      </c>
      <c r="AG261" s="6">
        <f>$O$261*$AA$261</f>
        <v>740.57254877932826</v>
      </c>
    </row>
    <row r="262" spans="1:33" ht="11.25" customHeight="1" x14ac:dyDescent="0.3">
      <c r="A262" s="4" t="s">
        <v>21</v>
      </c>
      <c r="B262" s="4" t="s">
        <v>22</v>
      </c>
      <c r="C262" s="4" t="s">
        <v>23</v>
      </c>
      <c r="D262" s="4" t="s">
        <v>24</v>
      </c>
      <c r="E262" s="4" t="s">
        <v>31</v>
      </c>
      <c r="F262" s="4" t="s">
        <v>25</v>
      </c>
      <c r="G262" s="4" t="s">
        <v>25</v>
      </c>
      <c r="H262" s="4" t="s">
        <v>25</v>
      </c>
      <c r="I262" s="5">
        <v>44531</v>
      </c>
      <c r="J262" s="6">
        <v>0</v>
      </c>
      <c r="K262" s="6">
        <v>0</v>
      </c>
      <c r="L262" s="6">
        <v>3.766</v>
      </c>
      <c r="M262" s="6">
        <v>3.766</v>
      </c>
      <c r="N262" s="6">
        <v>3.766</v>
      </c>
      <c r="O262" s="6">
        <v>3.766</v>
      </c>
      <c r="P262" s="6">
        <v>59</v>
      </c>
      <c r="Q262" s="4" t="s">
        <v>26</v>
      </c>
      <c r="R262" s="4">
        <v>0</v>
      </c>
      <c r="S262" s="6">
        <v>0</v>
      </c>
      <c r="T262" s="6">
        <v>54</v>
      </c>
      <c r="U262" s="6">
        <v>24</v>
      </c>
      <c r="V262" s="6">
        <f>IF(ISERROR(VLOOKUP($S$262,'TAR FIN'!$A$1:$O$85,15,0)),0,VLOOKUP($S$262,'TAR FIN'!$A$1:$O$85,15,0))</f>
        <v>0</v>
      </c>
      <c r="W262" s="6">
        <f>IF(ISERROR(VLOOKUP($T$262,'TAR FIN'!$A$1:$O$85,15,0)),0,VLOOKUP($T$262,'TAR FIN'!$A$1:$O$85,15,0))</f>
        <v>703.74</v>
      </c>
      <c r="X262" s="6">
        <f>IF(ISERROR(VLOOKUP($U$262,'TAR FIN'!$A$1:$O$85,15,0)),0,VLOOKUP($U$262,'TAR FIN'!$A$1:$O$85,15,0))</f>
        <v>216.26</v>
      </c>
      <c r="Y262" s="6"/>
      <c r="Z262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262" s="6">
        <f>('TE BE'!$AA$14+'TE BF'!$AA$14+'TE CVA'!$AA$14)*(1-CUSTOS!$M$36)</f>
        <v>297.65777684056604</v>
      </c>
      <c r="AB262" s="6">
        <f>$K$262*$V$262</f>
        <v>0</v>
      </c>
      <c r="AC262" s="6">
        <f>$M$262*$W$262</f>
        <v>2650.2848400000003</v>
      </c>
      <c r="AD262" s="6">
        <f>$O$262*$X$262</f>
        <v>814.43516</v>
      </c>
      <c r="AE262" s="6">
        <f>$K$262*$Y$262</f>
        <v>0</v>
      </c>
      <c r="AF262" s="6">
        <f ca="1">$M$262*$Z$262</f>
        <v>2917.0506359814567</v>
      </c>
      <c r="AG262" s="6">
        <f>$O$262*$AA$262</f>
        <v>1120.9791875815718</v>
      </c>
    </row>
    <row r="263" spans="1:33" ht="11.25" customHeight="1" x14ac:dyDescent="0.3">
      <c r="A263" s="4" t="s">
        <v>21</v>
      </c>
      <c r="B263" s="4" t="s">
        <v>22</v>
      </c>
      <c r="C263" s="4" t="s">
        <v>23</v>
      </c>
      <c r="D263" s="4" t="s">
        <v>24</v>
      </c>
      <c r="E263" s="4" t="s">
        <v>31</v>
      </c>
      <c r="F263" s="4" t="s">
        <v>25</v>
      </c>
      <c r="G263" s="4" t="s">
        <v>25</v>
      </c>
      <c r="H263" s="4" t="s">
        <v>25</v>
      </c>
      <c r="I263" s="5">
        <v>44562</v>
      </c>
      <c r="J263" s="6">
        <v>0</v>
      </c>
      <c r="K263" s="6">
        <v>0</v>
      </c>
      <c r="L263" s="6">
        <v>4.38</v>
      </c>
      <c r="M263" s="6">
        <v>4.38</v>
      </c>
      <c r="N263" s="6">
        <v>4.38</v>
      </c>
      <c r="O263" s="6">
        <v>4.38</v>
      </c>
      <c r="P263" s="6">
        <v>60</v>
      </c>
      <c r="Q263" s="4" t="s">
        <v>26</v>
      </c>
      <c r="R263" s="4">
        <v>0</v>
      </c>
      <c r="S263" s="6">
        <v>0</v>
      </c>
      <c r="T263" s="6">
        <v>54</v>
      </c>
      <c r="U263" s="6">
        <v>24</v>
      </c>
      <c r="V263" s="6">
        <f>IF(ISERROR(VLOOKUP($S$263,'TAR FIN'!$A$1:$O$85,15,0)),0,VLOOKUP($S$263,'TAR FIN'!$A$1:$O$85,15,0))</f>
        <v>0</v>
      </c>
      <c r="W263" s="6">
        <f>IF(ISERROR(VLOOKUP($T$263,'TAR FIN'!$A$1:$O$85,15,0)),0,VLOOKUP($T$263,'TAR FIN'!$A$1:$O$85,15,0))</f>
        <v>703.74</v>
      </c>
      <c r="X263" s="6">
        <f>IF(ISERROR(VLOOKUP($U$263,'TAR FIN'!$A$1:$O$85,15,0)),0,VLOOKUP($U$263,'TAR FIN'!$A$1:$O$85,15,0))</f>
        <v>216.26</v>
      </c>
      <c r="Y263" s="6"/>
      <c r="Z263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263" s="6">
        <f>('TE BE'!$AA$14+'TE BF'!$AA$14+'TE CVA'!$AA$14)*(1-CUSTOS!$M$36)</f>
        <v>297.65777684056604</v>
      </c>
      <c r="AB263" s="6">
        <f>$K$263*$V$263</f>
        <v>0</v>
      </c>
      <c r="AC263" s="6">
        <f>$M$263*$W$263</f>
        <v>3082.3811999999998</v>
      </c>
      <c r="AD263" s="6">
        <f>$O$263*$X$263</f>
        <v>947.21879999999999</v>
      </c>
      <c r="AE263" s="6">
        <f>$K$263*$Y$263</f>
        <v>0</v>
      </c>
      <c r="AF263" s="6">
        <f ca="1">$M$263*$Z$263</f>
        <v>3392.6398793411527</v>
      </c>
      <c r="AG263" s="6">
        <f>$O$263*$AA$263</f>
        <v>1303.7410625616792</v>
      </c>
    </row>
    <row r="264" spans="1:33" ht="11.25" customHeight="1" x14ac:dyDescent="0.3">
      <c r="A264" s="4" t="s">
        <v>21</v>
      </c>
      <c r="B264" s="4" t="s">
        <v>22</v>
      </c>
      <c r="C264" s="4" t="s">
        <v>23</v>
      </c>
      <c r="D264" s="4" t="s">
        <v>24</v>
      </c>
      <c r="E264" s="4" t="s">
        <v>31</v>
      </c>
      <c r="F264" s="4" t="s">
        <v>25</v>
      </c>
      <c r="G264" s="4" t="s">
        <v>25</v>
      </c>
      <c r="H264" s="4" t="s">
        <v>25</v>
      </c>
      <c r="I264" s="5">
        <v>44593</v>
      </c>
      <c r="J264" s="6">
        <v>0</v>
      </c>
      <c r="K264" s="6">
        <v>0</v>
      </c>
      <c r="L264" s="6">
        <v>6.0750000000000002</v>
      </c>
      <c r="M264" s="6">
        <v>6.0750000000000002</v>
      </c>
      <c r="N264" s="6">
        <v>6.0750000000000002</v>
      </c>
      <c r="O264" s="6">
        <v>6.0750000000000002</v>
      </c>
      <c r="P264" s="6">
        <v>68</v>
      </c>
      <c r="Q264" s="4" t="s">
        <v>26</v>
      </c>
      <c r="R264" s="4">
        <v>0</v>
      </c>
      <c r="S264" s="6">
        <v>0</v>
      </c>
      <c r="T264" s="6">
        <v>54</v>
      </c>
      <c r="U264" s="6">
        <v>24</v>
      </c>
      <c r="V264" s="6">
        <f>IF(ISERROR(VLOOKUP($S$264,'TAR FIN'!$A$1:$O$85,15,0)),0,VLOOKUP($S$264,'TAR FIN'!$A$1:$O$85,15,0))</f>
        <v>0</v>
      </c>
      <c r="W264" s="6">
        <f>IF(ISERROR(VLOOKUP($T$264,'TAR FIN'!$A$1:$O$85,15,0)),0,VLOOKUP($T$264,'TAR FIN'!$A$1:$O$85,15,0))</f>
        <v>703.74</v>
      </c>
      <c r="X264" s="6">
        <f>IF(ISERROR(VLOOKUP($U$264,'TAR FIN'!$A$1:$O$85,15,0)),0,VLOOKUP($U$264,'TAR FIN'!$A$1:$O$85,15,0))</f>
        <v>216.26</v>
      </c>
      <c r="Y264" s="6"/>
      <c r="Z264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264" s="6">
        <f>('TE BE'!$AA$14+'TE BF'!$AA$14+'TE CVA'!$AA$14)*(1-CUSTOS!$M$36)</f>
        <v>297.65777684056604</v>
      </c>
      <c r="AB264" s="6">
        <f>$K$264*$V$264</f>
        <v>0</v>
      </c>
      <c r="AC264" s="6">
        <f>$M$264*$W$264</f>
        <v>4275.2205000000004</v>
      </c>
      <c r="AD264" s="6">
        <f>$O$264*$X$264</f>
        <v>1313.7794999999999</v>
      </c>
      <c r="AE264" s="6">
        <f>$K$264*$Y$264</f>
        <v>0</v>
      </c>
      <c r="AF264" s="6">
        <f ca="1">$M$264*$Z$264</f>
        <v>4705.545038127284</v>
      </c>
      <c r="AG264" s="6">
        <f>$O$264*$AA$264</f>
        <v>1808.2709943064388</v>
      </c>
    </row>
    <row r="265" spans="1:33" ht="11.25" customHeight="1" x14ac:dyDescent="0.3">
      <c r="A265" s="4" t="s">
        <v>21</v>
      </c>
      <c r="B265" s="4" t="s">
        <v>22</v>
      </c>
      <c r="C265" s="4" t="s">
        <v>23</v>
      </c>
      <c r="D265" s="4" t="s">
        <v>24</v>
      </c>
      <c r="E265" s="4" t="s">
        <v>31</v>
      </c>
      <c r="F265" s="4" t="s">
        <v>25</v>
      </c>
      <c r="G265" s="4" t="s">
        <v>25</v>
      </c>
      <c r="H265" s="4" t="s">
        <v>25</v>
      </c>
      <c r="I265" s="5">
        <v>44621</v>
      </c>
      <c r="J265" s="6">
        <v>0</v>
      </c>
      <c r="K265" s="6">
        <v>0</v>
      </c>
      <c r="L265" s="6">
        <v>19.045999999999999</v>
      </c>
      <c r="M265" s="6">
        <v>19.045999999999999</v>
      </c>
      <c r="N265" s="6">
        <v>19.045999999999999</v>
      </c>
      <c r="O265" s="6">
        <v>19.045999999999999</v>
      </c>
      <c r="P265" s="6">
        <v>199</v>
      </c>
      <c r="Q265" s="4" t="s">
        <v>26</v>
      </c>
      <c r="R265" s="4">
        <v>0</v>
      </c>
      <c r="S265" s="6">
        <v>0</v>
      </c>
      <c r="T265" s="6">
        <v>54</v>
      </c>
      <c r="U265" s="6">
        <v>24</v>
      </c>
      <c r="V265" s="6">
        <f>IF(ISERROR(VLOOKUP($S$265,'TAR FIN'!$A$1:$O$85,15,0)),0,VLOOKUP($S$265,'TAR FIN'!$A$1:$O$85,15,0))</f>
        <v>0</v>
      </c>
      <c r="W265" s="6">
        <f>IF(ISERROR(VLOOKUP($T$265,'TAR FIN'!$A$1:$O$85,15,0)),0,VLOOKUP($T$265,'TAR FIN'!$A$1:$O$85,15,0))</f>
        <v>703.74</v>
      </c>
      <c r="X265" s="6">
        <f>IF(ISERROR(VLOOKUP($U$265,'TAR FIN'!$A$1:$O$85,15,0)),0,VLOOKUP($U$265,'TAR FIN'!$A$1:$O$85,15,0))</f>
        <v>216.26</v>
      </c>
      <c r="Y265" s="6"/>
      <c r="Z265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265" s="6">
        <f>('TE BE'!$AA$14+'TE BF'!$AA$14+'TE CVA'!$AA$14)*(1-CUSTOS!$M$36)</f>
        <v>297.65777684056604</v>
      </c>
      <c r="AB265" s="6">
        <f>$K$265*$V$265</f>
        <v>0</v>
      </c>
      <c r="AC265" s="6">
        <f>$M$265*$W$265</f>
        <v>13403.43204</v>
      </c>
      <c r="AD265" s="6">
        <f>$O$265*$X$265</f>
        <v>4118.88796</v>
      </c>
      <c r="AE265" s="6">
        <f>$K$265*$Y$265</f>
        <v>0</v>
      </c>
      <c r="AF265" s="6">
        <f ca="1">$M$265*$Z$265</f>
        <v>14752.561447929587</v>
      </c>
      <c r="AG265" s="6">
        <f>$O$265*$AA$265</f>
        <v>5669.1900177054204</v>
      </c>
    </row>
    <row r="266" spans="1:33" ht="11.25" customHeight="1" x14ac:dyDescent="0.3">
      <c r="A266" s="4" t="s">
        <v>21</v>
      </c>
      <c r="B266" s="4" t="s">
        <v>22</v>
      </c>
      <c r="C266" s="4" t="s">
        <v>23</v>
      </c>
      <c r="D266" s="4" t="s">
        <v>24</v>
      </c>
      <c r="E266" s="4" t="s">
        <v>32</v>
      </c>
      <c r="F266" s="4" t="s">
        <v>25</v>
      </c>
      <c r="G266" s="4" t="s">
        <v>25</v>
      </c>
      <c r="H266" s="4" t="s">
        <v>25</v>
      </c>
      <c r="I266" s="5">
        <v>44287</v>
      </c>
      <c r="J266" s="6">
        <v>0</v>
      </c>
      <c r="K266" s="6">
        <v>0</v>
      </c>
      <c r="L266" s="6">
        <v>0.97699999999999998</v>
      </c>
      <c r="M266" s="6">
        <v>0.97699999999999998</v>
      </c>
      <c r="N266" s="6">
        <v>0.97699999999999998</v>
      </c>
      <c r="O266" s="6">
        <v>0.97699999999999998</v>
      </c>
      <c r="P266" s="6">
        <v>9</v>
      </c>
      <c r="Q266" s="4" t="s">
        <v>26</v>
      </c>
      <c r="R266" s="4">
        <v>0</v>
      </c>
      <c r="S266" s="6">
        <v>0</v>
      </c>
      <c r="T266" s="6">
        <v>10</v>
      </c>
      <c r="U266" s="6">
        <v>25</v>
      </c>
      <c r="V266" s="6">
        <f>IF(ISERROR(VLOOKUP($S$266,'TAR FIN'!$A$1:$O$85,15,0)),0,VLOOKUP($S$266,'TAR FIN'!$A$1:$O$85,15,0))</f>
        <v>0</v>
      </c>
      <c r="W266" s="6">
        <f>IF(ISERROR(VLOOKUP($T$266,'TAR FIN'!$A$1:$O$85,15,0)),0,VLOOKUP($T$266,'TAR FIN'!$A$1:$O$85,15,0))</f>
        <v>781.93</v>
      </c>
      <c r="X266" s="6">
        <f>IF(ISERROR(VLOOKUP($U$266,'TAR FIN'!$A$1:$O$85,15,0)),0,VLOOKUP($U$266,'TAR FIN'!$A$1:$O$85,15,0))</f>
        <v>240.29</v>
      </c>
      <c r="Y266" s="6"/>
      <c r="Z266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266" s="6">
        <f>('TE BE'!$AA$15+'TE BF'!$AA$15+'TE CVA'!$AA$15)*(1-CUSTOS!$M$37)</f>
        <v>330.73086315618451</v>
      </c>
      <c r="AB266" s="6">
        <f>$K$266*$V$266</f>
        <v>0</v>
      </c>
      <c r="AC266" s="6">
        <f>$M$266*$W$266</f>
        <v>763.94560999999999</v>
      </c>
      <c r="AD266" s="6">
        <f>$O$266*$X$266</f>
        <v>234.76333</v>
      </c>
      <c r="AE266" s="6">
        <f>$K$266*$Y$266</f>
        <v>0</v>
      </c>
      <c r="AF266" s="6">
        <f ca="1">$M$266*$Z$266</f>
        <v>840.84453630550627</v>
      </c>
      <c r="AG266" s="6">
        <f>$O$266*$AA$266</f>
        <v>323.12405330359223</v>
      </c>
    </row>
    <row r="267" spans="1:33" ht="11.25" customHeight="1" x14ac:dyDescent="0.3">
      <c r="A267" s="4" t="s">
        <v>21</v>
      </c>
      <c r="B267" s="4" t="s">
        <v>22</v>
      </c>
      <c r="C267" s="4" t="s">
        <v>23</v>
      </c>
      <c r="D267" s="4" t="s">
        <v>24</v>
      </c>
      <c r="E267" s="4" t="s">
        <v>32</v>
      </c>
      <c r="F267" s="4" t="s">
        <v>25</v>
      </c>
      <c r="G267" s="4" t="s">
        <v>25</v>
      </c>
      <c r="H267" s="4" t="s">
        <v>25</v>
      </c>
      <c r="I267" s="5">
        <v>44317</v>
      </c>
      <c r="J267" s="6">
        <v>0</v>
      </c>
      <c r="K267" s="6">
        <v>0</v>
      </c>
      <c r="L267" s="6">
        <v>0.21199999999999999</v>
      </c>
      <c r="M267" s="6">
        <v>0.21199999999999999</v>
      </c>
      <c r="N267" s="6">
        <v>0.21199999999999999</v>
      </c>
      <c r="O267" s="6">
        <v>0.21199999999999999</v>
      </c>
      <c r="P267" s="6">
        <v>4</v>
      </c>
      <c r="Q267" s="4" t="s">
        <v>26</v>
      </c>
      <c r="R267" s="4">
        <v>0</v>
      </c>
      <c r="S267" s="6">
        <v>0</v>
      </c>
      <c r="T267" s="6">
        <v>10</v>
      </c>
      <c r="U267" s="6">
        <v>25</v>
      </c>
      <c r="V267" s="6">
        <f>IF(ISERROR(VLOOKUP($S$267,'TAR FIN'!$A$1:$O$85,15,0)),0,VLOOKUP($S$267,'TAR FIN'!$A$1:$O$85,15,0))</f>
        <v>0</v>
      </c>
      <c r="W267" s="6">
        <f>IF(ISERROR(VLOOKUP($T$267,'TAR FIN'!$A$1:$O$85,15,0)),0,VLOOKUP($T$267,'TAR FIN'!$A$1:$O$85,15,0))</f>
        <v>781.93</v>
      </c>
      <c r="X267" s="6">
        <f>IF(ISERROR(VLOOKUP($U$267,'TAR FIN'!$A$1:$O$85,15,0)),0,VLOOKUP($U$267,'TAR FIN'!$A$1:$O$85,15,0))</f>
        <v>240.29</v>
      </c>
      <c r="Y267" s="6"/>
      <c r="Z267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267" s="6">
        <f>('TE BE'!$AA$15+'TE BF'!$AA$15+'TE CVA'!$AA$15)*(1-CUSTOS!$M$37)</f>
        <v>330.73086315618451</v>
      </c>
      <c r="AB267" s="6">
        <f>$K$267*$V$267</f>
        <v>0</v>
      </c>
      <c r="AC267" s="6">
        <f>$M$267*$W$267</f>
        <v>165.76915999999997</v>
      </c>
      <c r="AD267" s="6">
        <f>$O$267*$X$267</f>
        <v>50.941479999999999</v>
      </c>
      <c r="AE267" s="6">
        <f>$K$267*$Y$267</f>
        <v>0</v>
      </c>
      <c r="AF267" s="6">
        <f ca="1">$M$267*$Z$267</f>
        <v>182.45551862514569</v>
      </c>
      <c r="AG267" s="6">
        <f>$O$267*$AA$267</f>
        <v>70.114942989111114</v>
      </c>
    </row>
    <row r="268" spans="1:33" ht="11.25" customHeight="1" x14ac:dyDescent="0.3">
      <c r="A268" s="4" t="s">
        <v>21</v>
      </c>
      <c r="B268" s="4" t="s">
        <v>22</v>
      </c>
      <c r="C268" s="4" t="s">
        <v>23</v>
      </c>
      <c r="D268" s="4" t="s">
        <v>24</v>
      </c>
      <c r="E268" s="4" t="s">
        <v>32</v>
      </c>
      <c r="F268" s="4" t="s">
        <v>25</v>
      </c>
      <c r="G268" s="4" t="s">
        <v>25</v>
      </c>
      <c r="H268" s="4" t="s">
        <v>25</v>
      </c>
      <c r="I268" s="5">
        <v>44348</v>
      </c>
      <c r="J268" s="6">
        <v>0</v>
      </c>
      <c r="K268" s="6">
        <v>0</v>
      </c>
      <c r="L268" s="6">
        <v>0.38800000000000001</v>
      </c>
      <c r="M268" s="6">
        <v>0.38800000000000001</v>
      </c>
      <c r="N268" s="6">
        <v>0.38800000000000001</v>
      </c>
      <c r="O268" s="6">
        <v>0.38800000000000001</v>
      </c>
      <c r="P268" s="6">
        <v>4</v>
      </c>
      <c r="Q268" s="4" t="s">
        <v>26</v>
      </c>
      <c r="R268" s="4">
        <v>0</v>
      </c>
      <c r="S268" s="6">
        <v>0</v>
      </c>
      <c r="T268" s="6">
        <v>10</v>
      </c>
      <c r="U268" s="6">
        <v>25</v>
      </c>
      <c r="V268" s="6">
        <f>IF(ISERROR(VLOOKUP($S$268,'TAR FIN'!$A$1:$O$85,15,0)),0,VLOOKUP($S$268,'TAR FIN'!$A$1:$O$85,15,0))</f>
        <v>0</v>
      </c>
      <c r="W268" s="6">
        <f>IF(ISERROR(VLOOKUP($T$268,'TAR FIN'!$A$1:$O$85,15,0)),0,VLOOKUP($T$268,'TAR FIN'!$A$1:$O$85,15,0))</f>
        <v>781.93</v>
      </c>
      <c r="X268" s="6">
        <f>IF(ISERROR(VLOOKUP($U$268,'TAR FIN'!$A$1:$O$85,15,0)),0,VLOOKUP($U$268,'TAR FIN'!$A$1:$O$85,15,0))</f>
        <v>240.29</v>
      </c>
      <c r="Y268" s="6"/>
      <c r="Z268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268" s="6">
        <f>('TE BE'!$AA$15+'TE BF'!$AA$15+'TE CVA'!$AA$15)*(1-CUSTOS!$M$37)</f>
        <v>330.73086315618451</v>
      </c>
      <c r="AB268" s="6">
        <f>$K$268*$V$268</f>
        <v>0</v>
      </c>
      <c r="AC268" s="6">
        <f>$M$268*$W$268</f>
        <v>303.38884000000002</v>
      </c>
      <c r="AD268" s="6">
        <f>$O$268*$X$268</f>
        <v>93.232519999999994</v>
      </c>
      <c r="AE268" s="6">
        <f>$K$268*$Y$268</f>
        <v>0</v>
      </c>
      <c r="AF268" s="6">
        <f ca="1">$M$268*$Z$268</f>
        <v>333.92802465356857</v>
      </c>
      <c r="AG268" s="6">
        <f>$O$268*$AA$268</f>
        <v>128.32357490459958</v>
      </c>
    </row>
    <row r="269" spans="1:33" ht="11.25" customHeight="1" x14ac:dyDescent="0.3">
      <c r="A269" s="4" t="s">
        <v>21</v>
      </c>
      <c r="B269" s="4" t="s">
        <v>22</v>
      </c>
      <c r="C269" s="4" t="s">
        <v>23</v>
      </c>
      <c r="D269" s="4" t="s">
        <v>24</v>
      </c>
      <c r="E269" s="4" t="s">
        <v>32</v>
      </c>
      <c r="F269" s="4" t="s">
        <v>25</v>
      </c>
      <c r="G269" s="4" t="s">
        <v>25</v>
      </c>
      <c r="H269" s="4" t="s">
        <v>25</v>
      </c>
      <c r="I269" s="5">
        <v>44378</v>
      </c>
      <c r="J269" s="6">
        <v>0</v>
      </c>
      <c r="K269" s="6">
        <v>0</v>
      </c>
      <c r="L269" s="6">
        <v>0.18</v>
      </c>
      <c r="M269" s="6">
        <v>0.18</v>
      </c>
      <c r="N269" s="6">
        <v>0.18</v>
      </c>
      <c r="O269" s="6">
        <v>0.18</v>
      </c>
      <c r="P269" s="6">
        <v>3</v>
      </c>
      <c r="Q269" s="4" t="s">
        <v>26</v>
      </c>
      <c r="R269" s="4">
        <v>0</v>
      </c>
      <c r="S269" s="6">
        <v>0</v>
      </c>
      <c r="T269" s="6">
        <v>10</v>
      </c>
      <c r="U269" s="6">
        <v>25</v>
      </c>
      <c r="V269" s="6">
        <f>IF(ISERROR(VLOOKUP($S$269,'TAR FIN'!$A$1:$O$85,15,0)),0,VLOOKUP($S$269,'TAR FIN'!$A$1:$O$85,15,0))</f>
        <v>0</v>
      </c>
      <c r="W269" s="6">
        <f>IF(ISERROR(VLOOKUP($T$269,'TAR FIN'!$A$1:$O$85,15,0)),0,VLOOKUP($T$269,'TAR FIN'!$A$1:$O$85,15,0))</f>
        <v>781.93</v>
      </c>
      <c r="X269" s="6">
        <f>IF(ISERROR(VLOOKUP($U$269,'TAR FIN'!$A$1:$O$85,15,0)),0,VLOOKUP($U$269,'TAR FIN'!$A$1:$O$85,15,0))</f>
        <v>240.29</v>
      </c>
      <c r="Y269" s="6"/>
      <c r="Z269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269" s="6">
        <f>('TE BE'!$AA$15+'TE BF'!$AA$15+'TE CVA'!$AA$15)*(1-CUSTOS!$M$37)</f>
        <v>330.73086315618451</v>
      </c>
      <c r="AB269" s="6">
        <f>$K$269*$V$269</f>
        <v>0</v>
      </c>
      <c r="AC269" s="6">
        <f>$M$269*$W$269</f>
        <v>140.7474</v>
      </c>
      <c r="AD269" s="6">
        <f>$O$269*$X$269</f>
        <v>43.252199999999995</v>
      </c>
      <c r="AE269" s="6">
        <f>$K$269*$Y$269</f>
        <v>0</v>
      </c>
      <c r="AF269" s="6">
        <f ca="1">$M$269*$Z$269</f>
        <v>154.91506298361426</v>
      </c>
      <c r="AG269" s="6">
        <f>$O$269*$AA$269</f>
        <v>59.53155536811321</v>
      </c>
    </row>
    <row r="270" spans="1:33" ht="11.25" customHeight="1" x14ac:dyDescent="0.3">
      <c r="A270" s="4" t="s">
        <v>21</v>
      </c>
      <c r="B270" s="4" t="s">
        <v>22</v>
      </c>
      <c r="C270" s="4" t="s">
        <v>23</v>
      </c>
      <c r="D270" s="4" t="s">
        <v>24</v>
      </c>
      <c r="E270" s="4" t="s">
        <v>32</v>
      </c>
      <c r="F270" s="4" t="s">
        <v>25</v>
      </c>
      <c r="G270" s="4" t="s">
        <v>25</v>
      </c>
      <c r="H270" s="4" t="s">
        <v>25</v>
      </c>
      <c r="I270" s="5">
        <v>44409</v>
      </c>
      <c r="J270" s="6">
        <v>0</v>
      </c>
      <c r="K270" s="6">
        <v>0</v>
      </c>
      <c r="L270" s="6">
        <v>6.2E-2</v>
      </c>
      <c r="M270" s="6">
        <v>6.2E-2</v>
      </c>
      <c r="N270" s="6">
        <v>6.2E-2</v>
      </c>
      <c r="O270" s="6">
        <v>6.2E-2</v>
      </c>
      <c r="P270" s="6">
        <v>2</v>
      </c>
      <c r="Q270" s="4" t="s">
        <v>26</v>
      </c>
      <c r="R270" s="4">
        <v>0</v>
      </c>
      <c r="S270" s="6">
        <v>0</v>
      </c>
      <c r="T270" s="6">
        <v>10</v>
      </c>
      <c r="U270" s="6">
        <v>25</v>
      </c>
      <c r="V270" s="6">
        <f>IF(ISERROR(VLOOKUP($S$270,'TAR FIN'!$A$1:$O$85,15,0)),0,VLOOKUP($S$270,'TAR FIN'!$A$1:$O$85,15,0))</f>
        <v>0</v>
      </c>
      <c r="W270" s="6">
        <f>IF(ISERROR(VLOOKUP($T$270,'TAR FIN'!$A$1:$O$85,15,0)),0,VLOOKUP($T$270,'TAR FIN'!$A$1:$O$85,15,0))</f>
        <v>781.93</v>
      </c>
      <c r="X270" s="6">
        <f>IF(ISERROR(VLOOKUP($U$270,'TAR FIN'!$A$1:$O$85,15,0)),0,VLOOKUP($U$270,'TAR FIN'!$A$1:$O$85,15,0))</f>
        <v>240.29</v>
      </c>
      <c r="Y270" s="6"/>
      <c r="Z270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270" s="6">
        <f>('TE BE'!$AA$15+'TE BF'!$AA$15+'TE CVA'!$AA$15)*(1-CUSTOS!$M$37)</f>
        <v>330.73086315618451</v>
      </c>
      <c r="AB270" s="6">
        <f>$K$270*$V$270</f>
        <v>0</v>
      </c>
      <c r="AC270" s="6">
        <f>$M$270*$W$270</f>
        <v>48.479659999999996</v>
      </c>
      <c r="AD270" s="6">
        <f>$O$270*$X$270</f>
        <v>14.897979999999999</v>
      </c>
      <c r="AE270" s="6">
        <f>$K$270*$Y$270</f>
        <v>0</v>
      </c>
      <c r="AF270" s="6">
        <f ca="1">$M$270*$Z$270</f>
        <v>53.359632805467136</v>
      </c>
      <c r="AG270" s="6">
        <f>$O$270*$AA$270</f>
        <v>20.50531351568344</v>
      </c>
    </row>
    <row r="271" spans="1:33" ht="11.25" customHeight="1" x14ac:dyDescent="0.3">
      <c r="A271" s="4" t="s">
        <v>21</v>
      </c>
      <c r="B271" s="4" t="s">
        <v>22</v>
      </c>
      <c r="C271" s="4" t="s">
        <v>23</v>
      </c>
      <c r="D271" s="4" t="s">
        <v>24</v>
      </c>
      <c r="E271" s="4" t="s">
        <v>32</v>
      </c>
      <c r="F271" s="4" t="s">
        <v>25</v>
      </c>
      <c r="G271" s="4" t="s">
        <v>25</v>
      </c>
      <c r="H271" s="4" t="s">
        <v>25</v>
      </c>
      <c r="I271" s="5">
        <v>44440</v>
      </c>
      <c r="J271" s="6">
        <v>0</v>
      </c>
      <c r="K271" s="6">
        <v>0</v>
      </c>
      <c r="L271" s="6">
        <v>0.153</v>
      </c>
      <c r="M271" s="6">
        <v>0.153</v>
      </c>
      <c r="N271" s="6">
        <v>0.153</v>
      </c>
      <c r="O271" s="6">
        <v>0.153</v>
      </c>
      <c r="P271" s="6">
        <v>4</v>
      </c>
      <c r="Q271" s="4" t="s">
        <v>26</v>
      </c>
      <c r="R271" s="4">
        <v>0</v>
      </c>
      <c r="S271" s="6">
        <v>0</v>
      </c>
      <c r="T271" s="6">
        <v>10</v>
      </c>
      <c r="U271" s="6">
        <v>25</v>
      </c>
      <c r="V271" s="6">
        <f>IF(ISERROR(VLOOKUP($S$271,'TAR FIN'!$A$1:$O$85,15,0)),0,VLOOKUP($S$271,'TAR FIN'!$A$1:$O$85,15,0))</f>
        <v>0</v>
      </c>
      <c r="W271" s="6">
        <f>IF(ISERROR(VLOOKUP($T$271,'TAR FIN'!$A$1:$O$85,15,0)),0,VLOOKUP($T$271,'TAR FIN'!$A$1:$O$85,15,0))</f>
        <v>781.93</v>
      </c>
      <c r="X271" s="6">
        <f>IF(ISERROR(VLOOKUP($U$271,'TAR FIN'!$A$1:$O$85,15,0)),0,VLOOKUP($U$271,'TAR FIN'!$A$1:$O$85,15,0))</f>
        <v>240.29</v>
      </c>
      <c r="Y271" s="6"/>
      <c r="Z271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271" s="6">
        <f>('TE BE'!$AA$15+'TE BF'!$AA$15+'TE CVA'!$AA$15)*(1-CUSTOS!$M$37)</f>
        <v>330.73086315618451</v>
      </c>
      <c r="AB271" s="6">
        <f>$K$271*$V$271</f>
        <v>0</v>
      </c>
      <c r="AC271" s="6">
        <f>$M$271*$W$271</f>
        <v>119.63528999999998</v>
      </c>
      <c r="AD271" s="6">
        <f>$O$271*$X$271</f>
        <v>36.76437</v>
      </c>
      <c r="AE271" s="6">
        <f>$K$271*$Y$271</f>
        <v>0</v>
      </c>
      <c r="AF271" s="6">
        <f ca="1">$M$271*$Z$271</f>
        <v>131.67780353607213</v>
      </c>
      <c r="AG271" s="6">
        <f>$O$271*$AA$271</f>
        <v>50.601822062896233</v>
      </c>
    </row>
    <row r="272" spans="1:33" ht="11.25" customHeight="1" x14ac:dyDescent="0.3">
      <c r="A272" s="4" t="s">
        <v>21</v>
      </c>
      <c r="B272" s="4" t="s">
        <v>22</v>
      </c>
      <c r="C272" s="4" t="s">
        <v>23</v>
      </c>
      <c r="D272" s="4" t="s">
        <v>24</v>
      </c>
      <c r="E272" s="4" t="s">
        <v>32</v>
      </c>
      <c r="F272" s="4" t="s">
        <v>25</v>
      </c>
      <c r="G272" s="4" t="s">
        <v>25</v>
      </c>
      <c r="H272" s="4" t="s">
        <v>25</v>
      </c>
      <c r="I272" s="5">
        <v>44470</v>
      </c>
      <c r="J272" s="6">
        <v>0</v>
      </c>
      <c r="K272" s="6">
        <v>0</v>
      </c>
      <c r="L272" s="6">
        <v>0.43</v>
      </c>
      <c r="M272" s="6">
        <v>0.43</v>
      </c>
      <c r="N272" s="6">
        <v>0.43</v>
      </c>
      <c r="O272" s="6">
        <v>0.43</v>
      </c>
      <c r="P272" s="6">
        <v>6</v>
      </c>
      <c r="Q272" s="4" t="s">
        <v>26</v>
      </c>
      <c r="R272" s="4">
        <v>0</v>
      </c>
      <c r="S272" s="6">
        <v>0</v>
      </c>
      <c r="T272" s="6">
        <v>10</v>
      </c>
      <c r="U272" s="6">
        <v>25</v>
      </c>
      <c r="V272" s="6">
        <f>IF(ISERROR(VLOOKUP($S$272,'TAR FIN'!$A$1:$O$85,15,0)),0,VLOOKUP($S$272,'TAR FIN'!$A$1:$O$85,15,0))</f>
        <v>0</v>
      </c>
      <c r="W272" s="6">
        <f>IF(ISERROR(VLOOKUP($T$272,'TAR FIN'!$A$1:$O$85,15,0)),0,VLOOKUP($T$272,'TAR FIN'!$A$1:$O$85,15,0))</f>
        <v>781.93</v>
      </c>
      <c r="X272" s="6">
        <f>IF(ISERROR(VLOOKUP($U$272,'TAR FIN'!$A$1:$O$85,15,0)),0,VLOOKUP($U$272,'TAR FIN'!$A$1:$O$85,15,0))</f>
        <v>240.29</v>
      </c>
      <c r="Y272" s="6"/>
      <c r="Z272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272" s="6">
        <f>('TE BE'!$AA$15+'TE BF'!$AA$15+'TE CVA'!$AA$15)*(1-CUSTOS!$M$37)</f>
        <v>330.73086315618451</v>
      </c>
      <c r="AB272" s="6">
        <f>$K$272*$V$272</f>
        <v>0</v>
      </c>
      <c r="AC272" s="6">
        <f>$M$272*$W$272</f>
        <v>336.22989999999999</v>
      </c>
      <c r="AD272" s="6">
        <f>$O$272*$X$272</f>
        <v>103.32469999999999</v>
      </c>
      <c r="AE272" s="6">
        <f>$K$272*$Y$272</f>
        <v>0</v>
      </c>
      <c r="AF272" s="6">
        <f ca="1">$M$272*$Z$272</f>
        <v>370.07487268307852</v>
      </c>
      <c r="AG272" s="6">
        <f>$O$272*$AA$272</f>
        <v>142.21427115715935</v>
      </c>
    </row>
    <row r="273" spans="1:33" ht="11.25" customHeight="1" x14ac:dyDescent="0.3">
      <c r="A273" s="4" t="s">
        <v>21</v>
      </c>
      <c r="B273" s="4" t="s">
        <v>22</v>
      </c>
      <c r="C273" s="4" t="s">
        <v>23</v>
      </c>
      <c r="D273" s="4" t="s">
        <v>24</v>
      </c>
      <c r="E273" s="4" t="s">
        <v>32</v>
      </c>
      <c r="F273" s="4" t="s">
        <v>25</v>
      </c>
      <c r="G273" s="4" t="s">
        <v>25</v>
      </c>
      <c r="H273" s="4" t="s">
        <v>25</v>
      </c>
      <c r="I273" s="5">
        <v>44501</v>
      </c>
      <c r="J273" s="6">
        <v>0</v>
      </c>
      <c r="K273" s="6">
        <v>0</v>
      </c>
      <c r="L273" s="6">
        <v>0.222</v>
      </c>
      <c r="M273" s="6">
        <v>0.222</v>
      </c>
      <c r="N273" s="6">
        <v>0.222</v>
      </c>
      <c r="O273" s="6">
        <v>0.222</v>
      </c>
      <c r="P273" s="6">
        <v>4</v>
      </c>
      <c r="Q273" s="4" t="s">
        <v>26</v>
      </c>
      <c r="R273" s="4">
        <v>0</v>
      </c>
      <c r="S273" s="6">
        <v>0</v>
      </c>
      <c r="T273" s="6">
        <v>10</v>
      </c>
      <c r="U273" s="6">
        <v>25</v>
      </c>
      <c r="V273" s="6">
        <f>IF(ISERROR(VLOOKUP($S$273,'TAR FIN'!$A$1:$O$85,15,0)),0,VLOOKUP($S$273,'TAR FIN'!$A$1:$O$85,15,0))</f>
        <v>0</v>
      </c>
      <c r="W273" s="6">
        <f>IF(ISERROR(VLOOKUP($T$273,'TAR FIN'!$A$1:$O$85,15,0)),0,VLOOKUP($T$273,'TAR FIN'!$A$1:$O$85,15,0))</f>
        <v>781.93</v>
      </c>
      <c r="X273" s="6">
        <f>IF(ISERROR(VLOOKUP($U$273,'TAR FIN'!$A$1:$O$85,15,0)),0,VLOOKUP($U$273,'TAR FIN'!$A$1:$O$85,15,0))</f>
        <v>240.29</v>
      </c>
      <c r="Y273" s="6"/>
      <c r="Z273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273" s="6">
        <f>('TE BE'!$AA$15+'TE BF'!$AA$15+'TE CVA'!$AA$15)*(1-CUSTOS!$M$37)</f>
        <v>330.73086315618451</v>
      </c>
      <c r="AB273" s="6">
        <f>$K$273*$V$273</f>
        <v>0</v>
      </c>
      <c r="AC273" s="6">
        <f>$M$273*$W$273</f>
        <v>173.58846</v>
      </c>
      <c r="AD273" s="6">
        <f>$O$273*$X$273</f>
        <v>53.344380000000001</v>
      </c>
      <c r="AE273" s="6">
        <f>$K$273*$Y$273</f>
        <v>0</v>
      </c>
      <c r="AF273" s="6">
        <f ca="1">$M$273*$Z$273</f>
        <v>191.06191101312427</v>
      </c>
      <c r="AG273" s="6">
        <f>$O$273*$AA$273</f>
        <v>73.422251620672967</v>
      </c>
    </row>
    <row r="274" spans="1:33" ht="11.25" customHeight="1" x14ac:dyDescent="0.3">
      <c r="A274" s="4" t="s">
        <v>21</v>
      </c>
      <c r="B274" s="4" t="s">
        <v>22</v>
      </c>
      <c r="C274" s="4" t="s">
        <v>23</v>
      </c>
      <c r="D274" s="4" t="s">
        <v>24</v>
      </c>
      <c r="E274" s="4" t="s">
        <v>32</v>
      </c>
      <c r="F274" s="4" t="s">
        <v>25</v>
      </c>
      <c r="G274" s="4" t="s">
        <v>25</v>
      </c>
      <c r="H274" s="4" t="s">
        <v>25</v>
      </c>
      <c r="I274" s="5">
        <v>44531</v>
      </c>
      <c r="J274" s="6">
        <v>0</v>
      </c>
      <c r="K274" s="6">
        <v>0</v>
      </c>
      <c r="L274" s="6">
        <v>0.36599999999999999</v>
      </c>
      <c r="M274" s="6">
        <v>0.36599999999999999</v>
      </c>
      <c r="N274" s="6">
        <v>0.36599999999999999</v>
      </c>
      <c r="O274" s="6">
        <v>0.36599999999999999</v>
      </c>
      <c r="P274" s="6">
        <v>7</v>
      </c>
      <c r="Q274" s="4" t="s">
        <v>26</v>
      </c>
      <c r="R274" s="4">
        <v>0</v>
      </c>
      <c r="S274" s="6">
        <v>0</v>
      </c>
      <c r="T274" s="6">
        <v>10</v>
      </c>
      <c r="U274" s="6">
        <v>25</v>
      </c>
      <c r="V274" s="6">
        <f>IF(ISERROR(VLOOKUP($S$274,'TAR FIN'!$A$1:$O$85,15,0)),0,VLOOKUP($S$274,'TAR FIN'!$A$1:$O$85,15,0))</f>
        <v>0</v>
      </c>
      <c r="W274" s="6">
        <f>IF(ISERROR(VLOOKUP($T$274,'TAR FIN'!$A$1:$O$85,15,0)),0,VLOOKUP($T$274,'TAR FIN'!$A$1:$O$85,15,0))</f>
        <v>781.93</v>
      </c>
      <c r="X274" s="6">
        <f>IF(ISERROR(VLOOKUP($U$274,'TAR FIN'!$A$1:$O$85,15,0)),0,VLOOKUP($U$274,'TAR FIN'!$A$1:$O$85,15,0))</f>
        <v>240.29</v>
      </c>
      <c r="Y274" s="6"/>
      <c r="Z274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274" s="6">
        <f>('TE BE'!$AA$15+'TE BF'!$AA$15+'TE CVA'!$AA$15)*(1-CUSTOS!$M$37)</f>
        <v>330.73086315618451</v>
      </c>
      <c r="AB274" s="6">
        <f>$K$274*$V$274</f>
        <v>0</v>
      </c>
      <c r="AC274" s="6">
        <f>$M$274*$W$274</f>
        <v>286.18637999999999</v>
      </c>
      <c r="AD274" s="6">
        <f>$O$274*$X$274</f>
        <v>87.94614</v>
      </c>
      <c r="AE274" s="6">
        <f>$K$274*$Y$274</f>
        <v>0</v>
      </c>
      <c r="AF274" s="6">
        <f ca="1">$M$274*$Z$274</f>
        <v>314.99396140001568</v>
      </c>
      <c r="AG274" s="6">
        <f>$O$274*$AA$274</f>
        <v>121.04749591516352</v>
      </c>
    </row>
    <row r="275" spans="1:33" ht="11.25" customHeight="1" x14ac:dyDescent="0.3">
      <c r="A275" s="4" t="s">
        <v>21</v>
      </c>
      <c r="B275" s="4" t="s">
        <v>22</v>
      </c>
      <c r="C275" s="4" t="s">
        <v>23</v>
      </c>
      <c r="D275" s="4" t="s">
        <v>24</v>
      </c>
      <c r="E275" s="4" t="s">
        <v>32</v>
      </c>
      <c r="F275" s="4" t="s">
        <v>25</v>
      </c>
      <c r="G275" s="4" t="s">
        <v>25</v>
      </c>
      <c r="H275" s="4" t="s">
        <v>25</v>
      </c>
      <c r="I275" s="5">
        <v>44562</v>
      </c>
      <c r="J275" s="6">
        <v>0</v>
      </c>
      <c r="K275" s="6">
        <v>0</v>
      </c>
      <c r="L275" s="6">
        <v>0.46</v>
      </c>
      <c r="M275" s="6">
        <v>0.46</v>
      </c>
      <c r="N275" s="6">
        <v>0.46</v>
      </c>
      <c r="O275" s="6">
        <v>0.46</v>
      </c>
      <c r="P275" s="6">
        <v>9</v>
      </c>
      <c r="Q275" s="4" t="s">
        <v>26</v>
      </c>
      <c r="R275" s="4">
        <v>0</v>
      </c>
      <c r="S275" s="6">
        <v>0</v>
      </c>
      <c r="T275" s="6">
        <v>10</v>
      </c>
      <c r="U275" s="6">
        <v>25</v>
      </c>
      <c r="V275" s="6">
        <f>IF(ISERROR(VLOOKUP($S$275,'TAR FIN'!$A$1:$O$85,15,0)),0,VLOOKUP($S$275,'TAR FIN'!$A$1:$O$85,15,0))</f>
        <v>0</v>
      </c>
      <c r="W275" s="6">
        <f>IF(ISERROR(VLOOKUP($T$275,'TAR FIN'!$A$1:$O$85,15,0)),0,VLOOKUP($T$275,'TAR FIN'!$A$1:$O$85,15,0))</f>
        <v>781.93</v>
      </c>
      <c r="X275" s="6">
        <f>IF(ISERROR(VLOOKUP($U$275,'TAR FIN'!$A$1:$O$85,15,0)),0,VLOOKUP($U$275,'TAR FIN'!$A$1:$O$85,15,0))</f>
        <v>240.29</v>
      </c>
      <c r="Y275" s="6"/>
      <c r="Z275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275" s="6">
        <f>('TE BE'!$AA$15+'TE BF'!$AA$15+'TE CVA'!$AA$15)*(1-CUSTOS!$M$37)</f>
        <v>330.73086315618451</v>
      </c>
      <c r="AB275" s="6">
        <f>$K$275*$V$275</f>
        <v>0</v>
      </c>
      <c r="AC275" s="6">
        <f>$M$275*$W$275</f>
        <v>359.68779999999998</v>
      </c>
      <c r="AD275" s="6">
        <f>$O$275*$X$275</f>
        <v>110.5334</v>
      </c>
      <c r="AE275" s="6">
        <f>$K$275*$Y$275</f>
        <v>0</v>
      </c>
      <c r="AF275" s="6">
        <f ca="1">$M$275*$Z$275</f>
        <v>395.89404984701429</v>
      </c>
      <c r="AG275" s="6">
        <f>$O$275*$AA$275</f>
        <v>152.13619705184487</v>
      </c>
    </row>
    <row r="276" spans="1:33" ht="11.25" customHeight="1" x14ac:dyDescent="0.3">
      <c r="A276" s="4" t="s">
        <v>21</v>
      </c>
      <c r="B276" s="4" t="s">
        <v>22</v>
      </c>
      <c r="C276" s="4" t="s">
        <v>23</v>
      </c>
      <c r="D276" s="4" t="s">
        <v>24</v>
      </c>
      <c r="E276" s="4" t="s">
        <v>32</v>
      </c>
      <c r="F276" s="4" t="s">
        <v>25</v>
      </c>
      <c r="G276" s="4" t="s">
        <v>25</v>
      </c>
      <c r="H276" s="4" t="s">
        <v>25</v>
      </c>
      <c r="I276" s="5">
        <v>44593</v>
      </c>
      <c r="J276" s="6">
        <v>0</v>
      </c>
      <c r="K276" s="6">
        <v>0</v>
      </c>
      <c r="L276" s="6">
        <v>1.0629999999999999</v>
      </c>
      <c r="M276" s="6">
        <v>1.0629999999999999</v>
      </c>
      <c r="N276" s="6">
        <v>1.0629999999999999</v>
      </c>
      <c r="O276" s="6">
        <v>1.0629999999999999</v>
      </c>
      <c r="P276" s="6">
        <v>19</v>
      </c>
      <c r="Q276" s="4" t="s">
        <v>26</v>
      </c>
      <c r="R276" s="4">
        <v>0</v>
      </c>
      <c r="S276" s="6">
        <v>0</v>
      </c>
      <c r="T276" s="6">
        <v>10</v>
      </c>
      <c r="U276" s="6">
        <v>25</v>
      </c>
      <c r="V276" s="6">
        <f>IF(ISERROR(VLOOKUP($S$276,'TAR FIN'!$A$1:$O$85,15,0)),0,VLOOKUP($S$276,'TAR FIN'!$A$1:$O$85,15,0))</f>
        <v>0</v>
      </c>
      <c r="W276" s="6">
        <f>IF(ISERROR(VLOOKUP($T$276,'TAR FIN'!$A$1:$O$85,15,0)),0,VLOOKUP($T$276,'TAR FIN'!$A$1:$O$85,15,0))</f>
        <v>781.93</v>
      </c>
      <c r="X276" s="6">
        <f>IF(ISERROR(VLOOKUP($U$276,'TAR FIN'!$A$1:$O$85,15,0)),0,VLOOKUP($U$276,'TAR FIN'!$A$1:$O$85,15,0))</f>
        <v>240.29</v>
      </c>
      <c r="Y276" s="6"/>
      <c r="Z276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276" s="6">
        <f>('TE BE'!$AA$15+'TE BF'!$AA$15+'TE CVA'!$AA$15)*(1-CUSTOS!$M$37)</f>
        <v>330.73086315618451</v>
      </c>
      <c r="AB276" s="6">
        <f>$K$276*$V$276</f>
        <v>0</v>
      </c>
      <c r="AC276" s="6">
        <f>$M$276*$W$276</f>
        <v>831.19158999999991</v>
      </c>
      <c r="AD276" s="6">
        <f>$O$276*$X$276</f>
        <v>255.42826999999997</v>
      </c>
      <c r="AE276" s="6">
        <f>$K$276*$Y$276</f>
        <v>0</v>
      </c>
      <c r="AF276" s="6">
        <f ca="1">$M$276*$Z$276</f>
        <v>914.85951084212195</v>
      </c>
      <c r="AG276" s="6">
        <f>$O$276*$AA$276</f>
        <v>351.56690753502414</v>
      </c>
    </row>
    <row r="277" spans="1:33" ht="11.25" customHeight="1" x14ac:dyDescent="0.3">
      <c r="A277" s="4" t="s">
        <v>21</v>
      </c>
      <c r="B277" s="4" t="s">
        <v>22</v>
      </c>
      <c r="C277" s="4" t="s">
        <v>23</v>
      </c>
      <c r="D277" s="4" t="s">
        <v>24</v>
      </c>
      <c r="E277" s="4" t="s">
        <v>32</v>
      </c>
      <c r="F277" s="4" t="s">
        <v>25</v>
      </c>
      <c r="G277" s="4" t="s">
        <v>25</v>
      </c>
      <c r="H277" s="4" t="s">
        <v>25</v>
      </c>
      <c r="I277" s="5">
        <v>44621</v>
      </c>
      <c r="J277" s="6">
        <v>0</v>
      </c>
      <c r="K277" s="6">
        <v>0</v>
      </c>
      <c r="L277" s="6">
        <v>4.6040000000000001</v>
      </c>
      <c r="M277" s="6">
        <v>4.6040000000000001</v>
      </c>
      <c r="N277" s="6">
        <v>4.6040000000000001</v>
      </c>
      <c r="O277" s="6">
        <v>4.6040000000000001</v>
      </c>
      <c r="P277" s="6">
        <v>68</v>
      </c>
      <c r="Q277" s="4" t="s">
        <v>26</v>
      </c>
      <c r="R277" s="4">
        <v>0</v>
      </c>
      <c r="S277" s="6">
        <v>0</v>
      </c>
      <c r="T277" s="6">
        <v>10</v>
      </c>
      <c r="U277" s="6">
        <v>25</v>
      </c>
      <c r="V277" s="6">
        <f>IF(ISERROR(VLOOKUP($S$277,'TAR FIN'!$A$1:$O$85,15,0)),0,VLOOKUP($S$277,'TAR FIN'!$A$1:$O$85,15,0))</f>
        <v>0</v>
      </c>
      <c r="W277" s="6">
        <f>IF(ISERROR(VLOOKUP($T$277,'TAR FIN'!$A$1:$O$85,15,0)),0,VLOOKUP($T$277,'TAR FIN'!$A$1:$O$85,15,0))</f>
        <v>781.93</v>
      </c>
      <c r="X277" s="6">
        <f>IF(ISERROR(VLOOKUP($U$277,'TAR FIN'!$A$1:$O$85,15,0)),0,VLOOKUP($U$277,'TAR FIN'!$A$1:$O$85,15,0))</f>
        <v>240.29</v>
      </c>
      <c r="Y277" s="6"/>
      <c r="Z277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277" s="6">
        <f>('TE BE'!$AA$15+'TE BF'!$AA$15+'TE CVA'!$AA$15)*(1-CUSTOS!$M$37)</f>
        <v>330.73086315618451</v>
      </c>
      <c r="AB277" s="6">
        <f>$K$277*$V$277</f>
        <v>0</v>
      </c>
      <c r="AC277" s="6">
        <f>$M$277*$W$277</f>
        <v>3600.0057199999997</v>
      </c>
      <c r="AD277" s="6">
        <f>$O$277*$X$277</f>
        <v>1106.2951599999999</v>
      </c>
      <c r="AE277" s="6">
        <f>$K$277*$Y$277</f>
        <v>0</v>
      </c>
      <c r="AF277" s="6">
        <f ca="1">$M$277*$Z$277</f>
        <v>3962.3830554253341</v>
      </c>
      <c r="AG277" s="6">
        <f>$O$277*$AA$277</f>
        <v>1522.6848939710735</v>
      </c>
    </row>
    <row r="278" spans="1:33" ht="11.25" customHeight="1" x14ac:dyDescent="0.3">
      <c r="A278" s="4" t="s">
        <v>21</v>
      </c>
      <c r="B278" s="4" t="s">
        <v>43</v>
      </c>
      <c r="C278" s="4" t="s">
        <v>23</v>
      </c>
      <c r="D278" s="4" t="s">
        <v>44</v>
      </c>
      <c r="E278" s="4" t="s">
        <v>52</v>
      </c>
      <c r="F278" s="4" t="s">
        <v>53</v>
      </c>
      <c r="G278" s="4" t="s">
        <v>25</v>
      </c>
      <c r="H278" s="4" t="s">
        <v>25</v>
      </c>
      <c r="I278" s="5">
        <v>44287</v>
      </c>
      <c r="J278" s="6">
        <v>0</v>
      </c>
      <c r="K278" s="6">
        <v>0</v>
      </c>
      <c r="L278" s="6">
        <v>1.222</v>
      </c>
      <c r="M278" s="6">
        <v>1.222</v>
      </c>
      <c r="N278" s="6">
        <v>1.222</v>
      </c>
      <c r="O278" s="6">
        <v>1.222</v>
      </c>
      <c r="P278" s="6">
        <v>0</v>
      </c>
      <c r="Q278" s="4" t="s">
        <v>26</v>
      </c>
      <c r="R278" s="4">
        <v>0</v>
      </c>
      <c r="S278" s="6">
        <v>0</v>
      </c>
      <c r="T278" s="6">
        <v>57</v>
      </c>
      <c r="U278" s="6">
        <v>31</v>
      </c>
      <c r="V278" s="6">
        <f>IF(ISERROR(VLOOKUP($S$278,'TAR FIN'!$A$1:$O$85,15,0)),0,VLOOKUP($S$278,'TAR FIN'!$A$1:$O$85,15,0))</f>
        <v>0</v>
      </c>
      <c r="W278" s="6">
        <f>IF(ISERROR(VLOOKUP($T$278,'TAR FIN'!$A$1:$O$85,15,0)),0,VLOOKUP($T$278,'TAR FIN'!$A$1:$O$85,15,0))</f>
        <v>763.29</v>
      </c>
      <c r="X278" s="6">
        <f>IF(ISERROR(VLOOKUP($U$278,'TAR FIN'!$A$1:$O$85,15,0)),0,VLOOKUP($U$278,'TAR FIN'!$A$1:$O$85,15,0))</f>
        <v>211.46</v>
      </c>
      <c r="Y278" s="6"/>
      <c r="Z278" s="6">
        <f ca="1">('TUSD BE'!$AM$33+'TUSD BF'!$AM$33+'TUSD CVA'!$AM$33)*(1-CUSTOS!$M$38)</f>
        <v>923.13389839835577</v>
      </c>
      <c r="AA278" s="6">
        <f>('TE BE'!$AA$24+'TE BF'!$AA$24+'TE CVA'!$AA$24)*(1-CUSTOS!$M$38)</f>
        <v>310.8870113668134</v>
      </c>
      <c r="AB278" s="6">
        <f>$K$278*$V$278</f>
        <v>0</v>
      </c>
      <c r="AC278" s="6">
        <f>$M$278*$W$278</f>
        <v>932.74037999999996</v>
      </c>
      <c r="AD278" s="6">
        <f>$O$278*$X$278</f>
        <v>258.40411999999998</v>
      </c>
      <c r="AE278" s="6">
        <f>$K$278*$Y$278</f>
        <v>0</v>
      </c>
      <c r="AF278" s="6">
        <f ca="1">$M$278*$Z$278</f>
        <v>1128.0696238427906</v>
      </c>
      <c r="AG278" s="6">
        <f>$O$278*$AA$278</f>
        <v>379.90392789024594</v>
      </c>
    </row>
    <row r="279" spans="1:33" ht="11.25" customHeight="1" x14ac:dyDescent="0.3">
      <c r="A279" s="4" t="s">
        <v>21</v>
      </c>
      <c r="B279" s="4" t="s">
        <v>43</v>
      </c>
      <c r="C279" s="4" t="s">
        <v>23</v>
      </c>
      <c r="D279" s="4" t="s">
        <v>44</v>
      </c>
      <c r="E279" s="4" t="s">
        <v>52</v>
      </c>
      <c r="F279" s="4" t="s">
        <v>53</v>
      </c>
      <c r="G279" s="4" t="s">
        <v>25</v>
      </c>
      <c r="H279" s="4" t="s">
        <v>25</v>
      </c>
      <c r="I279" s="5">
        <v>44317</v>
      </c>
      <c r="J279" s="6">
        <v>0</v>
      </c>
      <c r="K279" s="6">
        <v>0</v>
      </c>
      <c r="L279" s="6">
        <v>0.61199999999999999</v>
      </c>
      <c r="M279" s="6">
        <v>0.61199999999999999</v>
      </c>
      <c r="N279" s="6">
        <v>0.61199999999999999</v>
      </c>
      <c r="O279" s="6">
        <v>0.61199999999999999</v>
      </c>
      <c r="P279" s="6">
        <v>0</v>
      </c>
      <c r="Q279" s="4" t="s">
        <v>26</v>
      </c>
      <c r="R279" s="4">
        <v>0</v>
      </c>
      <c r="S279" s="6">
        <v>0</v>
      </c>
      <c r="T279" s="6">
        <v>57</v>
      </c>
      <c r="U279" s="6">
        <v>31</v>
      </c>
      <c r="V279" s="6">
        <f>IF(ISERROR(VLOOKUP($S$279,'TAR FIN'!$A$1:$O$85,15,0)),0,VLOOKUP($S$279,'TAR FIN'!$A$1:$O$85,15,0))</f>
        <v>0</v>
      </c>
      <c r="W279" s="6">
        <f>IF(ISERROR(VLOOKUP($T$279,'TAR FIN'!$A$1:$O$85,15,0)),0,VLOOKUP($T$279,'TAR FIN'!$A$1:$O$85,15,0))</f>
        <v>763.29</v>
      </c>
      <c r="X279" s="6">
        <f>IF(ISERROR(VLOOKUP($U$279,'TAR FIN'!$A$1:$O$85,15,0)),0,VLOOKUP($U$279,'TAR FIN'!$A$1:$O$85,15,0))</f>
        <v>211.46</v>
      </c>
      <c r="Y279" s="6"/>
      <c r="Z279" s="6">
        <f ca="1">('TUSD BE'!$AM$33+'TUSD BF'!$AM$33+'TUSD CVA'!$AM$33)*(1-CUSTOS!$M$38)</f>
        <v>923.13389839835577</v>
      </c>
      <c r="AA279" s="6">
        <f>('TE BE'!$AA$24+'TE BF'!$AA$24+'TE CVA'!$AA$24)*(1-CUSTOS!$M$38)</f>
        <v>310.8870113668134</v>
      </c>
      <c r="AB279" s="6">
        <f>$K$279*$V$279</f>
        <v>0</v>
      </c>
      <c r="AC279" s="6">
        <f>$M$279*$W$279</f>
        <v>467.13347999999996</v>
      </c>
      <c r="AD279" s="6">
        <f>$O$279*$X$279</f>
        <v>129.41352000000001</v>
      </c>
      <c r="AE279" s="6">
        <f>$K$279*$Y$279</f>
        <v>0</v>
      </c>
      <c r="AF279" s="6">
        <f ca="1">$M$279*$Z$279</f>
        <v>564.95794581979374</v>
      </c>
      <c r="AG279" s="6">
        <f>$O$279*$AA$279</f>
        <v>190.26285095648979</v>
      </c>
    </row>
    <row r="280" spans="1:33" ht="11.25" customHeight="1" x14ac:dyDescent="0.3">
      <c r="A280" s="4" t="s">
        <v>21</v>
      </c>
      <c r="B280" s="4" t="s">
        <v>43</v>
      </c>
      <c r="C280" s="4" t="s">
        <v>23</v>
      </c>
      <c r="D280" s="4" t="s">
        <v>44</v>
      </c>
      <c r="E280" s="4" t="s">
        <v>52</v>
      </c>
      <c r="F280" s="4" t="s">
        <v>53</v>
      </c>
      <c r="G280" s="4" t="s">
        <v>25</v>
      </c>
      <c r="H280" s="4" t="s">
        <v>25</v>
      </c>
      <c r="I280" s="5">
        <v>44348</v>
      </c>
      <c r="J280" s="6">
        <v>0</v>
      </c>
      <c r="K280" s="6">
        <v>0</v>
      </c>
      <c r="L280" s="6">
        <v>1.256</v>
      </c>
      <c r="M280" s="6">
        <v>1.256</v>
      </c>
      <c r="N280" s="6">
        <v>1.256</v>
      </c>
      <c r="O280" s="6">
        <v>1.256</v>
      </c>
      <c r="P280" s="6">
        <v>0</v>
      </c>
      <c r="Q280" s="4" t="s">
        <v>26</v>
      </c>
      <c r="R280" s="4">
        <v>0</v>
      </c>
      <c r="S280" s="6">
        <v>0</v>
      </c>
      <c r="T280" s="6">
        <v>57</v>
      </c>
      <c r="U280" s="6">
        <v>31</v>
      </c>
      <c r="V280" s="6">
        <f>IF(ISERROR(VLOOKUP($S$280,'TAR FIN'!$A$1:$O$85,15,0)),0,VLOOKUP($S$280,'TAR FIN'!$A$1:$O$85,15,0))</f>
        <v>0</v>
      </c>
      <c r="W280" s="6">
        <f>IF(ISERROR(VLOOKUP($T$280,'TAR FIN'!$A$1:$O$85,15,0)),0,VLOOKUP($T$280,'TAR FIN'!$A$1:$O$85,15,0))</f>
        <v>763.29</v>
      </c>
      <c r="X280" s="6">
        <f>IF(ISERROR(VLOOKUP($U$280,'TAR FIN'!$A$1:$O$85,15,0)),0,VLOOKUP($U$280,'TAR FIN'!$A$1:$O$85,15,0))</f>
        <v>211.46</v>
      </c>
      <c r="Y280" s="6"/>
      <c r="Z280" s="6">
        <f ca="1">('TUSD BE'!$AM$33+'TUSD BF'!$AM$33+'TUSD CVA'!$AM$33)*(1-CUSTOS!$M$38)</f>
        <v>923.13389839835577</v>
      </c>
      <c r="AA280" s="6">
        <f>('TE BE'!$AA$24+'TE BF'!$AA$24+'TE CVA'!$AA$24)*(1-CUSTOS!$M$38)</f>
        <v>310.8870113668134</v>
      </c>
      <c r="AB280" s="6">
        <f>$K$280*$V$280</f>
        <v>0</v>
      </c>
      <c r="AC280" s="6">
        <f>$M$280*$W$280</f>
        <v>958.69223999999997</v>
      </c>
      <c r="AD280" s="6">
        <f>$O$280*$X$280</f>
        <v>265.59376000000003</v>
      </c>
      <c r="AE280" s="6">
        <f>$K$280*$Y$280</f>
        <v>0</v>
      </c>
      <c r="AF280" s="6">
        <f ca="1">$M$280*$Z$280</f>
        <v>1159.4561763883348</v>
      </c>
      <c r="AG280" s="6">
        <f>$O$280*$AA$280</f>
        <v>390.47408627671763</v>
      </c>
    </row>
    <row r="281" spans="1:33" ht="11.25" customHeight="1" x14ac:dyDescent="0.3">
      <c r="A281" s="4" t="s">
        <v>21</v>
      </c>
      <c r="B281" s="4" t="s">
        <v>43</v>
      </c>
      <c r="C281" s="4" t="s">
        <v>23</v>
      </c>
      <c r="D281" s="4" t="s">
        <v>44</v>
      </c>
      <c r="E281" s="4" t="s">
        <v>52</v>
      </c>
      <c r="F281" s="4" t="s">
        <v>53</v>
      </c>
      <c r="G281" s="4" t="s">
        <v>25</v>
      </c>
      <c r="H281" s="4" t="s">
        <v>25</v>
      </c>
      <c r="I281" s="5">
        <v>44378</v>
      </c>
      <c r="J281" s="6">
        <v>0</v>
      </c>
      <c r="K281" s="6">
        <v>0</v>
      </c>
      <c r="L281" s="6">
        <v>1.0760000000000001</v>
      </c>
      <c r="M281" s="6">
        <v>1.0760000000000001</v>
      </c>
      <c r="N281" s="6">
        <v>1.0760000000000001</v>
      </c>
      <c r="O281" s="6">
        <v>1.0760000000000001</v>
      </c>
      <c r="P281" s="6">
        <v>0</v>
      </c>
      <c r="Q281" s="4" t="s">
        <v>26</v>
      </c>
      <c r="R281" s="4">
        <v>0</v>
      </c>
      <c r="S281" s="6">
        <v>0</v>
      </c>
      <c r="T281" s="6">
        <v>57</v>
      </c>
      <c r="U281" s="6">
        <v>31</v>
      </c>
      <c r="V281" s="6">
        <f>IF(ISERROR(VLOOKUP($S$281,'TAR FIN'!$A$1:$O$85,15,0)),0,VLOOKUP($S$281,'TAR FIN'!$A$1:$O$85,15,0))</f>
        <v>0</v>
      </c>
      <c r="W281" s="6">
        <f>IF(ISERROR(VLOOKUP($T$281,'TAR FIN'!$A$1:$O$85,15,0)),0,VLOOKUP($T$281,'TAR FIN'!$A$1:$O$85,15,0))</f>
        <v>763.29</v>
      </c>
      <c r="X281" s="6">
        <f>IF(ISERROR(VLOOKUP($U$281,'TAR FIN'!$A$1:$O$85,15,0)),0,VLOOKUP($U$281,'TAR FIN'!$A$1:$O$85,15,0))</f>
        <v>211.46</v>
      </c>
      <c r="Y281" s="6"/>
      <c r="Z281" s="6">
        <f ca="1">('TUSD BE'!$AM$33+'TUSD BF'!$AM$33+'TUSD CVA'!$AM$33)*(1-CUSTOS!$M$38)</f>
        <v>923.13389839835577</v>
      </c>
      <c r="AA281" s="6">
        <f>('TE BE'!$AA$24+'TE BF'!$AA$24+'TE CVA'!$AA$24)*(1-CUSTOS!$M$38)</f>
        <v>310.8870113668134</v>
      </c>
      <c r="AB281" s="6">
        <f>$K$281*$V$281</f>
        <v>0</v>
      </c>
      <c r="AC281" s="6">
        <f>$M$281*$W$281</f>
        <v>821.30003999999997</v>
      </c>
      <c r="AD281" s="6">
        <f>$O$281*$X$281</f>
        <v>227.53096000000002</v>
      </c>
      <c r="AE281" s="6">
        <f>$K$281*$Y$281</f>
        <v>0</v>
      </c>
      <c r="AF281" s="6">
        <f ca="1">$M$281*$Z$281</f>
        <v>993.29207467663082</v>
      </c>
      <c r="AG281" s="6">
        <f>$O$281*$AA$281</f>
        <v>334.51442423069125</v>
      </c>
    </row>
    <row r="282" spans="1:33" ht="11.25" customHeight="1" x14ac:dyDescent="0.3">
      <c r="A282" s="4" t="s">
        <v>21</v>
      </c>
      <c r="B282" s="4" t="s">
        <v>43</v>
      </c>
      <c r="C282" s="4" t="s">
        <v>23</v>
      </c>
      <c r="D282" s="4" t="s">
        <v>44</v>
      </c>
      <c r="E282" s="4" t="s">
        <v>52</v>
      </c>
      <c r="F282" s="4" t="s">
        <v>53</v>
      </c>
      <c r="G282" s="4" t="s">
        <v>25</v>
      </c>
      <c r="H282" s="4" t="s">
        <v>25</v>
      </c>
      <c r="I282" s="5">
        <v>44409</v>
      </c>
      <c r="J282" s="6">
        <v>0</v>
      </c>
      <c r="K282" s="6">
        <v>0</v>
      </c>
      <c r="L282" s="6">
        <v>1.0289999999999999</v>
      </c>
      <c r="M282" s="6">
        <v>1.0289999999999999</v>
      </c>
      <c r="N282" s="6">
        <v>1.0289999999999999</v>
      </c>
      <c r="O282" s="6">
        <v>1.0289999999999999</v>
      </c>
      <c r="P282" s="6">
        <v>0</v>
      </c>
      <c r="Q282" s="4" t="s">
        <v>26</v>
      </c>
      <c r="R282" s="4">
        <v>0</v>
      </c>
      <c r="S282" s="6">
        <v>0</v>
      </c>
      <c r="T282" s="6">
        <v>57</v>
      </c>
      <c r="U282" s="6">
        <v>31</v>
      </c>
      <c r="V282" s="6">
        <f>IF(ISERROR(VLOOKUP($S$282,'TAR FIN'!$A$1:$O$85,15,0)),0,VLOOKUP($S$282,'TAR FIN'!$A$1:$O$85,15,0))</f>
        <v>0</v>
      </c>
      <c r="W282" s="6">
        <f>IF(ISERROR(VLOOKUP($T$282,'TAR FIN'!$A$1:$O$85,15,0)),0,VLOOKUP($T$282,'TAR FIN'!$A$1:$O$85,15,0))</f>
        <v>763.29</v>
      </c>
      <c r="X282" s="6">
        <f>IF(ISERROR(VLOOKUP($U$282,'TAR FIN'!$A$1:$O$85,15,0)),0,VLOOKUP($U$282,'TAR FIN'!$A$1:$O$85,15,0))</f>
        <v>211.46</v>
      </c>
      <c r="Y282" s="6"/>
      <c r="Z282" s="6">
        <f ca="1">('TUSD BE'!$AM$33+'TUSD BF'!$AM$33+'TUSD CVA'!$AM$33)*(1-CUSTOS!$M$38)</f>
        <v>923.13389839835577</v>
      </c>
      <c r="AA282" s="6">
        <f>('TE BE'!$AA$24+'TE BF'!$AA$24+'TE CVA'!$AA$24)*(1-CUSTOS!$M$38)</f>
        <v>310.8870113668134</v>
      </c>
      <c r="AB282" s="6">
        <f>$K$282*$V$282</f>
        <v>0</v>
      </c>
      <c r="AC282" s="6">
        <f>$M$282*$W$282</f>
        <v>785.42540999999994</v>
      </c>
      <c r="AD282" s="6">
        <f>$O$282*$X$282</f>
        <v>217.59233999999998</v>
      </c>
      <c r="AE282" s="6">
        <f>$K$282*$Y$282</f>
        <v>0</v>
      </c>
      <c r="AF282" s="6">
        <f ca="1">$M$282*$Z$282</f>
        <v>949.90478145190798</v>
      </c>
      <c r="AG282" s="6">
        <f>$O$282*$AA$282</f>
        <v>319.90273469645098</v>
      </c>
    </row>
    <row r="283" spans="1:33" ht="11.25" customHeight="1" x14ac:dyDescent="0.3">
      <c r="A283" s="4" t="s">
        <v>21</v>
      </c>
      <c r="B283" s="4" t="s">
        <v>43</v>
      </c>
      <c r="C283" s="4" t="s">
        <v>23</v>
      </c>
      <c r="D283" s="4" t="s">
        <v>44</v>
      </c>
      <c r="E283" s="4" t="s">
        <v>52</v>
      </c>
      <c r="F283" s="4" t="s">
        <v>53</v>
      </c>
      <c r="G283" s="4" t="s">
        <v>25</v>
      </c>
      <c r="H283" s="4" t="s">
        <v>25</v>
      </c>
      <c r="I283" s="5">
        <v>44440</v>
      </c>
      <c r="J283" s="6">
        <v>0</v>
      </c>
      <c r="K283" s="6">
        <v>0</v>
      </c>
      <c r="L283" s="6">
        <v>1.3660000000000001</v>
      </c>
      <c r="M283" s="6">
        <v>1.3660000000000001</v>
      </c>
      <c r="N283" s="6">
        <v>1.3660000000000001</v>
      </c>
      <c r="O283" s="6">
        <v>1.3660000000000001</v>
      </c>
      <c r="P283" s="6">
        <v>0</v>
      </c>
      <c r="Q283" s="4" t="s">
        <v>26</v>
      </c>
      <c r="R283" s="4">
        <v>0</v>
      </c>
      <c r="S283" s="6">
        <v>0</v>
      </c>
      <c r="T283" s="6">
        <v>57</v>
      </c>
      <c r="U283" s="6">
        <v>31</v>
      </c>
      <c r="V283" s="6">
        <f>IF(ISERROR(VLOOKUP($S$283,'TAR FIN'!$A$1:$O$85,15,0)),0,VLOOKUP($S$283,'TAR FIN'!$A$1:$O$85,15,0))</f>
        <v>0</v>
      </c>
      <c r="W283" s="6">
        <f>IF(ISERROR(VLOOKUP($T$283,'TAR FIN'!$A$1:$O$85,15,0)),0,VLOOKUP($T$283,'TAR FIN'!$A$1:$O$85,15,0))</f>
        <v>763.29</v>
      </c>
      <c r="X283" s="6">
        <f>IF(ISERROR(VLOOKUP($U$283,'TAR FIN'!$A$1:$O$85,15,0)),0,VLOOKUP($U$283,'TAR FIN'!$A$1:$O$85,15,0))</f>
        <v>211.46</v>
      </c>
      <c r="Y283" s="6"/>
      <c r="Z283" s="6">
        <f ca="1">('TUSD BE'!$AM$33+'TUSD BF'!$AM$33+'TUSD CVA'!$AM$33)*(1-CUSTOS!$M$38)</f>
        <v>923.13389839835577</v>
      </c>
      <c r="AA283" s="6">
        <f>('TE BE'!$AA$24+'TE BF'!$AA$24+'TE CVA'!$AA$24)*(1-CUSTOS!$M$38)</f>
        <v>310.8870113668134</v>
      </c>
      <c r="AB283" s="6">
        <f>$K$283*$V$283</f>
        <v>0</v>
      </c>
      <c r="AC283" s="6">
        <f>$M$283*$W$283</f>
        <v>1042.6541400000001</v>
      </c>
      <c r="AD283" s="6">
        <f>$O$283*$X$283</f>
        <v>288.85436000000004</v>
      </c>
      <c r="AE283" s="6">
        <f>$K$283*$Y$283</f>
        <v>0</v>
      </c>
      <c r="AF283" s="6">
        <f ca="1">$M$283*$Z$283</f>
        <v>1261.0009052121541</v>
      </c>
      <c r="AG283" s="6">
        <f>$O$283*$AA$283</f>
        <v>424.67165752706711</v>
      </c>
    </row>
    <row r="284" spans="1:33" ht="11.25" customHeight="1" x14ac:dyDescent="0.3">
      <c r="A284" s="4" t="s">
        <v>21</v>
      </c>
      <c r="B284" s="4" t="s">
        <v>43</v>
      </c>
      <c r="C284" s="4" t="s">
        <v>23</v>
      </c>
      <c r="D284" s="4" t="s">
        <v>44</v>
      </c>
      <c r="E284" s="4" t="s">
        <v>52</v>
      </c>
      <c r="F284" s="4" t="s">
        <v>53</v>
      </c>
      <c r="G284" s="4" t="s">
        <v>25</v>
      </c>
      <c r="H284" s="4" t="s">
        <v>25</v>
      </c>
      <c r="I284" s="5">
        <v>44470</v>
      </c>
      <c r="J284" s="6">
        <v>0</v>
      </c>
      <c r="K284" s="6">
        <v>0</v>
      </c>
      <c r="L284" s="6">
        <v>1.696</v>
      </c>
      <c r="M284" s="6">
        <v>1.696</v>
      </c>
      <c r="N284" s="6">
        <v>1.696</v>
      </c>
      <c r="O284" s="6">
        <v>1.696</v>
      </c>
      <c r="P284" s="6">
        <v>0</v>
      </c>
      <c r="Q284" s="4" t="s">
        <v>26</v>
      </c>
      <c r="R284" s="4">
        <v>0</v>
      </c>
      <c r="S284" s="6">
        <v>0</v>
      </c>
      <c r="T284" s="6">
        <v>57</v>
      </c>
      <c r="U284" s="6">
        <v>31</v>
      </c>
      <c r="V284" s="6">
        <f>IF(ISERROR(VLOOKUP($S$284,'TAR FIN'!$A$1:$O$85,15,0)),0,VLOOKUP($S$284,'TAR FIN'!$A$1:$O$85,15,0))</f>
        <v>0</v>
      </c>
      <c r="W284" s="6">
        <f>IF(ISERROR(VLOOKUP($T$284,'TAR FIN'!$A$1:$O$85,15,0)),0,VLOOKUP($T$284,'TAR FIN'!$A$1:$O$85,15,0))</f>
        <v>763.29</v>
      </c>
      <c r="X284" s="6">
        <f>IF(ISERROR(VLOOKUP($U$284,'TAR FIN'!$A$1:$O$85,15,0)),0,VLOOKUP($U$284,'TAR FIN'!$A$1:$O$85,15,0))</f>
        <v>211.46</v>
      </c>
      <c r="Y284" s="6"/>
      <c r="Z284" s="6">
        <f ca="1">('TUSD BE'!$AM$33+'TUSD BF'!$AM$33+'TUSD CVA'!$AM$33)*(1-CUSTOS!$M$38)</f>
        <v>923.13389839835577</v>
      </c>
      <c r="AA284" s="6">
        <f>('TE BE'!$AA$24+'TE BF'!$AA$24+'TE CVA'!$AA$24)*(1-CUSTOS!$M$38)</f>
        <v>310.8870113668134</v>
      </c>
      <c r="AB284" s="6">
        <f>$K$284*$V$284</f>
        <v>0</v>
      </c>
      <c r="AC284" s="6">
        <f>$M$284*$W$284</f>
        <v>1294.5398399999999</v>
      </c>
      <c r="AD284" s="6">
        <f>$O$284*$X$284</f>
        <v>358.63616000000002</v>
      </c>
      <c r="AE284" s="6">
        <f>$K$284*$Y$284</f>
        <v>0</v>
      </c>
      <c r="AF284" s="6">
        <f ca="1">$M$284*$Z$284</f>
        <v>1565.6350916836113</v>
      </c>
      <c r="AG284" s="6">
        <f>$O$284*$AA$284</f>
        <v>527.2643712781155</v>
      </c>
    </row>
    <row r="285" spans="1:33" ht="11.25" customHeight="1" x14ac:dyDescent="0.3">
      <c r="A285" s="4" t="s">
        <v>21</v>
      </c>
      <c r="B285" s="4" t="s">
        <v>43</v>
      </c>
      <c r="C285" s="4" t="s">
        <v>23</v>
      </c>
      <c r="D285" s="4" t="s">
        <v>44</v>
      </c>
      <c r="E285" s="4" t="s">
        <v>52</v>
      </c>
      <c r="F285" s="4" t="s">
        <v>53</v>
      </c>
      <c r="G285" s="4" t="s">
        <v>25</v>
      </c>
      <c r="H285" s="4" t="s">
        <v>25</v>
      </c>
      <c r="I285" s="5">
        <v>44501</v>
      </c>
      <c r="J285" s="6">
        <v>0</v>
      </c>
      <c r="K285" s="6">
        <v>0</v>
      </c>
      <c r="L285" s="6">
        <v>0.5</v>
      </c>
      <c r="M285" s="6">
        <v>0.5</v>
      </c>
      <c r="N285" s="6">
        <v>0.5</v>
      </c>
      <c r="O285" s="6">
        <v>0.5</v>
      </c>
      <c r="P285" s="6">
        <v>0</v>
      </c>
      <c r="Q285" s="4" t="s">
        <v>26</v>
      </c>
      <c r="R285" s="4">
        <v>0</v>
      </c>
      <c r="S285" s="6">
        <v>0</v>
      </c>
      <c r="T285" s="6">
        <v>57</v>
      </c>
      <c r="U285" s="6">
        <v>31</v>
      </c>
      <c r="V285" s="6">
        <f>IF(ISERROR(VLOOKUP($S$285,'TAR FIN'!$A$1:$O$85,15,0)),0,VLOOKUP($S$285,'TAR FIN'!$A$1:$O$85,15,0))</f>
        <v>0</v>
      </c>
      <c r="W285" s="6">
        <f>IF(ISERROR(VLOOKUP($T$285,'TAR FIN'!$A$1:$O$85,15,0)),0,VLOOKUP($T$285,'TAR FIN'!$A$1:$O$85,15,0))</f>
        <v>763.29</v>
      </c>
      <c r="X285" s="6">
        <f>IF(ISERROR(VLOOKUP($U$285,'TAR FIN'!$A$1:$O$85,15,0)),0,VLOOKUP($U$285,'TAR FIN'!$A$1:$O$85,15,0))</f>
        <v>211.46</v>
      </c>
      <c r="Y285" s="6"/>
      <c r="Z285" s="6">
        <f ca="1">('TUSD BE'!$AM$33+'TUSD BF'!$AM$33+'TUSD CVA'!$AM$33)*(1-CUSTOS!$M$38)</f>
        <v>923.13389839835577</v>
      </c>
      <c r="AA285" s="6">
        <f>('TE BE'!$AA$24+'TE BF'!$AA$24+'TE CVA'!$AA$24)*(1-CUSTOS!$M$38)</f>
        <v>310.8870113668134</v>
      </c>
      <c r="AB285" s="6">
        <f>$K$285*$V$285</f>
        <v>0</v>
      </c>
      <c r="AC285" s="6">
        <f>$M$285*$W$285</f>
        <v>381.64499999999998</v>
      </c>
      <c r="AD285" s="6">
        <f>$O$285*$X$285</f>
        <v>105.73</v>
      </c>
      <c r="AE285" s="6">
        <f>$K$285*$Y$285</f>
        <v>0</v>
      </c>
      <c r="AF285" s="6">
        <f ca="1">$M$285*$Z$285</f>
        <v>461.56694919917788</v>
      </c>
      <c r="AG285" s="6">
        <f>$O$285*$AA$285</f>
        <v>155.4435056834067</v>
      </c>
    </row>
    <row r="286" spans="1:33" ht="11.25" customHeight="1" x14ac:dyDescent="0.3">
      <c r="A286" s="4" t="s">
        <v>21</v>
      </c>
      <c r="B286" s="4" t="s">
        <v>43</v>
      </c>
      <c r="C286" s="4" t="s">
        <v>23</v>
      </c>
      <c r="D286" s="4" t="s">
        <v>44</v>
      </c>
      <c r="E286" s="4" t="s">
        <v>52</v>
      </c>
      <c r="F286" s="4" t="s">
        <v>53</v>
      </c>
      <c r="G286" s="4" t="s">
        <v>25</v>
      </c>
      <c r="H286" s="4" t="s">
        <v>25</v>
      </c>
      <c r="I286" s="5">
        <v>44531</v>
      </c>
      <c r="J286" s="6">
        <v>0</v>
      </c>
      <c r="K286" s="6">
        <v>0</v>
      </c>
      <c r="L286" s="6">
        <v>0.373</v>
      </c>
      <c r="M286" s="6">
        <v>0.373</v>
      </c>
      <c r="N286" s="6">
        <v>0.373</v>
      </c>
      <c r="O286" s="6">
        <v>0.373</v>
      </c>
      <c r="P286" s="6">
        <v>0</v>
      </c>
      <c r="Q286" s="4" t="s">
        <v>26</v>
      </c>
      <c r="R286" s="4">
        <v>0</v>
      </c>
      <c r="S286" s="6">
        <v>0</v>
      </c>
      <c r="T286" s="6">
        <v>57</v>
      </c>
      <c r="U286" s="6">
        <v>31</v>
      </c>
      <c r="V286" s="6">
        <f>IF(ISERROR(VLOOKUP($S$286,'TAR FIN'!$A$1:$O$85,15,0)),0,VLOOKUP($S$286,'TAR FIN'!$A$1:$O$85,15,0))</f>
        <v>0</v>
      </c>
      <c r="W286" s="6">
        <f>IF(ISERROR(VLOOKUP($T$286,'TAR FIN'!$A$1:$O$85,15,0)),0,VLOOKUP($T$286,'TAR FIN'!$A$1:$O$85,15,0))</f>
        <v>763.29</v>
      </c>
      <c r="X286" s="6">
        <f>IF(ISERROR(VLOOKUP($U$286,'TAR FIN'!$A$1:$O$85,15,0)),0,VLOOKUP($U$286,'TAR FIN'!$A$1:$O$85,15,0))</f>
        <v>211.46</v>
      </c>
      <c r="Y286" s="6"/>
      <c r="Z286" s="6">
        <f ca="1">('TUSD BE'!$AM$33+'TUSD BF'!$AM$33+'TUSD CVA'!$AM$33)*(1-CUSTOS!$M$38)</f>
        <v>923.13389839835577</v>
      </c>
      <c r="AA286" s="6">
        <f>('TE BE'!$AA$24+'TE BF'!$AA$24+'TE CVA'!$AA$24)*(1-CUSTOS!$M$38)</f>
        <v>310.8870113668134</v>
      </c>
      <c r="AB286" s="6">
        <f>$K$286*$V$286</f>
        <v>0</v>
      </c>
      <c r="AC286" s="6">
        <f>$M$286*$W$286</f>
        <v>284.70716999999996</v>
      </c>
      <c r="AD286" s="6">
        <f>$O$286*$X$286</f>
        <v>78.874580000000009</v>
      </c>
      <c r="AE286" s="6">
        <f>$K$286*$Y$286</f>
        <v>0</v>
      </c>
      <c r="AF286" s="6">
        <f ca="1">$M$286*$Z$286</f>
        <v>344.32894410258672</v>
      </c>
      <c r="AG286" s="6">
        <f>$O$286*$AA$286</f>
        <v>115.9608552398214</v>
      </c>
    </row>
    <row r="287" spans="1:33" ht="11.25" customHeight="1" x14ac:dyDescent="0.3">
      <c r="A287" s="4" t="s">
        <v>21</v>
      </c>
      <c r="B287" s="4" t="s">
        <v>43</v>
      </c>
      <c r="C287" s="4" t="s">
        <v>23</v>
      </c>
      <c r="D287" s="4" t="s">
        <v>44</v>
      </c>
      <c r="E287" s="4" t="s">
        <v>52</v>
      </c>
      <c r="F287" s="4" t="s">
        <v>53</v>
      </c>
      <c r="G287" s="4" t="s">
        <v>25</v>
      </c>
      <c r="H287" s="4" t="s">
        <v>25</v>
      </c>
      <c r="I287" s="5">
        <v>44562</v>
      </c>
      <c r="J287" s="6">
        <v>0</v>
      </c>
      <c r="K287" s="6">
        <v>0</v>
      </c>
      <c r="L287" s="6">
        <v>0.52100000000000002</v>
      </c>
      <c r="M287" s="6">
        <v>0.52100000000000002</v>
      </c>
      <c r="N287" s="6">
        <v>0.52100000000000002</v>
      </c>
      <c r="O287" s="6">
        <v>0.52100000000000002</v>
      </c>
      <c r="P287" s="6">
        <v>0</v>
      </c>
      <c r="Q287" s="4" t="s">
        <v>26</v>
      </c>
      <c r="R287" s="4">
        <v>0</v>
      </c>
      <c r="S287" s="6">
        <v>0</v>
      </c>
      <c r="T287" s="6">
        <v>57</v>
      </c>
      <c r="U287" s="6">
        <v>31</v>
      </c>
      <c r="V287" s="6">
        <f>IF(ISERROR(VLOOKUP($S$287,'TAR FIN'!$A$1:$O$85,15,0)),0,VLOOKUP($S$287,'TAR FIN'!$A$1:$O$85,15,0))</f>
        <v>0</v>
      </c>
      <c r="W287" s="6">
        <f>IF(ISERROR(VLOOKUP($T$287,'TAR FIN'!$A$1:$O$85,15,0)),0,VLOOKUP($T$287,'TAR FIN'!$A$1:$O$85,15,0))</f>
        <v>763.29</v>
      </c>
      <c r="X287" s="6">
        <f>IF(ISERROR(VLOOKUP($U$287,'TAR FIN'!$A$1:$O$85,15,0)),0,VLOOKUP($U$287,'TAR FIN'!$A$1:$O$85,15,0))</f>
        <v>211.46</v>
      </c>
      <c r="Y287" s="6"/>
      <c r="Z287" s="6">
        <f ca="1">('TUSD BE'!$AM$33+'TUSD BF'!$AM$33+'TUSD CVA'!$AM$33)*(1-CUSTOS!$M$38)</f>
        <v>923.13389839835577</v>
      </c>
      <c r="AA287" s="6">
        <f>('TE BE'!$AA$24+'TE BF'!$AA$24+'TE CVA'!$AA$24)*(1-CUSTOS!$M$38)</f>
        <v>310.8870113668134</v>
      </c>
      <c r="AB287" s="6">
        <f>$K$287*$V$287</f>
        <v>0</v>
      </c>
      <c r="AC287" s="6">
        <f>$M$287*$W$287</f>
        <v>397.67408999999998</v>
      </c>
      <c r="AD287" s="6">
        <f>$O$287*$X$287</f>
        <v>110.17066000000001</v>
      </c>
      <c r="AE287" s="6">
        <f>$K$287*$Y$287</f>
        <v>0</v>
      </c>
      <c r="AF287" s="6">
        <f ca="1">$M$287*$Z$287</f>
        <v>480.95276106554337</v>
      </c>
      <c r="AG287" s="6">
        <f>$O$287*$AA$287</f>
        <v>161.97213292210978</v>
      </c>
    </row>
    <row r="288" spans="1:33" ht="11.25" customHeight="1" x14ac:dyDescent="0.3">
      <c r="A288" s="4" t="s">
        <v>21</v>
      </c>
      <c r="B288" s="4" t="s">
        <v>43</v>
      </c>
      <c r="C288" s="4" t="s">
        <v>23</v>
      </c>
      <c r="D288" s="4" t="s">
        <v>44</v>
      </c>
      <c r="E288" s="4" t="s">
        <v>52</v>
      </c>
      <c r="F288" s="4" t="s">
        <v>53</v>
      </c>
      <c r="G288" s="4" t="s">
        <v>25</v>
      </c>
      <c r="H288" s="4" t="s">
        <v>25</v>
      </c>
      <c r="I288" s="5">
        <v>44593</v>
      </c>
      <c r="J288" s="6">
        <v>0</v>
      </c>
      <c r="K288" s="6">
        <v>0</v>
      </c>
      <c r="L288" s="6">
        <v>0.45200000000000001</v>
      </c>
      <c r="M288" s="6">
        <v>0.45200000000000001</v>
      </c>
      <c r="N288" s="6">
        <v>0.45200000000000001</v>
      </c>
      <c r="O288" s="6">
        <v>0.45200000000000001</v>
      </c>
      <c r="P288" s="6">
        <v>0</v>
      </c>
      <c r="Q288" s="4" t="s">
        <v>26</v>
      </c>
      <c r="R288" s="4">
        <v>0</v>
      </c>
      <c r="S288" s="6">
        <v>0</v>
      </c>
      <c r="T288" s="6">
        <v>57</v>
      </c>
      <c r="U288" s="6">
        <v>31</v>
      </c>
      <c r="V288" s="6">
        <f>IF(ISERROR(VLOOKUP($S$288,'TAR FIN'!$A$1:$O$85,15,0)),0,VLOOKUP($S$288,'TAR FIN'!$A$1:$O$85,15,0))</f>
        <v>0</v>
      </c>
      <c r="W288" s="6">
        <f>IF(ISERROR(VLOOKUP($T$288,'TAR FIN'!$A$1:$O$85,15,0)),0,VLOOKUP($T$288,'TAR FIN'!$A$1:$O$85,15,0))</f>
        <v>763.29</v>
      </c>
      <c r="X288" s="6">
        <f>IF(ISERROR(VLOOKUP($U$288,'TAR FIN'!$A$1:$O$85,15,0)),0,VLOOKUP($U$288,'TAR FIN'!$A$1:$O$85,15,0))</f>
        <v>211.46</v>
      </c>
      <c r="Y288" s="6"/>
      <c r="Z288" s="6">
        <f ca="1">('TUSD BE'!$AM$33+'TUSD BF'!$AM$33+'TUSD CVA'!$AM$33)*(1-CUSTOS!$M$38)</f>
        <v>923.13389839835577</v>
      </c>
      <c r="AA288" s="6">
        <f>('TE BE'!$AA$24+'TE BF'!$AA$24+'TE CVA'!$AA$24)*(1-CUSTOS!$M$38)</f>
        <v>310.8870113668134</v>
      </c>
      <c r="AB288" s="6">
        <f>$K$288*$V$288</f>
        <v>0</v>
      </c>
      <c r="AC288" s="6">
        <f>$M$288*$W$288</f>
        <v>345.00707999999997</v>
      </c>
      <c r="AD288" s="6">
        <f>$O$288*$X$288</f>
        <v>95.579920000000001</v>
      </c>
      <c r="AE288" s="6">
        <f>$K$288*$Y$288</f>
        <v>0</v>
      </c>
      <c r="AF288" s="6">
        <f ca="1">$M$288*$Z$288</f>
        <v>417.2565220760568</v>
      </c>
      <c r="AG288" s="6">
        <f>$O$288*$AA$288</f>
        <v>140.52092913779967</v>
      </c>
    </row>
    <row r="289" spans="1:33" ht="11.25" customHeight="1" x14ac:dyDescent="0.3">
      <c r="A289" s="4" t="s">
        <v>21</v>
      </c>
      <c r="B289" s="4" t="s">
        <v>43</v>
      </c>
      <c r="C289" s="4" t="s">
        <v>23</v>
      </c>
      <c r="D289" s="4" t="s">
        <v>44</v>
      </c>
      <c r="E289" s="4" t="s">
        <v>52</v>
      </c>
      <c r="F289" s="4" t="s">
        <v>53</v>
      </c>
      <c r="G289" s="4" t="s">
        <v>25</v>
      </c>
      <c r="H289" s="4" t="s">
        <v>25</v>
      </c>
      <c r="I289" s="5">
        <v>44621</v>
      </c>
      <c r="J289" s="6">
        <v>0</v>
      </c>
      <c r="K289" s="6">
        <v>0</v>
      </c>
      <c r="L289" s="6">
        <v>0.59499999999999997</v>
      </c>
      <c r="M289" s="6">
        <v>0.59499999999999997</v>
      </c>
      <c r="N289" s="6">
        <v>0.59499999999999997</v>
      </c>
      <c r="O289" s="6">
        <v>0.59499999999999997</v>
      </c>
      <c r="P289" s="6">
        <v>0</v>
      </c>
      <c r="Q289" s="4" t="s">
        <v>26</v>
      </c>
      <c r="R289" s="4">
        <v>0</v>
      </c>
      <c r="S289" s="6">
        <v>0</v>
      </c>
      <c r="T289" s="6">
        <v>57</v>
      </c>
      <c r="U289" s="6">
        <v>31</v>
      </c>
      <c r="V289" s="6">
        <f>IF(ISERROR(VLOOKUP($S$289,'TAR FIN'!$A$1:$O$85,15,0)),0,VLOOKUP($S$289,'TAR FIN'!$A$1:$O$85,15,0))</f>
        <v>0</v>
      </c>
      <c r="W289" s="6">
        <f>IF(ISERROR(VLOOKUP($T$289,'TAR FIN'!$A$1:$O$85,15,0)),0,VLOOKUP($T$289,'TAR FIN'!$A$1:$O$85,15,0))</f>
        <v>763.29</v>
      </c>
      <c r="X289" s="6">
        <f>IF(ISERROR(VLOOKUP($U$289,'TAR FIN'!$A$1:$O$85,15,0)),0,VLOOKUP($U$289,'TAR FIN'!$A$1:$O$85,15,0))</f>
        <v>211.46</v>
      </c>
      <c r="Y289" s="6"/>
      <c r="Z289" s="6">
        <f ca="1">('TUSD BE'!$AM$33+'TUSD BF'!$AM$33+'TUSD CVA'!$AM$33)*(1-CUSTOS!$M$38)</f>
        <v>923.13389839835577</v>
      </c>
      <c r="AA289" s="6">
        <f>('TE BE'!$AA$24+'TE BF'!$AA$24+'TE CVA'!$AA$24)*(1-CUSTOS!$M$38)</f>
        <v>310.8870113668134</v>
      </c>
      <c r="AB289" s="6">
        <f>$K$289*$V$289</f>
        <v>0</v>
      </c>
      <c r="AC289" s="6">
        <f>$M$289*$W$289</f>
        <v>454.15754999999996</v>
      </c>
      <c r="AD289" s="6">
        <f>$O$289*$X$289</f>
        <v>125.81869999999999</v>
      </c>
      <c r="AE289" s="6">
        <f>$K$289*$Y$289</f>
        <v>0</v>
      </c>
      <c r="AF289" s="6">
        <f ca="1">$M$289*$Z$289</f>
        <v>549.26466954702164</v>
      </c>
      <c r="AG289" s="6">
        <f>$O$289*$AA$289</f>
        <v>184.97777176325397</v>
      </c>
    </row>
    <row r="290" spans="1:33" ht="11.25" customHeight="1" x14ac:dyDescent="0.3">
      <c r="A290" s="4" t="s">
        <v>21</v>
      </c>
      <c r="B290" s="4" t="s">
        <v>43</v>
      </c>
      <c r="C290" s="4" t="s">
        <v>23</v>
      </c>
      <c r="D290" s="4" t="s">
        <v>44</v>
      </c>
      <c r="E290" s="4" t="s">
        <v>52</v>
      </c>
      <c r="F290" s="4" t="s">
        <v>54</v>
      </c>
      <c r="G290" s="4" t="s">
        <v>25</v>
      </c>
      <c r="H290" s="4" t="s">
        <v>25</v>
      </c>
      <c r="I290" s="5">
        <v>44287</v>
      </c>
      <c r="J290" s="6">
        <v>0</v>
      </c>
      <c r="K290" s="6">
        <v>0</v>
      </c>
      <c r="L290" s="6">
        <v>0.125</v>
      </c>
      <c r="M290" s="6">
        <v>0.05</v>
      </c>
      <c r="N290" s="6">
        <v>0.125</v>
      </c>
      <c r="O290" s="6">
        <v>0.05</v>
      </c>
      <c r="P290" s="6">
        <v>0</v>
      </c>
      <c r="Q290" s="4" t="s">
        <v>26</v>
      </c>
      <c r="R290" s="4">
        <v>0</v>
      </c>
      <c r="S290" s="6">
        <v>0</v>
      </c>
      <c r="T290" s="6">
        <v>57</v>
      </c>
      <c r="U290" s="6">
        <v>31</v>
      </c>
      <c r="V290" s="6">
        <f>IF(ISERROR(VLOOKUP($S$290,'TAR FIN'!$A$1:$O$85,15,0)),0,VLOOKUP($S$290,'TAR FIN'!$A$1:$O$85,15,0))</f>
        <v>0</v>
      </c>
      <c r="W290" s="6">
        <f>IF(ISERROR(VLOOKUP($T$290,'TAR FIN'!$A$1:$O$85,15,0)),0,VLOOKUP($T$290,'TAR FIN'!$A$1:$O$85,15,0))</f>
        <v>763.29</v>
      </c>
      <c r="X290" s="6">
        <f>IF(ISERROR(VLOOKUP($U$290,'TAR FIN'!$A$1:$O$85,15,0)),0,VLOOKUP($U$290,'TAR FIN'!$A$1:$O$85,15,0))</f>
        <v>211.46</v>
      </c>
      <c r="Y290" s="6"/>
      <c r="Z290" s="6">
        <f ca="1">('TUSD BE'!$AM$33+'TUSD BF'!$AM$33+'TUSD CVA'!$AM$33)*(1-CUSTOS!$M$38)</f>
        <v>923.13389839835577</v>
      </c>
      <c r="AA290" s="6">
        <f>('TE BE'!$AA$24+'TE BF'!$AA$24+'TE CVA'!$AA$24)*(1-CUSTOS!$M$38)</f>
        <v>310.8870113668134</v>
      </c>
      <c r="AB290" s="6">
        <f>$K$290*$V$290</f>
        <v>0</v>
      </c>
      <c r="AC290" s="6">
        <f>$M$290*$W$290</f>
        <v>38.164499999999997</v>
      </c>
      <c r="AD290" s="6">
        <f>$O$290*$X$290</f>
        <v>10.573</v>
      </c>
      <c r="AE290" s="6">
        <f>$K$290*$Y$290</f>
        <v>0</v>
      </c>
      <c r="AF290" s="6">
        <f ca="1">$M$290*$Z$290</f>
        <v>46.15669491991779</v>
      </c>
      <c r="AG290" s="6">
        <f>$O$290*$AA$290</f>
        <v>15.54435056834067</v>
      </c>
    </row>
    <row r="291" spans="1:33" ht="11.25" customHeight="1" x14ac:dyDescent="0.3">
      <c r="A291" s="4" t="s">
        <v>21</v>
      </c>
      <c r="B291" s="4" t="s">
        <v>43</v>
      </c>
      <c r="C291" s="4" t="s">
        <v>23</v>
      </c>
      <c r="D291" s="4" t="s">
        <v>44</v>
      </c>
      <c r="E291" s="4" t="s">
        <v>52</v>
      </c>
      <c r="F291" s="4" t="s">
        <v>54</v>
      </c>
      <c r="G291" s="4" t="s">
        <v>25</v>
      </c>
      <c r="H291" s="4" t="s">
        <v>25</v>
      </c>
      <c r="I291" s="5">
        <v>44317</v>
      </c>
      <c r="J291" s="6">
        <v>0</v>
      </c>
      <c r="K291" s="6">
        <v>0</v>
      </c>
      <c r="L291" s="6">
        <v>0.152</v>
      </c>
      <c r="M291" s="6">
        <v>6.08E-2</v>
      </c>
      <c r="N291" s="6">
        <v>0.152</v>
      </c>
      <c r="O291" s="6">
        <v>6.08E-2</v>
      </c>
      <c r="P291" s="6">
        <v>0</v>
      </c>
      <c r="Q291" s="4" t="s">
        <v>26</v>
      </c>
      <c r="R291" s="4">
        <v>0</v>
      </c>
      <c r="S291" s="6">
        <v>0</v>
      </c>
      <c r="T291" s="6">
        <v>57</v>
      </c>
      <c r="U291" s="6">
        <v>31</v>
      </c>
      <c r="V291" s="6">
        <f>IF(ISERROR(VLOOKUP($S$291,'TAR FIN'!$A$1:$O$85,15,0)),0,VLOOKUP($S$291,'TAR FIN'!$A$1:$O$85,15,0))</f>
        <v>0</v>
      </c>
      <c r="W291" s="6">
        <f>IF(ISERROR(VLOOKUP($T$291,'TAR FIN'!$A$1:$O$85,15,0)),0,VLOOKUP($T$291,'TAR FIN'!$A$1:$O$85,15,0))</f>
        <v>763.29</v>
      </c>
      <c r="X291" s="6">
        <f>IF(ISERROR(VLOOKUP($U$291,'TAR FIN'!$A$1:$O$85,15,0)),0,VLOOKUP($U$291,'TAR FIN'!$A$1:$O$85,15,0))</f>
        <v>211.46</v>
      </c>
      <c r="Y291" s="6"/>
      <c r="Z291" s="6">
        <f ca="1">('TUSD BE'!$AM$33+'TUSD BF'!$AM$33+'TUSD CVA'!$AM$33)*(1-CUSTOS!$M$38)</f>
        <v>923.13389839835577</v>
      </c>
      <c r="AA291" s="6">
        <f>('TE BE'!$AA$24+'TE BF'!$AA$24+'TE CVA'!$AA$24)*(1-CUSTOS!$M$38)</f>
        <v>310.8870113668134</v>
      </c>
      <c r="AB291" s="6">
        <f>$K$291*$V$291</f>
        <v>0</v>
      </c>
      <c r="AC291" s="6">
        <f>$M$291*$W$291</f>
        <v>46.408031999999999</v>
      </c>
      <c r="AD291" s="6">
        <f>$O$291*$X$291</f>
        <v>12.856768000000001</v>
      </c>
      <c r="AE291" s="6">
        <f>$K$291*$Y$291</f>
        <v>0</v>
      </c>
      <c r="AF291" s="6">
        <f ca="1">$M$291*$Z$291</f>
        <v>56.126541022620032</v>
      </c>
      <c r="AG291" s="6">
        <f>$O$291*$AA$291</f>
        <v>18.901930291102254</v>
      </c>
    </row>
    <row r="292" spans="1:33" ht="11.25" customHeight="1" x14ac:dyDescent="0.3">
      <c r="A292" s="4" t="s">
        <v>21</v>
      </c>
      <c r="B292" s="4" t="s">
        <v>43</v>
      </c>
      <c r="C292" s="4" t="s">
        <v>23</v>
      </c>
      <c r="D292" s="4" t="s">
        <v>44</v>
      </c>
      <c r="E292" s="4" t="s">
        <v>52</v>
      </c>
      <c r="F292" s="4" t="s">
        <v>54</v>
      </c>
      <c r="G292" s="4" t="s">
        <v>25</v>
      </c>
      <c r="H292" s="4" t="s">
        <v>25</v>
      </c>
      <c r="I292" s="5">
        <v>44348</v>
      </c>
      <c r="J292" s="6">
        <v>0</v>
      </c>
      <c r="K292" s="6">
        <v>0</v>
      </c>
      <c r="L292" s="6">
        <v>4.0000000000000001E-3</v>
      </c>
      <c r="M292" s="6">
        <v>1.6000000000000001E-3</v>
      </c>
      <c r="N292" s="6">
        <v>4.0000000000000001E-3</v>
      </c>
      <c r="O292" s="6">
        <v>1.6000000000000001E-3</v>
      </c>
      <c r="P292" s="6">
        <v>0</v>
      </c>
      <c r="Q292" s="4" t="s">
        <v>26</v>
      </c>
      <c r="R292" s="4">
        <v>0</v>
      </c>
      <c r="S292" s="6">
        <v>0</v>
      </c>
      <c r="T292" s="6">
        <v>57</v>
      </c>
      <c r="U292" s="6">
        <v>31</v>
      </c>
      <c r="V292" s="6">
        <f>IF(ISERROR(VLOOKUP($S$292,'TAR FIN'!$A$1:$O$85,15,0)),0,VLOOKUP($S$292,'TAR FIN'!$A$1:$O$85,15,0))</f>
        <v>0</v>
      </c>
      <c r="W292" s="6">
        <f>IF(ISERROR(VLOOKUP($T$292,'TAR FIN'!$A$1:$O$85,15,0)),0,VLOOKUP($T$292,'TAR FIN'!$A$1:$O$85,15,0))</f>
        <v>763.29</v>
      </c>
      <c r="X292" s="6">
        <f>IF(ISERROR(VLOOKUP($U$292,'TAR FIN'!$A$1:$O$85,15,0)),0,VLOOKUP($U$292,'TAR FIN'!$A$1:$O$85,15,0))</f>
        <v>211.46</v>
      </c>
      <c r="Y292" s="6"/>
      <c r="Z292" s="6">
        <f ca="1">('TUSD BE'!$AM$33+'TUSD BF'!$AM$33+'TUSD CVA'!$AM$33)*(1-CUSTOS!$M$38)</f>
        <v>923.13389839835577</v>
      </c>
      <c r="AA292" s="6">
        <f>('TE BE'!$AA$24+'TE BF'!$AA$24+'TE CVA'!$AA$24)*(1-CUSTOS!$M$38)</f>
        <v>310.8870113668134</v>
      </c>
      <c r="AB292" s="6">
        <f>$K$292*$V$292</f>
        <v>0</v>
      </c>
      <c r="AC292" s="6">
        <f>$M$292*$W$292</f>
        <v>1.2212639999999999</v>
      </c>
      <c r="AD292" s="6">
        <f>$O$292*$X$292</f>
        <v>0.33833600000000003</v>
      </c>
      <c r="AE292" s="6">
        <f>$K$292*$Y$292</f>
        <v>0</v>
      </c>
      <c r="AF292" s="6">
        <f ca="1">$M$292*$Z$292</f>
        <v>1.4770142374373694</v>
      </c>
      <c r="AG292" s="6">
        <f>$O$292*$AA$292</f>
        <v>0.49741921818690144</v>
      </c>
    </row>
    <row r="293" spans="1:33" ht="11.25" customHeight="1" x14ac:dyDescent="0.3">
      <c r="A293" s="4" t="s">
        <v>21</v>
      </c>
      <c r="B293" s="4" t="s">
        <v>43</v>
      </c>
      <c r="C293" s="4" t="s">
        <v>23</v>
      </c>
      <c r="D293" s="4" t="s">
        <v>44</v>
      </c>
      <c r="E293" s="4" t="s">
        <v>52</v>
      </c>
      <c r="F293" s="4" t="s">
        <v>54</v>
      </c>
      <c r="G293" s="4" t="s">
        <v>25</v>
      </c>
      <c r="H293" s="4" t="s">
        <v>25</v>
      </c>
      <c r="I293" s="5">
        <v>44378</v>
      </c>
      <c r="J293" s="6">
        <v>0</v>
      </c>
      <c r="K293" s="6">
        <v>0</v>
      </c>
      <c r="L293" s="6">
        <v>3.0000000000000001E-3</v>
      </c>
      <c r="M293" s="6">
        <v>1.1999999999999999E-3</v>
      </c>
      <c r="N293" s="6">
        <v>3.0000000000000001E-3</v>
      </c>
      <c r="O293" s="6">
        <v>1.1999999999999999E-3</v>
      </c>
      <c r="P293" s="6">
        <v>0</v>
      </c>
      <c r="Q293" s="4" t="s">
        <v>26</v>
      </c>
      <c r="R293" s="4">
        <v>0</v>
      </c>
      <c r="S293" s="6">
        <v>0</v>
      </c>
      <c r="T293" s="6">
        <v>57</v>
      </c>
      <c r="U293" s="6">
        <v>31</v>
      </c>
      <c r="V293" s="6">
        <f>IF(ISERROR(VLOOKUP($S$293,'TAR FIN'!$A$1:$O$85,15,0)),0,VLOOKUP($S$293,'TAR FIN'!$A$1:$O$85,15,0))</f>
        <v>0</v>
      </c>
      <c r="W293" s="6">
        <f>IF(ISERROR(VLOOKUP($T$293,'TAR FIN'!$A$1:$O$85,15,0)),0,VLOOKUP($T$293,'TAR FIN'!$A$1:$O$85,15,0))</f>
        <v>763.29</v>
      </c>
      <c r="X293" s="6">
        <f>IF(ISERROR(VLOOKUP($U$293,'TAR FIN'!$A$1:$O$85,15,0)),0,VLOOKUP($U$293,'TAR FIN'!$A$1:$O$85,15,0))</f>
        <v>211.46</v>
      </c>
      <c r="Y293" s="6"/>
      <c r="Z293" s="6">
        <f ca="1">('TUSD BE'!$AM$33+'TUSD BF'!$AM$33+'TUSD CVA'!$AM$33)*(1-CUSTOS!$M$38)</f>
        <v>923.13389839835577</v>
      </c>
      <c r="AA293" s="6">
        <f>('TE BE'!$AA$24+'TE BF'!$AA$24+'TE CVA'!$AA$24)*(1-CUSTOS!$M$38)</f>
        <v>310.8870113668134</v>
      </c>
      <c r="AB293" s="6">
        <f>$K$293*$V$293</f>
        <v>0</v>
      </c>
      <c r="AC293" s="6">
        <f>$M$293*$W$293</f>
        <v>0.91594799999999987</v>
      </c>
      <c r="AD293" s="6">
        <f>$O$293*$X$293</f>
        <v>0.25375199999999998</v>
      </c>
      <c r="AE293" s="6">
        <f>$K$293*$Y$293</f>
        <v>0</v>
      </c>
      <c r="AF293" s="6">
        <f ca="1">$M$293*$Z$293</f>
        <v>1.1077606780780269</v>
      </c>
      <c r="AG293" s="6">
        <f>$O$293*$AA$293</f>
        <v>0.37306441364017606</v>
      </c>
    </row>
    <row r="294" spans="1:33" ht="11.25" customHeight="1" x14ac:dyDescent="0.3">
      <c r="A294" s="4" t="s">
        <v>21</v>
      </c>
      <c r="B294" s="4" t="s">
        <v>43</v>
      </c>
      <c r="C294" s="4" t="s">
        <v>23</v>
      </c>
      <c r="D294" s="4" t="s">
        <v>44</v>
      </c>
      <c r="E294" s="4" t="s">
        <v>52</v>
      </c>
      <c r="F294" s="4" t="s">
        <v>54</v>
      </c>
      <c r="G294" s="4" t="s">
        <v>25</v>
      </c>
      <c r="H294" s="4" t="s">
        <v>25</v>
      </c>
      <c r="I294" s="5">
        <v>44409</v>
      </c>
      <c r="J294" s="6">
        <v>0</v>
      </c>
      <c r="K294" s="6">
        <v>0</v>
      </c>
      <c r="L294" s="6">
        <v>0.23799999999999999</v>
      </c>
      <c r="M294" s="6">
        <v>9.5200000000000007E-2</v>
      </c>
      <c r="N294" s="6">
        <v>0.23799999999999999</v>
      </c>
      <c r="O294" s="6">
        <v>9.5200000000000007E-2</v>
      </c>
      <c r="P294" s="6">
        <v>0</v>
      </c>
      <c r="Q294" s="4" t="s">
        <v>26</v>
      </c>
      <c r="R294" s="4">
        <v>0</v>
      </c>
      <c r="S294" s="6">
        <v>0</v>
      </c>
      <c r="T294" s="6">
        <v>57</v>
      </c>
      <c r="U294" s="6">
        <v>31</v>
      </c>
      <c r="V294" s="6">
        <f>IF(ISERROR(VLOOKUP($S$294,'TAR FIN'!$A$1:$O$85,15,0)),0,VLOOKUP($S$294,'TAR FIN'!$A$1:$O$85,15,0))</f>
        <v>0</v>
      </c>
      <c r="W294" s="6">
        <f>IF(ISERROR(VLOOKUP($T$294,'TAR FIN'!$A$1:$O$85,15,0)),0,VLOOKUP($T$294,'TAR FIN'!$A$1:$O$85,15,0))</f>
        <v>763.29</v>
      </c>
      <c r="X294" s="6">
        <f>IF(ISERROR(VLOOKUP($U$294,'TAR FIN'!$A$1:$O$85,15,0)),0,VLOOKUP($U$294,'TAR FIN'!$A$1:$O$85,15,0))</f>
        <v>211.46</v>
      </c>
      <c r="Y294" s="6"/>
      <c r="Z294" s="6">
        <f ca="1">('TUSD BE'!$AM$33+'TUSD BF'!$AM$33+'TUSD CVA'!$AM$33)*(1-CUSTOS!$M$38)</f>
        <v>923.13389839835577</v>
      </c>
      <c r="AA294" s="6">
        <f>('TE BE'!$AA$24+'TE BF'!$AA$24+'TE CVA'!$AA$24)*(1-CUSTOS!$M$38)</f>
        <v>310.8870113668134</v>
      </c>
      <c r="AB294" s="6">
        <f>$K$294*$V$294</f>
        <v>0</v>
      </c>
      <c r="AC294" s="6">
        <f>$M$294*$W$294</f>
        <v>72.665208000000007</v>
      </c>
      <c r="AD294" s="6">
        <f>$O$294*$X$294</f>
        <v>20.130992000000003</v>
      </c>
      <c r="AE294" s="6">
        <f>$K$294*$Y$294</f>
        <v>0</v>
      </c>
      <c r="AF294" s="6">
        <f ca="1">$M$294*$Z$294</f>
        <v>87.882347127523474</v>
      </c>
      <c r="AG294" s="6">
        <f>$O$294*$AA$294</f>
        <v>29.596443482120637</v>
      </c>
    </row>
    <row r="295" spans="1:33" ht="11.25" customHeight="1" x14ac:dyDescent="0.3">
      <c r="A295" s="4" t="s">
        <v>21</v>
      </c>
      <c r="B295" s="4" t="s">
        <v>43</v>
      </c>
      <c r="C295" s="4" t="s">
        <v>23</v>
      </c>
      <c r="D295" s="4" t="s">
        <v>44</v>
      </c>
      <c r="E295" s="4" t="s">
        <v>52</v>
      </c>
      <c r="F295" s="4" t="s">
        <v>54</v>
      </c>
      <c r="G295" s="4" t="s">
        <v>25</v>
      </c>
      <c r="H295" s="4" t="s">
        <v>25</v>
      </c>
      <c r="I295" s="5">
        <v>44440</v>
      </c>
      <c r="J295" s="6">
        <v>0</v>
      </c>
      <c r="K295" s="6">
        <v>0</v>
      </c>
      <c r="L295" s="6">
        <v>2.9000000000000001E-2</v>
      </c>
      <c r="M295" s="6">
        <v>1.1599999999999999E-2</v>
      </c>
      <c r="N295" s="6">
        <v>2.9000000000000001E-2</v>
      </c>
      <c r="O295" s="6">
        <v>1.1599999999999999E-2</v>
      </c>
      <c r="P295" s="6">
        <v>0</v>
      </c>
      <c r="Q295" s="4" t="s">
        <v>26</v>
      </c>
      <c r="R295" s="4">
        <v>0</v>
      </c>
      <c r="S295" s="6">
        <v>0</v>
      </c>
      <c r="T295" s="6">
        <v>57</v>
      </c>
      <c r="U295" s="6">
        <v>31</v>
      </c>
      <c r="V295" s="6">
        <f>IF(ISERROR(VLOOKUP($S$295,'TAR FIN'!$A$1:$O$85,15,0)),0,VLOOKUP($S$295,'TAR FIN'!$A$1:$O$85,15,0))</f>
        <v>0</v>
      </c>
      <c r="W295" s="6">
        <f>IF(ISERROR(VLOOKUP($T$295,'TAR FIN'!$A$1:$O$85,15,0)),0,VLOOKUP($T$295,'TAR FIN'!$A$1:$O$85,15,0))</f>
        <v>763.29</v>
      </c>
      <c r="X295" s="6">
        <f>IF(ISERROR(VLOOKUP($U$295,'TAR FIN'!$A$1:$O$85,15,0)),0,VLOOKUP($U$295,'TAR FIN'!$A$1:$O$85,15,0))</f>
        <v>211.46</v>
      </c>
      <c r="Y295" s="6"/>
      <c r="Z295" s="6">
        <f ca="1">('TUSD BE'!$AM$33+'TUSD BF'!$AM$33+'TUSD CVA'!$AM$33)*(1-CUSTOS!$M$38)</f>
        <v>923.13389839835577</v>
      </c>
      <c r="AA295" s="6">
        <f>('TE BE'!$AA$24+'TE BF'!$AA$24+'TE CVA'!$AA$24)*(1-CUSTOS!$M$38)</f>
        <v>310.8870113668134</v>
      </c>
      <c r="AB295" s="6">
        <f>$K$295*$V$295</f>
        <v>0</v>
      </c>
      <c r="AC295" s="6">
        <f>$M$295*$W$295</f>
        <v>8.854163999999999</v>
      </c>
      <c r="AD295" s="6">
        <f>$O$295*$X$295</f>
        <v>2.4529359999999998</v>
      </c>
      <c r="AE295" s="6">
        <f>$K$295*$Y$295</f>
        <v>0</v>
      </c>
      <c r="AF295" s="6">
        <f ca="1">$M$295*$Z$295</f>
        <v>10.708353221420927</v>
      </c>
      <c r="AG295" s="6">
        <f>$O$295*$AA$295</f>
        <v>3.6062893318550353</v>
      </c>
    </row>
    <row r="296" spans="1:33" ht="11.25" customHeight="1" x14ac:dyDescent="0.3">
      <c r="A296" s="4" t="s">
        <v>21</v>
      </c>
      <c r="B296" s="4" t="s">
        <v>43</v>
      </c>
      <c r="C296" s="4" t="s">
        <v>23</v>
      </c>
      <c r="D296" s="4" t="s">
        <v>44</v>
      </c>
      <c r="E296" s="4" t="s">
        <v>52</v>
      </c>
      <c r="F296" s="4" t="s">
        <v>54</v>
      </c>
      <c r="G296" s="4" t="s">
        <v>25</v>
      </c>
      <c r="H296" s="4" t="s">
        <v>25</v>
      </c>
      <c r="I296" s="5">
        <v>44470</v>
      </c>
      <c r="J296" s="6">
        <v>0</v>
      </c>
      <c r="K296" s="6">
        <v>0</v>
      </c>
      <c r="L296" s="6">
        <v>5.8999999999999997E-2</v>
      </c>
      <c r="M296" s="6">
        <v>2.3599999999999999E-2</v>
      </c>
      <c r="N296" s="6">
        <v>5.8999999999999997E-2</v>
      </c>
      <c r="O296" s="6">
        <v>2.3599999999999999E-2</v>
      </c>
      <c r="P296" s="6">
        <v>0</v>
      </c>
      <c r="Q296" s="4" t="s">
        <v>26</v>
      </c>
      <c r="R296" s="4">
        <v>0</v>
      </c>
      <c r="S296" s="6">
        <v>0</v>
      </c>
      <c r="T296" s="6">
        <v>57</v>
      </c>
      <c r="U296" s="6">
        <v>31</v>
      </c>
      <c r="V296" s="6">
        <f>IF(ISERROR(VLOOKUP($S$296,'TAR FIN'!$A$1:$O$85,15,0)),0,VLOOKUP($S$296,'TAR FIN'!$A$1:$O$85,15,0))</f>
        <v>0</v>
      </c>
      <c r="W296" s="6">
        <f>IF(ISERROR(VLOOKUP($T$296,'TAR FIN'!$A$1:$O$85,15,0)),0,VLOOKUP($T$296,'TAR FIN'!$A$1:$O$85,15,0))</f>
        <v>763.29</v>
      </c>
      <c r="X296" s="6">
        <f>IF(ISERROR(VLOOKUP($U$296,'TAR FIN'!$A$1:$O$85,15,0)),0,VLOOKUP($U$296,'TAR FIN'!$A$1:$O$85,15,0))</f>
        <v>211.46</v>
      </c>
      <c r="Y296" s="6"/>
      <c r="Z296" s="6">
        <f ca="1">('TUSD BE'!$AM$33+'TUSD BF'!$AM$33+'TUSD CVA'!$AM$33)*(1-CUSTOS!$M$38)</f>
        <v>923.13389839835577</v>
      </c>
      <c r="AA296" s="6">
        <f>('TE BE'!$AA$24+'TE BF'!$AA$24+'TE CVA'!$AA$24)*(1-CUSTOS!$M$38)</f>
        <v>310.8870113668134</v>
      </c>
      <c r="AB296" s="6">
        <f>$K$296*$V$296</f>
        <v>0</v>
      </c>
      <c r="AC296" s="6">
        <f>$M$296*$W$296</f>
        <v>18.013643999999999</v>
      </c>
      <c r="AD296" s="6">
        <f>$O$296*$X$296</f>
        <v>4.990456</v>
      </c>
      <c r="AE296" s="6">
        <f>$K$296*$Y$296</f>
        <v>0</v>
      </c>
      <c r="AF296" s="6">
        <f ca="1">$M$296*$Z$296</f>
        <v>21.785960002201197</v>
      </c>
      <c r="AG296" s="6">
        <f>$O$296*$AA$296</f>
        <v>7.3369334682567962</v>
      </c>
    </row>
    <row r="297" spans="1:33" ht="11.25" customHeight="1" x14ac:dyDescent="0.3">
      <c r="A297" s="4" t="s">
        <v>21</v>
      </c>
      <c r="B297" s="4" t="s">
        <v>43</v>
      </c>
      <c r="C297" s="4" t="s">
        <v>23</v>
      </c>
      <c r="D297" s="4" t="s">
        <v>44</v>
      </c>
      <c r="E297" s="4" t="s">
        <v>52</v>
      </c>
      <c r="F297" s="4" t="s">
        <v>54</v>
      </c>
      <c r="G297" s="4" t="s">
        <v>25</v>
      </c>
      <c r="H297" s="4" t="s">
        <v>25</v>
      </c>
      <c r="I297" s="5">
        <v>44531</v>
      </c>
      <c r="J297" s="6">
        <v>0</v>
      </c>
      <c r="K297" s="6">
        <v>0</v>
      </c>
      <c r="L297" s="6">
        <v>0.621</v>
      </c>
      <c r="M297" s="6">
        <v>0.24840000000000001</v>
      </c>
      <c r="N297" s="6">
        <v>0.621</v>
      </c>
      <c r="O297" s="6">
        <v>0.24840000000000001</v>
      </c>
      <c r="P297" s="6">
        <v>0</v>
      </c>
      <c r="Q297" s="4" t="s">
        <v>26</v>
      </c>
      <c r="R297" s="4">
        <v>0</v>
      </c>
      <c r="S297" s="6">
        <v>0</v>
      </c>
      <c r="T297" s="6">
        <v>57</v>
      </c>
      <c r="U297" s="6">
        <v>31</v>
      </c>
      <c r="V297" s="6">
        <f>IF(ISERROR(VLOOKUP($S$297,'TAR FIN'!$A$1:$O$85,15,0)),0,VLOOKUP($S$297,'TAR FIN'!$A$1:$O$85,15,0))</f>
        <v>0</v>
      </c>
      <c r="W297" s="6">
        <f>IF(ISERROR(VLOOKUP($T$297,'TAR FIN'!$A$1:$O$85,15,0)),0,VLOOKUP($T$297,'TAR FIN'!$A$1:$O$85,15,0))</f>
        <v>763.29</v>
      </c>
      <c r="X297" s="6">
        <f>IF(ISERROR(VLOOKUP($U$297,'TAR FIN'!$A$1:$O$85,15,0)),0,VLOOKUP($U$297,'TAR FIN'!$A$1:$O$85,15,0))</f>
        <v>211.46</v>
      </c>
      <c r="Y297" s="6"/>
      <c r="Z297" s="6">
        <f ca="1">('TUSD BE'!$AM$33+'TUSD BF'!$AM$33+'TUSD CVA'!$AM$33)*(1-CUSTOS!$M$38)</f>
        <v>923.13389839835577</v>
      </c>
      <c r="AA297" s="6">
        <f>('TE BE'!$AA$24+'TE BF'!$AA$24+'TE CVA'!$AA$24)*(1-CUSTOS!$M$38)</f>
        <v>310.8870113668134</v>
      </c>
      <c r="AB297" s="6">
        <f>$K$297*$V$297</f>
        <v>0</v>
      </c>
      <c r="AC297" s="6">
        <f>$M$297*$W$297</f>
        <v>189.601236</v>
      </c>
      <c r="AD297" s="6">
        <f>$O$297*$X$297</f>
        <v>52.526664000000004</v>
      </c>
      <c r="AE297" s="6">
        <f>$K$297*$Y$297</f>
        <v>0</v>
      </c>
      <c r="AF297" s="6">
        <f ca="1">$M$297*$Z$297</f>
        <v>229.30646036215157</v>
      </c>
      <c r="AG297" s="6">
        <f>$O$297*$AA$297</f>
        <v>77.224333623516458</v>
      </c>
    </row>
    <row r="298" spans="1:33" ht="11.25" customHeight="1" x14ac:dyDescent="0.3">
      <c r="A298" s="4" t="s">
        <v>21</v>
      </c>
      <c r="B298" s="4" t="s">
        <v>43</v>
      </c>
      <c r="C298" s="4" t="s">
        <v>23</v>
      </c>
      <c r="D298" s="4" t="s">
        <v>44</v>
      </c>
      <c r="E298" s="4" t="s">
        <v>52</v>
      </c>
      <c r="F298" s="4" t="s">
        <v>54</v>
      </c>
      <c r="G298" s="4" t="s">
        <v>25</v>
      </c>
      <c r="H298" s="4" t="s">
        <v>25</v>
      </c>
      <c r="I298" s="5">
        <v>44562</v>
      </c>
      <c r="J298" s="6">
        <v>0</v>
      </c>
      <c r="K298" s="6">
        <v>0</v>
      </c>
      <c r="L298" s="6">
        <v>5.2999999999999999E-2</v>
      </c>
      <c r="M298" s="6">
        <v>2.12E-2</v>
      </c>
      <c r="N298" s="6">
        <v>5.2999999999999999E-2</v>
      </c>
      <c r="O298" s="6">
        <v>2.12E-2</v>
      </c>
      <c r="P298" s="6">
        <v>0</v>
      </c>
      <c r="Q298" s="4" t="s">
        <v>26</v>
      </c>
      <c r="R298" s="4">
        <v>0</v>
      </c>
      <c r="S298" s="6">
        <v>0</v>
      </c>
      <c r="T298" s="6">
        <v>57</v>
      </c>
      <c r="U298" s="6">
        <v>31</v>
      </c>
      <c r="V298" s="6">
        <f>IF(ISERROR(VLOOKUP($S$298,'TAR FIN'!$A$1:$O$85,15,0)),0,VLOOKUP($S$298,'TAR FIN'!$A$1:$O$85,15,0))</f>
        <v>0</v>
      </c>
      <c r="W298" s="6">
        <f>IF(ISERROR(VLOOKUP($T$298,'TAR FIN'!$A$1:$O$85,15,0)),0,VLOOKUP($T$298,'TAR FIN'!$A$1:$O$85,15,0))</f>
        <v>763.29</v>
      </c>
      <c r="X298" s="6">
        <f>IF(ISERROR(VLOOKUP($U$298,'TAR FIN'!$A$1:$O$85,15,0)),0,VLOOKUP($U$298,'TAR FIN'!$A$1:$O$85,15,0))</f>
        <v>211.46</v>
      </c>
      <c r="Y298" s="6"/>
      <c r="Z298" s="6">
        <f ca="1">('TUSD BE'!$AM$33+'TUSD BF'!$AM$33+'TUSD CVA'!$AM$33)*(1-CUSTOS!$M$38)</f>
        <v>923.13389839835577</v>
      </c>
      <c r="AA298" s="6">
        <f>('TE BE'!$AA$24+'TE BF'!$AA$24+'TE CVA'!$AA$24)*(1-CUSTOS!$M$38)</f>
        <v>310.8870113668134</v>
      </c>
      <c r="AB298" s="6">
        <f>$K$298*$V$298</f>
        <v>0</v>
      </c>
      <c r="AC298" s="6">
        <f>$M$298*$W$298</f>
        <v>16.181747999999999</v>
      </c>
      <c r="AD298" s="6">
        <f>$O$298*$X$298</f>
        <v>4.482952</v>
      </c>
      <c r="AE298" s="6">
        <f>$K$298*$Y$298</f>
        <v>0</v>
      </c>
      <c r="AF298" s="6">
        <f ca="1">$M$298*$Z$298</f>
        <v>19.570438646045144</v>
      </c>
      <c r="AG298" s="6">
        <f>$O$298*$AA$298</f>
        <v>6.5908046409764438</v>
      </c>
    </row>
    <row r="299" spans="1:33" ht="11.25" customHeight="1" x14ac:dyDescent="0.3">
      <c r="A299" s="4" t="s">
        <v>21</v>
      </c>
      <c r="B299" s="4" t="s">
        <v>43</v>
      </c>
      <c r="C299" s="4" t="s">
        <v>23</v>
      </c>
      <c r="D299" s="4" t="s">
        <v>44</v>
      </c>
      <c r="E299" s="4" t="s">
        <v>52</v>
      </c>
      <c r="F299" s="4" t="s">
        <v>54</v>
      </c>
      <c r="G299" s="4" t="s">
        <v>25</v>
      </c>
      <c r="H299" s="4" t="s">
        <v>25</v>
      </c>
      <c r="I299" s="5">
        <v>44593</v>
      </c>
      <c r="J299" s="6">
        <v>0</v>
      </c>
      <c r="K299" s="6">
        <v>0</v>
      </c>
      <c r="L299" s="6">
        <v>0.80700000000000005</v>
      </c>
      <c r="M299" s="6">
        <v>0.32279999999999998</v>
      </c>
      <c r="N299" s="6">
        <v>0.80700000000000005</v>
      </c>
      <c r="O299" s="6">
        <v>0.32279999999999998</v>
      </c>
      <c r="P299" s="6">
        <v>0</v>
      </c>
      <c r="Q299" s="4" t="s">
        <v>26</v>
      </c>
      <c r="R299" s="4">
        <v>0</v>
      </c>
      <c r="S299" s="6">
        <v>0</v>
      </c>
      <c r="T299" s="6">
        <v>57</v>
      </c>
      <c r="U299" s="6">
        <v>31</v>
      </c>
      <c r="V299" s="6">
        <f>IF(ISERROR(VLOOKUP($S$299,'TAR FIN'!$A$1:$O$85,15,0)),0,VLOOKUP($S$299,'TAR FIN'!$A$1:$O$85,15,0))</f>
        <v>0</v>
      </c>
      <c r="W299" s="6">
        <f>IF(ISERROR(VLOOKUP($T$299,'TAR FIN'!$A$1:$O$85,15,0)),0,VLOOKUP($T$299,'TAR FIN'!$A$1:$O$85,15,0))</f>
        <v>763.29</v>
      </c>
      <c r="X299" s="6">
        <f>IF(ISERROR(VLOOKUP($U$299,'TAR FIN'!$A$1:$O$85,15,0)),0,VLOOKUP($U$299,'TAR FIN'!$A$1:$O$85,15,0))</f>
        <v>211.46</v>
      </c>
      <c r="Y299" s="6"/>
      <c r="Z299" s="6">
        <f ca="1">('TUSD BE'!$AM$33+'TUSD BF'!$AM$33+'TUSD CVA'!$AM$33)*(1-CUSTOS!$M$38)</f>
        <v>923.13389839835577</v>
      </c>
      <c r="AA299" s="6">
        <f>('TE BE'!$AA$24+'TE BF'!$AA$24+'TE CVA'!$AA$24)*(1-CUSTOS!$M$38)</f>
        <v>310.8870113668134</v>
      </c>
      <c r="AB299" s="6">
        <f>$K$299*$V$299</f>
        <v>0</v>
      </c>
      <c r="AC299" s="6">
        <f>$M$299*$W$299</f>
        <v>246.39001199999996</v>
      </c>
      <c r="AD299" s="6">
        <f>$O$299*$X$299</f>
        <v>68.259287999999998</v>
      </c>
      <c r="AE299" s="6">
        <f>$K$299*$Y$299</f>
        <v>0</v>
      </c>
      <c r="AF299" s="6">
        <f ca="1">$M$299*$Z$299</f>
        <v>297.98762240298925</v>
      </c>
      <c r="AG299" s="6">
        <f>$O$299*$AA$299</f>
        <v>100.35432726920736</v>
      </c>
    </row>
    <row r="300" spans="1:33" ht="11.25" customHeight="1" x14ac:dyDescent="0.3">
      <c r="A300" s="4" t="s">
        <v>21</v>
      </c>
      <c r="B300" s="4" t="s">
        <v>43</v>
      </c>
      <c r="C300" s="4" t="s">
        <v>23</v>
      </c>
      <c r="D300" s="4" t="s">
        <v>44</v>
      </c>
      <c r="E300" s="4" t="s">
        <v>52</v>
      </c>
      <c r="F300" s="4" t="s">
        <v>54</v>
      </c>
      <c r="G300" s="4" t="s">
        <v>25</v>
      </c>
      <c r="H300" s="4" t="s">
        <v>25</v>
      </c>
      <c r="I300" s="5">
        <v>44621</v>
      </c>
      <c r="J300" s="6">
        <v>0</v>
      </c>
      <c r="K300" s="6">
        <v>0</v>
      </c>
      <c r="L300" s="6">
        <v>1.63</v>
      </c>
      <c r="M300" s="6">
        <v>0.65200000000000002</v>
      </c>
      <c r="N300" s="6">
        <v>1.63</v>
      </c>
      <c r="O300" s="6">
        <v>0.65200000000000002</v>
      </c>
      <c r="P300" s="6">
        <v>0</v>
      </c>
      <c r="Q300" s="4" t="s">
        <v>26</v>
      </c>
      <c r="R300" s="4">
        <v>0</v>
      </c>
      <c r="S300" s="6">
        <v>0</v>
      </c>
      <c r="T300" s="6">
        <v>57</v>
      </c>
      <c r="U300" s="6">
        <v>31</v>
      </c>
      <c r="V300" s="6">
        <f>IF(ISERROR(VLOOKUP($S$300,'TAR FIN'!$A$1:$O$85,15,0)),0,VLOOKUP($S$300,'TAR FIN'!$A$1:$O$85,15,0))</f>
        <v>0</v>
      </c>
      <c r="W300" s="6">
        <f>IF(ISERROR(VLOOKUP($T$300,'TAR FIN'!$A$1:$O$85,15,0)),0,VLOOKUP($T$300,'TAR FIN'!$A$1:$O$85,15,0))</f>
        <v>763.29</v>
      </c>
      <c r="X300" s="6">
        <f>IF(ISERROR(VLOOKUP($U$300,'TAR FIN'!$A$1:$O$85,15,0)),0,VLOOKUP($U$300,'TAR FIN'!$A$1:$O$85,15,0))</f>
        <v>211.46</v>
      </c>
      <c r="Y300" s="6"/>
      <c r="Z300" s="6">
        <f ca="1">('TUSD BE'!$AM$33+'TUSD BF'!$AM$33+'TUSD CVA'!$AM$33)*(1-CUSTOS!$M$38)</f>
        <v>923.13389839835577</v>
      </c>
      <c r="AA300" s="6">
        <f>('TE BE'!$AA$24+'TE BF'!$AA$24+'TE CVA'!$AA$24)*(1-CUSTOS!$M$38)</f>
        <v>310.8870113668134</v>
      </c>
      <c r="AB300" s="6">
        <f>$K$300*$V$300</f>
        <v>0</v>
      </c>
      <c r="AC300" s="6">
        <f>$M$300*$W$300</f>
        <v>497.66507999999999</v>
      </c>
      <c r="AD300" s="6">
        <f>$O$300*$X$300</f>
        <v>137.87192000000002</v>
      </c>
      <c r="AE300" s="6">
        <f>$K$300*$Y$300</f>
        <v>0</v>
      </c>
      <c r="AF300" s="6">
        <f ca="1">$M$300*$Z$300</f>
        <v>601.88330175572798</v>
      </c>
      <c r="AG300" s="6">
        <f>$O$300*$AA$300</f>
        <v>202.69833141116234</v>
      </c>
    </row>
    <row r="301" spans="1:33" ht="11.25" customHeight="1" x14ac:dyDescent="0.3">
      <c r="A301" s="4" t="s">
        <v>21</v>
      </c>
      <c r="B301" s="4" t="s">
        <v>43</v>
      </c>
      <c r="C301" s="4" t="s">
        <v>23</v>
      </c>
      <c r="D301" s="4" t="s">
        <v>44</v>
      </c>
      <c r="E301" s="4" t="s">
        <v>55</v>
      </c>
      <c r="F301" s="4" t="s">
        <v>53</v>
      </c>
      <c r="G301" s="4" t="s">
        <v>25</v>
      </c>
      <c r="H301" s="4" t="s">
        <v>25</v>
      </c>
      <c r="I301" s="5">
        <v>44409</v>
      </c>
      <c r="J301" s="6">
        <v>0</v>
      </c>
      <c r="K301" s="6">
        <v>0</v>
      </c>
      <c r="L301" s="6">
        <v>5.8970000000000002</v>
      </c>
      <c r="M301" s="6">
        <v>5.8970000000000002</v>
      </c>
      <c r="N301" s="6">
        <v>5.8970000000000002</v>
      </c>
      <c r="O301" s="6">
        <v>5.8970000000000002</v>
      </c>
      <c r="P301" s="6">
        <v>0</v>
      </c>
      <c r="Q301" s="4" t="s">
        <v>26</v>
      </c>
      <c r="R301" s="4">
        <v>0</v>
      </c>
      <c r="S301" s="6">
        <v>0</v>
      </c>
      <c r="T301" s="6">
        <v>57</v>
      </c>
      <c r="U301" s="6">
        <v>31</v>
      </c>
      <c r="V301" s="6">
        <f>IF(ISERROR(VLOOKUP($S$301,'TAR FIN'!$A$1:$O$85,15,0)),0,VLOOKUP($S$301,'TAR FIN'!$A$1:$O$85,15,0))</f>
        <v>0</v>
      </c>
      <c r="W301" s="6">
        <f>IF(ISERROR(VLOOKUP($T$301,'TAR FIN'!$A$1:$O$85,15,0)),0,VLOOKUP($T$301,'TAR FIN'!$A$1:$O$85,15,0))</f>
        <v>763.29</v>
      </c>
      <c r="X301" s="6">
        <f>IF(ISERROR(VLOOKUP($U$301,'TAR FIN'!$A$1:$O$85,15,0)),0,VLOOKUP($U$301,'TAR FIN'!$A$1:$O$85,15,0))</f>
        <v>211.46</v>
      </c>
      <c r="Y301" s="6"/>
      <c r="Z301" s="6">
        <f ca="1">('TUSD BE'!$AM$33+'TUSD BF'!$AM$33+'TUSD CVA'!$AM$33)*(1-CUSTOS!$M$38)</f>
        <v>923.13389839835577</v>
      </c>
      <c r="AA301" s="6">
        <f>('TE BE'!$AA$24+'TE BF'!$AA$24+'TE CVA'!$AA$24)*(1-CUSTOS!$M$38)</f>
        <v>310.8870113668134</v>
      </c>
      <c r="AB301" s="6">
        <f>$K$301*$V$301</f>
        <v>0</v>
      </c>
      <c r="AC301" s="6">
        <f>$M$301*$W$301</f>
        <v>4501.1211299999995</v>
      </c>
      <c r="AD301" s="6">
        <f>$O$301*$X$301</f>
        <v>1246.9796200000001</v>
      </c>
      <c r="AE301" s="6">
        <f>$K$301*$Y$301</f>
        <v>0</v>
      </c>
      <c r="AF301" s="6">
        <f ca="1">$M$301*$Z$301</f>
        <v>5443.7205988551041</v>
      </c>
      <c r="AG301" s="6">
        <f>$O$301*$AA$301</f>
        <v>1833.3007060300986</v>
      </c>
    </row>
    <row r="302" spans="1:33" ht="11.25" customHeight="1" x14ac:dyDescent="0.3">
      <c r="A302" s="4" t="s">
        <v>21</v>
      </c>
      <c r="B302" s="4" t="s">
        <v>43</v>
      </c>
      <c r="C302" s="4" t="s">
        <v>23</v>
      </c>
      <c r="D302" s="4" t="s">
        <v>44</v>
      </c>
      <c r="E302" s="4" t="s">
        <v>55</v>
      </c>
      <c r="F302" s="4" t="s">
        <v>53</v>
      </c>
      <c r="G302" s="4" t="s">
        <v>25</v>
      </c>
      <c r="H302" s="4" t="s">
        <v>25</v>
      </c>
      <c r="I302" s="5">
        <v>44440</v>
      </c>
      <c r="J302" s="6">
        <v>0</v>
      </c>
      <c r="K302" s="6">
        <v>0</v>
      </c>
      <c r="L302" s="6">
        <v>6.6459999999999999</v>
      </c>
      <c r="M302" s="6">
        <v>6.6459999999999999</v>
      </c>
      <c r="N302" s="6">
        <v>6.6459999999999999</v>
      </c>
      <c r="O302" s="6">
        <v>6.6459999999999999</v>
      </c>
      <c r="P302" s="6">
        <v>0</v>
      </c>
      <c r="Q302" s="4" t="s">
        <v>26</v>
      </c>
      <c r="R302" s="4">
        <v>0</v>
      </c>
      <c r="S302" s="6">
        <v>0</v>
      </c>
      <c r="T302" s="6">
        <v>57</v>
      </c>
      <c r="U302" s="6">
        <v>31</v>
      </c>
      <c r="V302" s="6">
        <f>IF(ISERROR(VLOOKUP($S$302,'TAR FIN'!$A$1:$O$85,15,0)),0,VLOOKUP($S$302,'TAR FIN'!$A$1:$O$85,15,0))</f>
        <v>0</v>
      </c>
      <c r="W302" s="6">
        <f>IF(ISERROR(VLOOKUP($T$302,'TAR FIN'!$A$1:$O$85,15,0)),0,VLOOKUP($T$302,'TAR FIN'!$A$1:$O$85,15,0))</f>
        <v>763.29</v>
      </c>
      <c r="X302" s="6">
        <f>IF(ISERROR(VLOOKUP($U$302,'TAR FIN'!$A$1:$O$85,15,0)),0,VLOOKUP($U$302,'TAR FIN'!$A$1:$O$85,15,0))</f>
        <v>211.46</v>
      </c>
      <c r="Y302" s="6"/>
      <c r="Z302" s="6">
        <f ca="1">('TUSD BE'!$AM$33+'TUSD BF'!$AM$33+'TUSD CVA'!$AM$33)*(1-CUSTOS!$M$38)</f>
        <v>923.13389839835577</v>
      </c>
      <c r="AA302" s="6">
        <f>('TE BE'!$AA$24+'TE BF'!$AA$24+'TE CVA'!$AA$24)*(1-CUSTOS!$M$38)</f>
        <v>310.8870113668134</v>
      </c>
      <c r="AB302" s="6">
        <f>$K$302*$V$302</f>
        <v>0</v>
      </c>
      <c r="AC302" s="6">
        <f>$M$302*$W$302</f>
        <v>5072.8253399999994</v>
      </c>
      <c r="AD302" s="6">
        <f>$O$302*$X$302</f>
        <v>1405.3631600000001</v>
      </c>
      <c r="AE302" s="6">
        <f>$K$302*$Y$302</f>
        <v>0</v>
      </c>
      <c r="AF302" s="6">
        <f ca="1">$M$302*$Z$302</f>
        <v>6135.1478887554722</v>
      </c>
      <c r="AG302" s="6">
        <f>$O$302*$AA$302</f>
        <v>2066.1550775438418</v>
      </c>
    </row>
    <row r="303" spans="1:33" ht="11.25" customHeight="1" x14ac:dyDescent="0.3">
      <c r="A303" s="4" t="s">
        <v>28</v>
      </c>
      <c r="B303" s="4" t="s">
        <v>43</v>
      </c>
      <c r="C303" s="4" t="s">
        <v>23</v>
      </c>
      <c r="D303" s="4" t="s">
        <v>44</v>
      </c>
      <c r="E303" s="4" t="s">
        <v>55</v>
      </c>
      <c r="F303" s="4" t="s">
        <v>53</v>
      </c>
      <c r="G303" s="4" t="s">
        <v>25</v>
      </c>
      <c r="H303" s="4" t="s">
        <v>25</v>
      </c>
      <c r="I303" s="5">
        <v>44470</v>
      </c>
      <c r="J303" s="6">
        <v>0</v>
      </c>
      <c r="K303" s="6">
        <v>0</v>
      </c>
      <c r="L303" s="6">
        <v>4.4130000000000003</v>
      </c>
      <c r="M303" s="6">
        <v>4.4130000000000003</v>
      </c>
      <c r="N303" s="6">
        <v>4.4130000000000003</v>
      </c>
      <c r="O303" s="6">
        <v>4.4130000000000003</v>
      </c>
      <c r="P303" s="6">
        <v>0</v>
      </c>
      <c r="Q303" s="4" t="s">
        <v>26</v>
      </c>
      <c r="R303" s="4">
        <v>0</v>
      </c>
      <c r="S303" s="6">
        <v>0</v>
      </c>
      <c r="T303" s="6">
        <v>57</v>
      </c>
      <c r="U303" s="6">
        <v>31</v>
      </c>
      <c r="V303" s="6">
        <f>IF(ISERROR(VLOOKUP($S$303,'TAR FIN'!$A$1:$O$85,15,0)),0,VLOOKUP($S$303,'TAR FIN'!$A$1:$O$85,15,0))</f>
        <v>0</v>
      </c>
      <c r="W303" s="6">
        <f>IF(ISERROR(VLOOKUP($T$303,'TAR FIN'!$A$1:$O$85,15,0)),0,VLOOKUP($T$303,'TAR FIN'!$A$1:$O$85,15,0))</f>
        <v>763.29</v>
      </c>
      <c r="X303" s="6">
        <f>IF(ISERROR(VLOOKUP($U$303,'TAR FIN'!$A$1:$O$85,15,0)),0,VLOOKUP($U$303,'TAR FIN'!$A$1:$O$85,15,0))</f>
        <v>211.46</v>
      </c>
      <c r="Y303" s="6"/>
      <c r="Z303" s="6">
        <f ca="1">('TUSD BE'!$AM$33+'TUSD BF'!$AM$33+'TUSD CVA'!$AM$33)*(1-CUSTOS!$M$38)</f>
        <v>923.13389839835577</v>
      </c>
      <c r="AA303" s="6">
        <f>('TE BE'!$AA$24+'TE BF'!$AA$24+'TE CVA'!$AA$24)*(1-CUSTOS!$M$38)</f>
        <v>310.8870113668134</v>
      </c>
      <c r="AB303" s="6">
        <f>$K$303*$V$303</f>
        <v>0</v>
      </c>
      <c r="AC303" s="6">
        <f>$M$303*$W$303</f>
        <v>3368.3987700000002</v>
      </c>
      <c r="AD303" s="6">
        <f>$O$303*$X$303</f>
        <v>933.17298000000005</v>
      </c>
      <c r="AE303" s="6">
        <f>$K$303*$Y$303</f>
        <v>0</v>
      </c>
      <c r="AF303" s="6">
        <f ca="1">$M$303*$Z$303</f>
        <v>4073.7898936319443</v>
      </c>
      <c r="AG303" s="6">
        <f>$O$303*$AA$303</f>
        <v>1371.9443811617475</v>
      </c>
    </row>
    <row r="304" spans="1:33" ht="11.25" customHeight="1" x14ac:dyDescent="0.3">
      <c r="A304" s="4" t="s">
        <v>28</v>
      </c>
      <c r="B304" s="4" t="s">
        <v>43</v>
      </c>
      <c r="C304" s="4" t="s">
        <v>23</v>
      </c>
      <c r="D304" s="4" t="s">
        <v>44</v>
      </c>
      <c r="E304" s="4" t="s">
        <v>55</v>
      </c>
      <c r="F304" s="4" t="s">
        <v>53</v>
      </c>
      <c r="G304" s="4" t="s">
        <v>25</v>
      </c>
      <c r="H304" s="4" t="s">
        <v>25</v>
      </c>
      <c r="I304" s="5">
        <v>44501</v>
      </c>
      <c r="J304" s="6">
        <v>0</v>
      </c>
      <c r="K304" s="6">
        <v>0</v>
      </c>
      <c r="L304" s="6">
        <v>0.93600000000000005</v>
      </c>
      <c r="M304" s="6">
        <v>0.93600000000000005</v>
      </c>
      <c r="N304" s="6">
        <v>0.93600000000000005</v>
      </c>
      <c r="O304" s="6">
        <v>0.93600000000000005</v>
      </c>
      <c r="P304" s="6">
        <v>0</v>
      </c>
      <c r="Q304" s="4" t="s">
        <v>26</v>
      </c>
      <c r="R304" s="4">
        <v>0</v>
      </c>
      <c r="S304" s="6">
        <v>0</v>
      </c>
      <c r="T304" s="6">
        <v>57</v>
      </c>
      <c r="U304" s="6">
        <v>31</v>
      </c>
      <c r="V304" s="6">
        <f>IF(ISERROR(VLOOKUP($S$304,'TAR FIN'!$A$1:$O$85,15,0)),0,VLOOKUP($S$304,'TAR FIN'!$A$1:$O$85,15,0))</f>
        <v>0</v>
      </c>
      <c r="W304" s="6">
        <f>IF(ISERROR(VLOOKUP($T$304,'TAR FIN'!$A$1:$O$85,15,0)),0,VLOOKUP($T$304,'TAR FIN'!$A$1:$O$85,15,0))</f>
        <v>763.29</v>
      </c>
      <c r="X304" s="6">
        <f>IF(ISERROR(VLOOKUP($U$304,'TAR FIN'!$A$1:$O$85,15,0)),0,VLOOKUP($U$304,'TAR FIN'!$A$1:$O$85,15,0))</f>
        <v>211.46</v>
      </c>
      <c r="Y304" s="6"/>
      <c r="Z304" s="6">
        <f ca="1">('TUSD BE'!$AM$33+'TUSD BF'!$AM$33+'TUSD CVA'!$AM$33)*(1-CUSTOS!$M$38)</f>
        <v>923.13389839835577</v>
      </c>
      <c r="AA304" s="6">
        <f>('TE BE'!$AA$24+'TE BF'!$AA$24+'TE CVA'!$AA$24)*(1-CUSTOS!$M$38)</f>
        <v>310.8870113668134</v>
      </c>
      <c r="AB304" s="6">
        <f>$K$304*$V$304</f>
        <v>0</v>
      </c>
      <c r="AC304" s="6">
        <f>$M$304*$W$304</f>
        <v>714.43943999999999</v>
      </c>
      <c r="AD304" s="6">
        <f>$O$304*$X$304</f>
        <v>197.92656000000002</v>
      </c>
      <c r="AE304" s="6">
        <f>$K$304*$Y$304</f>
        <v>0</v>
      </c>
      <c r="AF304" s="6">
        <f ca="1">$M$304*$Z$304</f>
        <v>864.05332890086106</v>
      </c>
      <c r="AG304" s="6">
        <f>$O$304*$AA$304</f>
        <v>290.99024263933734</v>
      </c>
    </row>
    <row r="305" spans="1:33" ht="11.25" customHeight="1" x14ac:dyDescent="0.3">
      <c r="A305" s="4" t="s">
        <v>28</v>
      </c>
      <c r="B305" s="4" t="s">
        <v>43</v>
      </c>
      <c r="C305" s="4" t="s">
        <v>23</v>
      </c>
      <c r="D305" s="4" t="s">
        <v>44</v>
      </c>
      <c r="E305" s="4" t="s">
        <v>55</v>
      </c>
      <c r="F305" s="4" t="s">
        <v>53</v>
      </c>
      <c r="G305" s="4" t="s">
        <v>25</v>
      </c>
      <c r="H305" s="4" t="s">
        <v>25</v>
      </c>
      <c r="I305" s="5">
        <v>44562</v>
      </c>
      <c r="J305" s="6">
        <v>0</v>
      </c>
      <c r="K305" s="6">
        <v>0</v>
      </c>
      <c r="L305" s="6">
        <v>0.85699999999999998</v>
      </c>
      <c r="M305" s="6">
        <v>0.85699999999999998</v>
      </c>
      <c r="N305" s="6">
        <v>0.85699999999999998</v>
      </c>
      <c r="O305" s="6">
        <v>0.85699999999999998</v>
      </c>
      <c r="P305" s="6">
        <v>0</v>
      </c>
      <c r="Q305" s="4" t="s">
        <v>26</v>
      </c>
      <c r="R305" s="4">
        <v>0</v>
      </c>
      <c r="S305" s="6">
        <v>0</v>
      </c>
      <c r="T305" s="6">
        <v>57</v>
      </c>
      <c r="U305" s="6">
        <v>31</v>
      </c>
      <c r="V305" s="6">
        <f>IF(ISERROR(VLOOKUP($S$305,'TAR FIN'!$A$1:$O$85,15,0)),0,VLOOKUP($S$305,'TAR FIN'!$A$1:$O$85,15,0))</f>
        <v>0</v>
      </c>
      <c r="W305" s="6">
        <f>IF(ISERROR(VLOOKUP($T$305,'TAR FIN'!$A$1:$O$85,15,0)),0,VLOOKUP($T$305,'TAR FIN'!$A$1:$O$85,15,0))</f>
        <v>763.29</v>
      </c>
      <c r="X305" s="6">
        <f>IF(ISERROR(VLOOKUP($U$305,'TAR FIN'!$A$1:$O$85,15,0)),0,VLOOKUP($U$305,'TAR FIN'!$A$1:$O$85,15,0))</f>
        <v>211.46</v>
      </c>
      <c r="Y305" s="6"/>
      <c r="Z305" s="6">
        <f ca="1">('TUSD BE'!$AM$33+'TUSD BF'!$AM$33+'TUSD CVA'!$AM$33)*(1-CUSTOS!$M$38)</f>
        <v>923.13389839835577</v>
      </c>
      <c r="AA305" s="6">
        <f>('TE BE'!$AA$24+'TE BF'!$AA$24+'TE CVA'!$AA$24)*(1-CUSTOS!$M$38)</f>
        <v>310.8870113668134</v>
      </c>
      <c r="AB305" s="6">
        <f>$K$305*$V$305</f>
        <v>0</v>
      </c>
      <c r="AC305" s="6">
        <f>$M$305*$W$305</f>
        <v>654.13952999999992</v>
      </c>
      <c r="AD305" s="6">
        <f>$O$305*$X$305</f>
        <v>181.22122000000002</v>
      </c>
      <c r="AE305" s="6">
        <f>$K$305*$Y$305</f>
        <v>0</v>
      </c>
      <c r="AF305" s="6">
        <f ca="1">$M$305*$Z$305</f>
        <v>791.12575092739087</v>
      </c>
      <c r="AG305" s="6">
        <f>$O$305*$AA$305</f>
        <v>266.43016874135907</v>
      </c>
    </row>
    <row r="306" spans="1:33" ht="11.25" customHeight="1" x14ac:dyDescent="0.3">
      <c r="A306" s="4" t="s">
        <v>28</v>
      </c>
      <c r="B306" s="4" t="s">
        <v>43</v>
      </c>
      <c r="C306" s="4" t="s">
        <v>23</v>
      </c>
      <c r="D306" s="4" t="s">
        <v>44</v>
      </c>
      <c r="E306" s="4" t="s">
        <v>55</v>
      </c>
      <c r="F306" s="4" t="s">
        <v>53</v>
      </c>
      <c r="G306" s="4" t="s">
        <v>25</v>
      </c>
      <c r="H306" s="4" t="s">
        <v>25</v>
      </c>
      <c r="I306" s="5">
        <v>44593</v>
      </c>
      <c r="J306" s="6">
        <v>0</v>
      </c>
      <c r="K306" s="6">
        <v>0</v>
      </c>
      <c r="L306" s="6">
        <v>0.29299999999999998</v>
      </c>
      <c r="M306" s="6">
        <v>0.29299999999999998</v>
      </c>
      <c r="N306" s="6">
        <v>0.29299999999999998</v>
      </c>
      <c r="O306" s="6">
        <v>0.29299999999999998</v>
      </c>
      <c r="P306" s="6">
        <v>0</v>
      </c>
      <c r="Q306" s="4" t="s">
        <v>26</v>
      </c>
      <c r="R306" s="4">
        <v>0</v>
      </c>
      <c r="S306" s="6">
        <v>0</v>
      </c>
      <c r="T306" s="6">
        <v>57</v>
      </c>
      <c r="U306" s="6">
        <v>31</v>
      </c>
      <c r="V306" s="6">
        <f>IF(ISERROR(VLOOKUP($S$306,'TAR FIN'!$A$1:$O$85,15,0)),0,VLOOKUP($S$306,'TAR FIN'!$A$1:$O$85,15,0))</f>
        <v>0</v>
      </c>
      <c r="W306" s="6">
        <f>IF(ISERROR(VLOOKUP($T$306,'TAR FIN'!$A$1:$O$85,15,0)),0,VLOOKUP($T$306,'TAR FIN'!$A$1:$O$85,15,0))</f>
        <v>763.29</v>
      </c>
      <c r="X306" s="6">
        <f>IF(ISERROR(VLOOKUP($U$306,'TAR FIN'!$A$1:$O$85,15,0)),0,VLOOKUP($U$306,'TAR FIN'!$A$1:$O$85,15,0))</f>
        <v>211.46</v>
      </c>
      <c r="Y306" s="6"/>
      <c r="Z306" s="6">
        <f ca="1">('TUSD BE'!$AM$33+'TUSD BF'!$AM$33+'TUSD CVA'!$AM$33)*(1-CUSTOS!$M$38)</f>
        <v>923.13389839835577</v>
      </c>
      <c r="AA306" s="6">
        <f>('TE BE'!$AA$24+'TE BF'!$AA$24+'TE CVA'!$AA$24)*(1-CUSTOS!$M$38)</f>
        <v>310.8870113668134</v>
      </c>
      <c r="AB306" s="6">
        <f>$K$306*$V$306</f>
        <v>0</v>
      </c>
      <c r="AC306" s="6">
        <f>$M$306*$W$306</f>
        <v>223.64396999999997</v>
      </c>
      <c r="AD306" s="6">
        <f>$O$306*$X$306</f>
        <v>61.95778</v>
      </c>
      <c r="AE306" s="6">
        <f>$K$306*$Y$306</f>
        <v>0</v>
      </c>
      <c r="AF306" s="6">
        <f ca="1">$M$306*$Z$306</f>
        <v>270.47823223071822</v>
      </c>
      <c r="AG306" s="6">
        <f>$O$306*$AA$306</f>
        <v>91.089894330476326</v>
      </c>
    </row>
    <row r="307" spans="1:33" ht="11.25" customHeight="1" x14ac:dyDescent="0.3">
      <c r="A307" s="4" t="s">
        <v>28</v>
      </c>
      <c r="B307" s="4" t="s">
        <v>43</v>
      </c>
      <c r="C307" s="4" t="s">
        <v>23</v>
      </c>
      <c r="D307" s="4" t="s">
        <v>44</v>
      </c>
      <c r="E307" s="4" t="s">
        <v>55</v>
      </c>
      <c r="F307" s="4" t="s">
        <v>53</v>
      </c>
      <c r="G307" s="4" t="s">
        <v>25</v>
      </c>
      <c r="H307" s="4" t="s">
        <v>25</v>
      </c>
      <c r="I307" s="5">
        <v>44621</v>
      </c>
      <c r="J307" s="6">
        <v>0</v>
      </c>
      <c r="K307" s="6">
        <v>0</v>
      </c>
      <c r="L307" s="6">
        <v>7.0000000000000007E-2</v>
      </c>
      <c r="M307" s="6">
        <v>7.0000000000000007E-2</v>
      </c>
      <c r="N307" s="6">
        <v>7.0000000000000007E-2</v>
      </c>
      <c r="O307" s="6">
        <v>7.0000000000000007E-2</v>
      </c>
      <c r="P307" s="6">
        <v>0</v>
      </c>
      <c r="Q307" s="4" t="s">
        <v>26</v>
      </c>
      <c r="R307" s="4">
        <v>0</v>
      </c>
      <c r="S307" s="6">
        <v>0</v>
      </c>
      <c r="T307" s="6">
        <v>57</v>
      </c>
      <c r="U307" s="6">
        <v>31</v>
      </c>
      <c r="V307" s="6">
        <f>IF(ISERROR(VLOOKUP($S$307,'TAR FIN'!$A$1:$O$85,15,0)),0,VLOOKUP($S$307,'TAR FIN'!$A$1:$O$85,15,0))</f>
        <v>0</v>
      </c>
      <c r="W307" s="6">
        <f>IF(ISERROR(VLOOKUP($T$307,'TAR FIN'!$A$1:$O$85,15,0)),0,VLOOKUP($T$307,'TAR FIN'!$A$1:$O$85,15,0))</f>
        <v>763.29</v>
      </c>
      <c r="X307" s="6">
        <f>IF(ISERROR(VLOOKUP($U$307,'TAR FIN'!$A$1:$O$85,15,0)),0,VLOOKUP($U$307,'TAR FIN'!$A$1:$O$85,15,0))</f>
        <v>211.46</v>
      </c>
      <c r="Y307" s="6"/>
      <c r="Z307" s="6">
        <f ca="1">('TUSD BE'!$AM$33+'TUSD BF'!$AM$33+'TUSD CVA'!$AM$33)*(1-CUSTOS!$M$38)</f>
        <v>923.13389839835577</v>
      </c>
      <c r="AA307" s="6">
        <f>('TE BE'!$AA$24+'TE BF'!$AA$24+'TE CVA'!$AA$24)*(1-CUSTOS!$M$38)</f>
        <v>310.8870113668134</v>
      </c>
      <c r="AB307" s="6">
        <f>$K$307*$V$307</f>
        <v>0</v>
      </c>
      <c r="AC307" s="6">
        <f>$M$307*$W$307</f>
        <v>53.430300000000003</v>
      </c>
      <c r="AD307" s="6">
        <f>$O$307*$X$307</f>
        <v>14.802200000000003</v>
      </c>
      <c r="AE307" s="6">
        <f>$K$307*$Y$307</f>
        <v>0</v>
      </c>
      <c r="AF307" s="6">
        <f ca="1">$M$307*$Z$307</f>
        <v>64.619372887884907</v>
      </c>
      <c r="AG307" s="6">
        <f>$O$307*$AA$307</f>
        <v>21.76209079567694</v>
      </c>
    </row>
    <row r="308" spans="1:33" ht="11.25" customHeight="1" x14ac:dyDescent="0.3">
      <c r="A308" s="4" t="s">
        <v>21</v>
      </c>
      <c r="B308" s="4" t="s">
        <v>43</v>
      </c>
      <c r="C308" s="4" t="s">
        <v>23</v>
      </c>
      <c r="D308" s="4" t="s">
        <v>44</v>
      </c>
      <c r="E308" s="4" t="s">
        <v>55</v>
      </c>
      <c r="F308" s="4" t="s">
        <v>54</v>
      </c>
      <c r="G308" s="4" t="s">
        <v>25</v>
      </c>
      <c r="H308" s="4" t="s">
        <v>25</v>
      </c>
      <c r="I308" s="5">
        <v>44409</v>
      </c>
      <c r="J308" s="6">
        <v>0</v>
      </c>
      <c r="K308" s="6">
        <v>0</v>
      </c>
      <c r="L308" s="6">
        <v>2.9569999999999999</v>
      </c>
      <c r="M308" s="6">
        <v>1.1828000000000001</v>
      </c>
      <c r="N308" s="6">
        <v>2.9569999999999999</v>
      </c>
      <c r="O308" s="6">
        <v>1.1828000000000001</v>
      </c>
      <c r="P308" s="6">
        <v>0</v>
      </c>
      <c r="Q308" s="4" t="s">
        <v>26</v>
      </c>
      <c r="R308" s="4">
        <v>0</v>
      </c>
      <c r="S308" s="6">
        <v>0</v>
      </c>
      <c r="T308" s="6">
        <v>57</v>
      </c>
      <c r="U308" s="6">
        <v>31</v>
      </c>
      <c r="V308" s="6">
        <f>IF(ISERROR(VLOOKUP($S$308,'TAR FIN'!$A$1:$O$85,15,0)),0,VLOOKUP($S$308,'TAR FIN'!$A$1:$O$85,15,0))</f>
        <v>0</v>
      </c>
      <c r="W308" s="6">
        <f>IF(ISERROR(VLOOKUP($T$308,'TAR FIN'!$A$1:$O$85,15,0)),0,VLOOKUP($T$308,'TAR FIN'!$A$1:$O$85,15,0))</f>
        <v>763.29</v>
      </c>
      <c r="X308" s="6">
        <f>IF(ISERROR(VLOOKUP($U$308,'TAR FIN'!$A$1:$O$85,15,0)),0,VLOOKUP($U$308,'TAR FIN'!$A$1:$O$85,15,0))</f>
        <v>211.46</v>
      </c>
      <c r="Y308" s="6"/>
      <c r="Z308" s="6">
        <f ca="1">('TUSD BE'!$AM$33+'TUSD BF'!$AM$33+'TUSD CVA'!$AM$33)*(1-CUSTOS!$M$38)</f>
        <v>923.13389839835577</v>
      </c>
      <c r="AA308" s="6">
        <f>('TE BE'!$AA$24+'TE BF'!$AA$24+'TE CVA'!$AA$24)*(1-CUSTOS!$M$38)</f>
        <v>310.8870113668134</v>
      </c>
      <c r="AB308" s="6">
        <f>$K$308*$V$308</f>
        <v>0</v>
      </c>
      <c r="AC308" s="6">
        <f>$M$308*$W$308</f>
        <v>902.81941200000006</v>
      </c>
      <c r="AD308" s="6">
        <f>$O$308*$X$308</f>
        <v>250.11488800000004</v>
      </c>
      <c r="AE308" s="6">
        <f>$K$308*$Y$308</f>
        <v>0</v>
      </c>
      <c r="AF308" s="6">
        <f ca="1">$M$308*$Z$308</f>
        <v>1091.8827750255753</v>
      </c>
      <c r="AG308" s="6">
        <f>$O$308*$AA$308</f>
        <v>367.71715704466692</v>
      </c>
    </row>
    <row r="309" spans="1:33" ht="11.25" customHeight="1" x14ac:dyDescent="0.3">
      <c r="A309" s="4" t="s">
        <v>21</v>
      </c>
      <c r="B309" s="4" t="s">
        <v>43</v>
      </c>
      <c r="C309" s="4" t="s">
        <v>23</v>
      </c>
      <c r="D309" s="4" t="s">
        <v>44</v>
      </c>
      <c r="E309" s="4" t="s">
        <v>55</v>
      </c>
      <c r="F309" s="4" t="s">
        <v>54</v>
      </c>
      <c r="G309" s="4" t="s">
        <v>25</v>
      </c>
      <c r="H309" s="4" t="s">
        <v>25</v>
      </c>
      <c r="I309" s="5">
        <v>44440</v>
      </c>
      <c r="J309" s="6">
        <v>0</v>
      </c>
      <c r="K309" s="6">
        <v>0</v>
      </c>
      <c r="L309" s="6">
        <v>2.016</v>
      </c>
      <c r="M309" s="6">
        <v>0.80640000000000001</v>
      </c>
      <c r="N309" s="6">
        <v>2.016</v>
      </c>
      <c r="O309" s="6">
        <v>0.80640000000000001</v>
      </c>
      <c r="P309" s="6">
        <v>0</v>
      </c>
      <c r="Q309" s="4" t="s">
        <v>26</v>
      </c>
      <c r="R309" s="4">
        <v>0</v>
      </c>
      <c r="S309" s="6">
        <v>0</v>
      </c>
      <c r="T309" s="6">
        <v>57</v>
      </c>
      <c r="U309" s="6">
        <v>31</v>
      </c>
      <c r="V309" s="6">
        <f>IF(ISERROR(VLOOKUP($S$309,'TAR FIN'!$A$1:$O$85,15,0)),0,VLOOKUP($S$309,'TAR FIN'!$A$1:$O$85,15,0))</f>
        <v>0</v>
      </c>
      <c r="W309" s="6">
        <f>IF(ISERROR(VLOOKUP($T$309,'TAR FIN'!$A$1:$O$85,15,0)),0,VLOOKUP($T$309,'TAR FIN'!$A$1:$O$85,15,0))</f>
        <v>763.29</v>
      </c>
      <c r="X309" s="6">
        <f>IF(ISERROR(VLOOKUP($U$309,'TAR FIN'!$A$1:$O$85,15,0)),0,VLOOKUP($U$309,'TAR FIN'!$A$1:$O$85,15,0))</f>
        <v>211.46</v>
      </c>
      <c r="Y309" s="6"/>
      <c r="Z309" s="6">
        <f ca="1">('TUSD BE'!$AM$33+'TUSD BF'!$AM$33+'TUSD CVA'!$AM$33)*(1-CUSTOS!$M$38)</f>
        <v>923.13389839835577</v>
      </c>
      <c r="AA309" s="6">
        <f>('TE BE'!$AA$24+'TE BF'!$AA$24+'TE CVA'!$AA$24)*(1-CUSTOS!$M$38)</f>
        <v>310.8870113668134</v>
      </c>
      <c r="AB309" s="6">
        <f>$K$309*$V$309</f>
        <v>0</v>
      </c>
      <c r="AC309" s="6">
        <f>$M$309*$W$309</f>
        <v>615.51705600000003</v>
      </c>
      <c r="AD309" s="6">
        <f>$O$309*$X$309</f>
        <v>170.521344</v>
      </c>
      <c r="AE309" s="6">
        <f>$K$309*$Y$309</f>
        <v>0</v>
      </c>
      <c r="AF309" s="6">
        <f ca="1">$M$309*$Z$309</f>
        <v>744.41517566843413</v>
      </c>
      <c r="AG309" s="6">
        <f>$O$309*$AA$309</f>
        <v>250.69928596619832</v>
      </c>
    </row>
    <row r="310" spans="1:33" ht="11.25" customHeight="1" x14ac:dyDescent="0.3">
      <c r="A310" s="4" t="s">
        <v>28</v>
      </c>
      <c r="B310" s="4" t="s">
        <v>43</v>
      </c>
      <c r="C310" s="4" t="s">
        <v>23</v>
      </c>
      <c r="D310" s="4" t="s">
        <v>44</v>
      </c>
      <c r="E310" s="4" t="s">
        <v>55</v>
      </c>
      <c r="F310" s="4" t="s">
        <v>54</v>
      </c>
      <c r="G310" s="4" t="s">
        <v>25</v>
      </c>
      <c r="H310" s="4" t="s">
        <v>25</v>
      </c>
      <c r="I310" s="5">
        <v>44470</v>
      </c>
      <c r="J310" s="6">
        <v>0</v>
      </c>
      <c r="K310" s="6">
        <v>0</v>
      </c>
      <c r="L310" s="6">
        <v>2.2589999999999999</v>
      </c>
      <c r="M310" s="6">
        <v>2.2589999999999999</v>
      </c>
      <c r="N310" s="6">
        <v>2.2589999999999999</v>
      </c>
      <c r="O310" s="6">
        <v>2.2589999999999999</v>
      </c>
      <c r="P310" s="6">
        <v>0</v>
      </c>
      <c r="Q310" s="4" t="s">
        <v>26</v>
      </c>
      <c r="R310" s="4">
        <v>0</v>
      </c>
      <c r="S310" s="6">
        <v>0</v>
      </c>
      <c r="T310" s="6">
        <v>57</v>
      </c>
      <c r="U310" s="6">
        <v>31</v>
      </c>
      <c r="V310" s="6">
        <f>IF(ISERROR(VLOOKUP($S$310,'TAR FIN'!$A$1:$O$85,15,0)),0,VLOOKUP($S$310,'TAR FIN'!$A$1:$O$85,15,0))</f>
        <v>0</v>
      </c>
      <c r="W310" s="6">
        <f>IF(ISERROR(VLOOKUP($T$310,'TAR FIN'!$A$1:$O$85,15,0)),0,VLOOKUP($T$310,'TAR FIN'!$A$1:$O$85,15,0))</f>
        <v>763.29</v>
      </c>
      <c r="X310" s="6">
        <f>IF(ISERROR(VLOOKUP($U$310,'TAR FIN'!$A$1:$O$85,15,0)),0,VLOOKUP($U$310,'TAR FIN'!$A$1:$O$85,15,0))</f>
        <v>211.46</v>
      </c>
      <c r="Y310" s="6"/>
      <c r="Z310" s="6">
        <f ca="1">('TUSD BE'!$AM$33+'TUSD BF'!$AM$33+'TUSD CVA'!$AM$33)*(1-CUSTOS!$M$38)</f>
        <v>923.13389839835577</v>
      </c>
      <c r="AA310" s="6">
        <f>('TE BE'!$AA$24+'TE BF'!$AA$24+'TE CVA'!$AA$24)*(1-CUSTOS!$M$38)</f>
        <v>310.8870113668134</v>
      </c>
      <c r="AB310" s="6">
        <f>$K$310*$V$310</f>
        <v>0</v>
      </c>
      <c r="AC310" s="6">
        <f>$M$310*$W$310</f>
        <v>1724.2721099999999</v>
      </c>
      <c r="AD310" s="6">
        <f>$O$310*$X$310</f>
        <v>477.68813999999998</v>
      </c>
      <c r="AE310" s="6">
        <f>$K$310*$Y$310</f>
        <v>0</v>
      </c>
      <c r="AF310" s="6">
        <f ca="1">$M$310*$Z$310</f>
        <v>2085.3594764818854</v>
      </c>
      <c r="AG310" s="6">
        <f>$O$310*$AA$310</f>
        <v>702.29375867763144</v>
      </c>
    </row>
    <row r="311" spans="1:33" ht="11.25" customHeight="1" x14ac:dyDescent="0.3">
      <c r="A311" s="4" t="s">
        <v>28</v>
      </c>
      <c r="B311" s="4" t="s">
        <v>43</v>
      </c>
      <c r="C311" s="4" t="s">
        <v>23</v>
      </c>
      <c r="D311" s="4" t="s">
        <v>44</v>
      </c>
      <c r="E311" s="4" t="s">
        <v>55</v>
      </c>
      <c r="F311" s="4" t="s">
        <v>54</v>
      </c>
      <c r="G311" s="4" t="s">
        <v>25</v>
      </c>
      <c r="H311" s="4" t="s">
        <v>25</v>
      </c>
      <c r="I311" s="5">
        <v>44501</v>
      </c>
      <c r="J311" s="6">
        <v>0</v>
      </c>
      <c r="K311" s="6">
        <v>0</v>
      </c>
      <c r="L311" s="6">
        <v>2.1850000000000001</v>
      </c>
      <c r="M311" s="6">
        <v>2.1850000000000001</v>
      </c>
      <c r="N311" s="6">
        <v>2.1850000000000001</v>
      </c>
      <c r="O311" s="6">
        <v>2.1850000000000001</v>
      </c>
      <c r="P311" s="6">
        <v>0</v>
      </c>
      <c r="Q311" s="4" t="s">
        <v>26</v>
      </c>
      <c r="R311" s="4">
        <v>0</v>
      </c>
      <c r="S311" s="6">
        <v>0</v>
      </c>
      <c r="T311" s="6">
        <v>57</v>
      </c>
      <c r="U311" s="6">
        <v>31</v>
      </c>
      <c r="V311" s="6">
        <f>IF(ISERROR(VLOOKUP($S$311,'TAR FIN'!$A$1:$O$85,15,0)),0,VLOOKUP($S$311,'TAR FIN'!$A$1:$O$85,15,0))</f>
        <v>0</v>
      </c>
      <c r="W311" s="6">
        <f>IF(ISERROR(VLOOKUP($T$311,'TAR FIN'!$A$1:$O$85,15,0)),0,VLOOKUP($T$311,'TAR FIN'!$A$1:$O$85,15,0))</f>
        <v>763.29</v>
      </c>
      <c r="X311" s="6">
        <f>IF(ISERROR(VLOOKUP($U$311,'TAR FIN'!$A$1:$O$85,15,0)),0,VLOOKUP($U$311,'TAR FIN'!$A$1:$O$85,15,0))</f>
        <v>211.46</v>
      </c>
      <c r="Y311" s="6"/>
      <c r="Z311" s="6">
        <f ca="1">('TUSD BE'!$AM$33+'TUSD BF'!$AM$33+'TUSD CVA'!$AM$33)*(1-CUSTOS!$M$38)</f>
        <v>923.13389839835577</v>
      </c>
      <c r="AA311" s="6">
        <f>('TE BE'!$AA$24+'TE BF'!$AA$24+'TE CVA'!$AA$24)*(1-CUSTOS!$M$38)</f>
        <v>310.8870113668134</v>
      </c>
      <c r="AB311" s="6">
        <f>$K$311*$V$311</f>
        <v>0</v>
      </c>
      <c r="AC311" s="6">
        <f>$M$311*$W$311</f>
        <v>1667.78865</v>
      </c>
      <c r="AD311" s="6">
        <f>$O$311*$X$311</f>
        <v>462.04010000000005</v>
      </c>
      <c r="AE311" s="6">
        <f>$K$311*$Y$311</f>
        <v>0</v>
      </c>
      <c r="AF311" s="6">
        <f ca="1">$M$311*$Z$311</f>
        <v>2017.0475680004074</v>
      </c>
      <c r="AG311" s="6">
        <f>$O$311*$AA$311</f>
        <v>679.28811983648734</v>
      </c>
    </row>
    <row r="312" spans="1:33" ht="11.25" customHeight="1" x14ac:dyDescent="0.3">
      <c r="A312" s="4" t="s">
        <v>28</v>
      </c>
      <c r="B312" s="4" t="s">
        <v>43</v>
      </c>
      <c r="C312" s="4" t="s">
        <v>23</v>
      </c>
      <c r="D312" s="4" t="s">
        <v>44</v>
      </c>
      <c r="E312" s="4" t="s">
        <v>55</v>
      </c>
      <c r="F312" s="4" t="s">
        <v>54</v>
      </c>
      <c r="G312" s="4" t="s">
        <v>25</v>
      </c>
      <c r="H312" s="4" t="s">
        <v>25</v>
      </c>
      <c r="I312" s="5">
        <v>44531</v>
      </c>
      <c r="J312" s="6">
        <v>0</v>
      </c>
      <c r="K312" s="6">
        <v>0</v>
      </c>
      <c r="L312" s="6">
        <v>0.78300000000000003</v>
      </c>
      <c r="M312" s="6">
        <v>0.78300000000000003</v>
      </c>
      <c r="N312" s="6">
        <v>0.78300000000000003</v>
      </c>
      <c r="O312" s="6">
        <v>0.78300000000000003</v>
      </c>
      <c r="P312" s="6">
        <v>0</v>
      </c>
      <c r="Q312" s="4" t="s">
        <v>26</v>
      </c>
      <c r="R312" s="4">
        <v>0</v>
      </c>
      <c r="S312" s="6">
        <v>0</v>
      </c>
      <c r="T312" s="6">
        <v>57</v>
      </c>
      <c r="U312" s="6">
        <v>31</v>
      </c>
      <c r="V312" s="6">
        <f>IF(ISERROR(VLOOKUP($S$312,'TAR FIN'!$A$1:$O$85,15,0)),0,VLOOKUP($S$312,'TAR FIN'!$A$1:$O$85,15,0))</f>
        <v>0</v>
      </c>
      <c r="W312" s="6">
        <f>IF(ISERROR(VLOOKUP($T$312,'TAR FIN'!$A$1:$O$85,15,0)),0,VLOOKUP($T$312,'TAR FIN'!$A$1:$O$85,15,0))</f>
        <v>763.29</v>
      </c>
      <c r="X312" s="6">
        <f>IF(ISERROR(VLOOKUP($U$312,'TAR FIN'!$A$1:$O$85,15,0)),0,VLOOKUP($U$312,'TAR FIN'!$A$1:$O$85,15,0))</f>
        <v>211.46</v>
      </c>
      <c r="Y312" s="6"/>
      <c r="Z312" s="6">
        <f ca="1">('TUSD BE'!$AM$33+'TUSD BF'!$AM$33+'TUSD CVA'!$AM$33)*(1-CUSTOS!$M$38)</f>
        <v>923.13389839835577</v>
      </c>
      <c r="AA312" s="6">
        <f>('TE BE'!$AA$24+'TE BF'!$AA$24+'TE CVA'!$AA$24)*(1-CUSTOS!$M$38)</f>
        <v>310.8870113668134</v>
      </c>
      <c r="AB312" s="6">
        <f>$K$312*$V$312</f>
        <v>0</v>
      </c>
      <c r="AC312" s="6">
        <f>$M$312*$W$312</f>
        <v>597.65607</v>
      </c>
      <c r="AD312" s="6">
        <f>$O$312*$X$312</f>
        <v>165.57318000000001</v>
      </c>
      <c r="AE312" s="6">
        <f>$K$312*$Y$312</f>
        <v>0</v>
      </c>
      <c r="AF312" s="6">
        <f ca="1">$M$312*$Z$312</f>
        <v>722.81384244591254</v>
      </c>
      <c r="AG312" s="6">
        <f>$O$312*$AA$312</f>
        <v>243.42452990021491</v>
      </c>
    </row>
    <row r="313" spans="1:33" ht="11.25" customHeight="1" x14ac:dyDescent="0.3">
      <c r="A313" s="4" t="s">
        <v>28</v>
      </c>
      <c r="B313" s="4" t="s">
        <v>43</v>
      </c>
      <c r="C313" s="4" t="s">
        <v>23</v>
      </c>
      <c r="D313" s="4" t="s">
        <v>44</v>
      </c>
      <c r="E313" s="4" t="s">
        <v>55</v>
      </c>
      <c r="F313" s="4" t="s">
        <v>54</v>
      </c>
      <c r="G313" s="4" t="s">
        <v>25</v>
      </c>
      <c r="H313" s="4" t="s">
        <v>25</v>
      </c>
      <c r="I313" s="5">
        <v>44562</v>
      </c>
      <c r="J313" s="6">
        <v>0</v>
      </c>
      <c r="K313" s="6">
        <v>0</v>
      </c>
      <c r="L313" s="6">
        <v>3.4180000000000001</v>
      </c>
      <c r="M313" s="6">
        <v>3.4180000000000001</v>
      </c>
      <c r="N313" s="6">
        <v>3.4180000000000001</v>
      </c>
      <c r="O313" s="6">
        <v>3.4180000000000001</v>
      </c>
      <c r="P313" s="6">
        <v>0</v>
      </c>
      <c r="Q313" s="4" t="s">
        <v>26</v>
      </c>
      <c r="R313" s="4">
        <v>0</v>
      </c>
      <c r="S313" s="6">
        <v>0</v>
      </c>
      <c r="T313" s="6">
        <v>57</v>
      </c>
      <c r="U313" s="6">
        <v>31</v>
      </c>
      <c r="V313" s="6">
        <f>IF(ISERROR(VLOOKUP($S$313,'TAR FIN'!$A$1:$O$85,15,0)),0,VLOOKUP($S$313,'TAR FIN'!$A$1:$O$85,15,0))</f>
        <v>0</v>
      </c>
      <c r="W313" s="6">
        <f>IF(ISERROR(VLOOKUP($T$313,'TAR FIN'!$A$1:$O$85,15,0)),0,VLOOKUP($T$313,'TAR FIN'!$A$1:$O$85,15,0))</f>
        <v>763.29</v>
      </c>
      <c r="X313" s="6">
        <f>IF(ISERROR(VLOOKUP($U$313,'TAR FIN'!$A$1:$O$85,15,0)),0,VLOOKUP($U$313,'TAR FIN'!$A$1:$O$85,15,0))</f>
        <v>211.46</v>
      </c>
      <c r="Y313" s="6"/>
      <c r="Z313" s="6">
        <f ca="1">('TUSD BE'!$AM$33+'TUSD BF'!$AM$33+'TUSD CVA'!$AM$33)*(1-CUSTOS!$M$38)</f>
        <v>923.13389839835577</v>
      </c>
      <c r="AA313" s="6">
        <f>('TE BE'!$AA$24+'TE BF'!$AA$24+'TE CVA'!$AA$24)*(1-CUSTOS!$M$38)</f>
        <v>310.8870113668134</v>
      </c>
      <c r="AB313" s="6">
        <f>$K$313*$V$313</f>
        <v>0</v>
      </c>
      <c r="AC313" s="6">
        <f>$M$313*$W$313</f>
        <v>2608.9252200000001</v>
      </c>
      <c r="AD313" s="6">
        <f>$O$313*$X$313</f>
        <v>722.77028000000007</v>
      </c>
      <c r="AE313" s="6">
        <f>$K$313*$Y$313</f>
        <v>0</v>
      </c>
      <c r="AF313" s="6">
        <f ca="1">$M$313*$Z$313</f>
        <v>3155.2716647255802</v>
      </c>
      <c r="AG313" s="6">
        <f>$O$313*$AA$313</f>
        <v>1062.6118048517683</v>
      </c>
    </row>
    <row r="314" spans="1:33" ht="11.25" customHeight="1" x14ac:dyDescent="0.3">
      <c r="A314" s="4" t="s">
        <v>28</v>
      </c>
      <c r="B314" s="4" t="s">
        <v>43</v>
      </c>
      <c r="C314" s="4" t="s">
        <v>23</v>
      </c>
      <c r="D314" s="4" t="s">
        <v>44</v>
      </c>
      <c r="E314" s="4" t="s">
        <v>55</v>
      </c>
      <c r="F314" s="4" t="s">
        <v>54</v>
      </c>
      <c r="G314" s="4" t="s">
        <v>25</v>
      </c>
      <c r="H314" s="4" t="s">
        <v>25</v>
      </c>
      <c r="I314" s="5">
        <v>44593</v>
      </c>
      <c r="J314" s="6">
        <v>0</v>
      </c>
      <c r="K314" s="6">
        <v>0</v>
      </c>
      <c r="L314" s="6">
        <v>2.7970000000000002</v>
      </c>
      <c r="M314" s="6">
        <v>2.7970000000000002</v>
      </c>
      <c r="N314" s="6">
        <v>2.7970000000000002</v>
      </c>
      <c r="O314" s="6">
        <v>2.7970000000000002</v>
      </c>
      <c r="P314" s="6">
        <v>0</v>
      </c>
      <c r="Q314" s="4" t="s">
        <v>26</v>
      </c>
      <c r="R314" s="4">
        <v>0</v>
      </c>
      <c r="S314" s="6">
        <v>0</v>
      </c>
      <c r="T314" s="6">
        <v>57</v>
      </c>
      <c r="U314" s="6">
        <v>31</v>
      </c>
      <c r="V314" s="6">
        <f>IF(ISERROR(VLOOKUP($S$314,'TAR FIN'!$A$1:$O$85,15,0)),0,VLOOKUP($S$314,'TAR FIN'!$A$1:$O$85,15,0))</f>
        <v>0</v>
      </c>
      <c r="W314" s="6">
        <f>IF(ISERROR(VLOOKUP($T$314,'TAR FIN'!$A$1:$O$85,15,0)),0,VLOOKUP($T$314,'TAR FIN'!$A$1:$O$85,15,0))</f>
        <v>763.29</v>
      </c>
      <c r="X314" s="6">
        <f>IF(ISERROR(VLOOKUP($U$314,'TAR FIN'!$A$1:$O$85,15,0)),0,VLOOKUP($U$314,'TAR FIN'!$A$1:$O$85,15,0))</f>
        <v>211.46</v>
      </c>
      <c r="Y314" s="6"/>
      <c r="Z314" s="6">
        <f ca="1">('TUSD BE'!$AM$33+'TUSD BF'!$AM$33+'TUSD CVA'!$AM$33)*(1-CUSTOS!$M$38)</f>
        <v>923.13389839835577</v>
      </c>
      <c r="AA314" s="6">
        <f>('TE BE'!$AA$24+'TE BF'!$AA$24+'TE CVA'!$AA$24)*(1-CUSTOS!$M$38)</f>
        <v>310.8870113668134</v>
      </c>
      <c r="AB314" s="6">
        <f>$K$314*$V$314</f>
        <v>0</v>
      </c>
      <c r="AC314" s="6">
        <f>$M$314*$W$314</f>
        <v>2134.9221299999999</v>
      </c>
      <c r="AD314" s="6">
        <f>$O$314*$X$314</f>
        <v>591.45362</v>
      </c>
      <c r="AE314" s="6">
        <f>$K$314*$Y$314</f>
        <v>0</v>
      </c>
      <c r="AF314" s="6">
        <f ca="1">$M$314*$Z$314</f>
        <v>2582.005513820201</v>
      </c>
      <c r="AG314" s="6">
        <f>$O$314*$AA$314</f>
        <v>869.55097079297707</v>
      </c>
    </row>
    <row r="315" spans="1:33" ht="11.25" customHeight="1" x14ac:dyDescent="0.3">
      <c r="A315" s="4" t="s">
        <v>28</v>
      </c>
      <c r="B315" s="4" t="s">
        <v>43</v>
      </c>
      <c r="C315" s="4" t="s">
        <v>23</v>
      </c>
      <c r="D315" s="4" t="s">
        <v>44</v>
      </c>
      <c r="E315" s="4" t="s">
        <v>55</v>
      </c>
      <c r="F315" s="4" t="s">
        <v>54</v>
      </c>
      <c r="G315" s="4" t="s">
        <v>25</v>
      </c>
      <c r="H315" s="4" t="s">
        <v>25</v>
      </c>
      <c r="I315" s="5">
        <v>44621</v>
      </c>
      <c r="J315" s="6">
        <v>0</v>
      </c>
      <c r="K315" s="6">
        <v>0</v>
      </c>
      <c r="L315" s="6">
        <v>2.8650000000000002</v>
      </c>
      <c r="M315" s="6">
        <v>2.8650000000000002</v>
      </c>
      <c r="N315" s="6">
        <v>2.8650000000000002</v>
      </c>
      <c r="O315" s="6">
        <v>2.8650000000000002</v>
      </c>
      <c r="P315" s="6">
        <v>0</v>
      </c>
      <c r="Q315" s="4" t="s">
        <v>26</v>
      </c>
      <c r="R315" s="4">
        <v>0</v>
      </c>
      <c r="S315" s="6">
        <v>0</v>
      </c>
      <c r="T315" s="6">
        <v>57</v>
      </c>
      <c r="U315" s="6">
        <v>31</v>
      </c>
      <c r="V315" s="6">
        <f>IF(ISERROR(VLOOKUP($S$315,'TAR FIN'!$A$1:$O$85,15,0)),0,VLOOKUP($S$315,'TAR FIN'!$A$1:$O$85,15,0))</f>
        <v>0</v>
      </c>
      <c r="W315" s="6">
        <f>IF(ISERROR(VLOOKUP($T$315,'TAR FIN'!$A$1:$O$85,15,0)),0,VLOOKUP($T$315,'TAR FIN'!$A$1:$O$85,15,0))</f>
        <v>763.29</v>
      </c>
      <c r="X315" s="6">
        <f>IF(ISERROR(VLOOKUP($U$315,'TAR FIN'!$A$1:$O$85,15,0)),0,VLOOKUP($U$315,'TAR FIN'!$A$1:$O$85,15,0))</f>
        <v>211.46</v>
      </c>
      <c r="Y315" s="6"/>
      <c r="Z315" s="6">
        <f ca="1">('TUSD BE'!$AM$33+'TUSD BF'!$AM$33+'TUSD CVA'!$AM$33)*(1-CUSTOS!$M$38)</f>
        <v>923.13389839835577</v>
      </c>
      <c r="AA315" s="6">
        <f>('TE BE'!$AA$24+'TE BF'!$AA$24+'TE CVA'!$AA$24)*(1-CUSTOS!$M$38)</f>
        <v>310.8870113668134</v>
      </c>
      <c r="AB315" s="6">
        <f>$K$315*$V$315</f>
        <v>0</v>
      </c>
      <c r="AC315" s="6">
        <f>$M$315*$W$315</f>
        <v>2186.8258500000002</v>
      </c>
      <c r="AD315" s="6">
        <f>$O$315*$X$315</f>
        <v>605.83290000000011</v>
      </c>
      <c r="AE315" s="6">
        <f>$K$315*$Y$315</f>
        <v>0</v>
      </c>
      <c r="AF315" s="6">
        <f ca="1">$M$315*$Z$315</f>
        <v>2644.7786189112894</v>
      </c>
      <c r="AG315" s="6">
        <f>$O$315*$AA$315</f>
        <v>890.69128756592045</v>
      </c>
    </row>
    <row r="316" spans="1:33" ht="11.25" customHeight="1" x14ac:dyDescent="0.3">
      <c r="A316" s="4" t="s">
        <v>21</v>
      </c>
      <c r="B316" s="4" t="s">
        <v>43</v>
      </c>
      <c r="C316" s="4" t="s">
        <v>23</v>
      </c>
      <c r="D316" s="4" t="s">
        <v>44</v>
      </c>
      <c r="E316" s="4" t="s">
        <v>25</v>
      </c>
      <c r="F316" s="4" t="s">
        <v>25</v>
      </c>
      <c r="G316" s="4" t="s">
        <v>25</v>
      </c>
      <c r="H316" s="4" t="s">
        <v>25</v>
      </c>
      <c r="I316" s="5">
        <v>44287</v>
      </c>
      <c r="J316" s="6">
        <v>0</v>
      </c>
      <c r="K316" s="6">
        <v>0</v>
      </c>
      <c r="L316" s="6">
        <v>56.527999999999999</v>
      </c>
      <c r="M316" s="6">
        <v>56.527999999999999</v>
      </c>
      <c r="N316" s="6">
        <v>56.527999999999999</v>
      </c>
      <c r="O316" s="6">
        <v>56.527999999999999</v>
      </c>
      <c r="P316" s="6">
        <v>171</v>
      </c>
      <c r="Q316" s="4" t="s">
        <v>26</v>
      </c>
      <c r="R316" s="4">
        <v>0</v>
      </c>
      <c r="S316" s="6">
        <v>0</v>
      </c>
      <c r="T316" s="6">
        <v>57</v>
      </c>
      <c r="U316" s="6">
        <v>31</v>
      </c>
      <c r="V316" s="6">
        <f>IF(ISERROR(VLOOKUP($S$316,'TAR FIN'!$A$1:$O$85,15,0)),0,VLOOKUP($S$316,'TAR FIN'!$A$1:$O$85,15,0))</f>
        <v>0</v>
      </c>
      <c r="W316" s="6">
        <f>IF(ISERROR(VLOOKUP($T$316,'TAR FIN'!$A$1:$O$85,15,0)),0,VLOOKUP($T$316,'TAR FIN'!$A$1:$O$85,15,0))</f>
        <v>763.29</v>
      </c>
      <c r="X316" s="6">
        <f>IF(ISERROR(VLOOKUP($U$316,'TAR FIN'!$A$1:$O$85,15,0)),0,VLOOKUP($U$316,'TAR FIN'!$A$1:$O$85,15,0))</f>
        <v>211.46</v>
      </c>
      <c r="Y316" s="6"/>
      <c r="Z316" s="6">
        <f ca="1">('TUSD BE'!$AM$33+'TUSD BF'!$AM$33+'TUSD CVA'!$AM$33)*(1-CUSTOS!$M$38)</f>
        <v>923.13389839835577</v>
      </c>
      <c r="AA316" s="6">
        <f>('TE BE'!$AA$24+'TE BF'!$AA$24+'TE CVA'!$AA$24)*(1-CUSTOS!$M$38)</f>
        <v>310.8870113668134</v>
      </c>
      <c r="AB316" s="6">
        <f>$K$316*$V$316</f>
        <v>0</v>
      </c>
      <c r="AC316" s="6">
        <f>$M$316*$W$316</f>
        <v>43147.257119999995</v>
      </c>
      <c r="AD316" s="6">
        <f>$O$316*$X$316</f>
        <v>11953.410879999999</v>
      </c>
      <c r="AE316" s="6">
        <f>$K$316*$Y$316</f>
        <v>0</v>
      </c>
      <c r="AF316" s="6">
        <f ca="1">$M$316*$Z$316</f>
        <v>52182.913008662254</v>
      </c>
      <c r="AG316" s="6">
        <f>$O$316*$AA$316</f>
        <v>17573.820978543226</v>
      </c>
    </row>
    <row r="317" spans="1:33" ht="11.25" customHeight="1" x14ac:dyDescent="0.3">
      <c r="A317" s="4" t="s">
        <v>28</v>
      </c>
      <c r="B317" s="4" t="s">
        <v>43</v>
      </c>
      <c r="C317" s="4" t="s">
        <v>23</v>
      </c>
      <c r="D317" s="4" t="s">
        <v>44</v>
      </c>
      <c r="E317" s="4" t="s">
        <v>25</v>
      </c>
      <c r="F317" s="4" t="s">
        <v>25</v>
      </c>
      <c r="G317" s="4" t="s">
        <v>25</v>
      </c>
      <c r="H317" s="4" t="s">
        <v>25</v>
      </c>
      <c r="I317" s="5">
        <v>44287</v>
      </c>
      <c r="J317" s="6">
        <v>0</v>
      </c>
      <c r="K317" s="6">
        <v>0</v>
      </c>
      <c r="L317" s="6">
        <v>0.1</v>
      </c>
      <c r="M317" s="6">
        <v>0.1</v>
      </c>
      <c r="N317" s="6">
        <v>0.1</v>
      </c>
      <c r="O317" s="6">
        <v>0.1</v>
      </c>
      <c r="P317" s="6">
        <v>2</v>
      </c>
      <c r="Q317" s="4" t="s">
        <v>26</v>
      </c>
      <c r="R317" s="4">
        <v>0</v>
      </c>
      <c r="S317" s="6">
        <v>0</v>
      </c>
      <c r="T317" s="6">
        <v>57</v>
      </c>
      <c r="U317" s="6">
        <v>31</v>
      </c>
      <c r="V317" s="6">
        <f>IF(ISERROR(VLOOKUP($S$317,'TAR FIN'!$A$1:$O$85,15,0)),0,VLOOKUP($S$317,'TAR FIN'!$A$1:$O$85,15,0))</f>
        <v>0</v>
      </c>
      <c r="W317" s="6">
        <f>IF(ISERROR(VLOOKUP($T$317,'TAR FIN'!$A$1:$O$85,15,0)),0,VLOOKUP($T$317,'TAR FIN'!$A$1:$O$85,15,0))</f>
        <v>763.29</v>
      </c>
      <c r="X317" s="6">
        <f>IF(ISERROR(VLOOKUP($U$317,'TAR FIN'!$A$1:$O$85,15,0)),0,VLOOKUP($U$317,'TAR FIN'!$A$1:$O$85,15,0))</f>
        <v>211.46</v>
      </c>
      <c r="Y317" s="6"/>
      <c r="Z317" s="6">
        <f ca="1">('TUSD BE'!$AM$33+'TUSD BF'!$AM$33+'TUSD CVA'!$AM$33)*(1-CUSTOS!$M$38)</f>
        <v>923.13389839835577</v>
      </c>
      <c r="AA317" s="6">
        <f>('TE BE'!$AA$24+'TE BF'!$AA$24+'TE CVA'!$AA$24)*(1-CUSTOS!$M$38)</f>
        <v>310.8870113668134</v>
      </c>
      <c r="AB317" s="6">
        <f>$K$317*$V$317</f>
        <v>0</v>
      </c>
      <c r="AC317" s="6">
        <f>$M$317*$W$317</f>
        <v>76.328999999999994</v>
      </c>
      <c r="AD317" s="6">
        <f>$O$317*$X$317</f>
        <v>21.146000000000001</v>
      </c>
      <c r="AE317" s="6">
        <f>$K$317*$Y$317</f>
        <v>0</v>
      </c>
      <c r="AF317" s="6">
        <f ca="1">$M$317*$Z$317</f>
        <v>92.31338983983558</v>
      </c>
      <c r="AG317" s="6">
        <f>$O$317*$AA$317</f>
        <v>31.08870113668134</v>
      </c>
    </row>
    <row r="318" spans="1:33" ht="11.25" customHeight="1" x14ac:dyDescent="0.3">
      <c r="A318" s="4" t="s">
        <v>21</v>
      </c>
      <c r="B318" s="4" t="s">
        <v>43</v>
      </c>
      <c r="C318" s="4" t="s">
        <v>23</v>
      </c>
      <c r="D318" s="4" t="s">
        <v>44</v>
      </c>
      <c r="E318" s="4" t="s">
        <v>25</v>
      </c>
      <c r="F318" s="4" t="s">
        <v>25</v>
      </c>
      <c r="G318" s="4" t="s">
        <v>25</v>
      </c>
      <c r="H318" s="4" t="s">
        <v>25</v>
      </c>
      <c r="I318" s="5">
        <v>44317</v>
      </c>
      <c r="J318" s="6">
        <v>0</v>
      </c>
      <c r="K318" s="6">
        <v>0</v>
      </c>
      <c r="L318" s="6">
        <v>43.643999999999998</v>
      </c>
      <c r="M318" s="6">
        <v>43.643999999999998</v>
      </c>
      <c r="N318" s="6">
        <v>43.643999999999998</v>
      </c>
      <c r="O318" s="6">
        <v>43.643999999999998</v>
      </c>
      <c r="P318" s="6">
        <v>167</v>
      </c>
      <c r="Q318" s="4" t="s">
        <v>26</v>
      </c>
      <c r="R318" s="4">
        <v>0</v>
      </c>
      <c r="S318" s="6">
        <v>0</v>
      </c>
      <c r="T318" s="6">
        <v>57</v>
      </c>
      <c r="U318" s="6">
        <v>31</v>
      </c>
      <c r="V318" s="6">
        <f>IF(ISERROR(VLOOKUP($S$318,'TAR FIN'!$A$1:$O$85,15,0)),0,VLOOKUP($S$318,'TAR FIN'!$A$1:$O$85,15,0))</f>
        <v>0</v>
      </c>
      <c r="W318" s="6">
        <f>IF(ISERROR(VLOOKUP($T$318,'TAR FIN'!$A$1:$O$85,15,0)),0,VLOOKUP($T$318,'TAR FIN'!$A$1:$O$85,15,0))</f>
        <v>763.29</v>
      </c>
      <c r="X318" s="6">
        <f>IF(ISERROR(VLOOKUP($U$318,'TAR FIN'!$A$1:$O$85,15,0)),0,VLOOKUP($U$318,'TAR FIN'!$A$1:$O$85,15,0))</f>
        <v>211.46</v>
      </c>
      <c r="Y318" s="6"/>
      <c r="Z318" s="6">
        <f ca="1">('TUSD BE'!$AM$33+'TUSD BF'!$AM$33+'TUSD CVA'!$AM$33)*(1-CUSTOS!$M$38)</f>
        <v>923.13389839835577</v>
      </c>
      <c r="AA318" s="6">
        <f>('TE BE'!$AA$24+'TE BF'!$AA$24+'TE CVA'!$AA$24)*(1-CUSTOS!$M$38)</f>
        <v>310.8870113668134</v>
      </c>
      <c r="AB318" s="6">
        <f>$K$318*$V$318</f>
        <v>0</v>
      </c>
      <c r="AC318" s="6">
        <f>$M$318*$W$318</f>
        <v>33313.028759999994</v>
      </c>
      <c r="AD318" s="6">
        <f>$O$318*$X$318</f>
        <v>9228.9602400000003</v>
      </c>
      <c r="AE318" s="6">
        <f>$K$318*$Y$318</f>
        <v>0</v>
      </c>
      <c r="AF318" s="6">
        <f ca="1">$M$318*$Z$318</f>
        <v>40289.255861697835</v>
      </c>
      <c r="AG318" s="6">
        <f>$O$318*$AA$318</f>
        <v>13568.352724093204</v>
      </c>
    </row>
    <row r="319" spans="1:33" ht="11.25" customHeight="1" x14ac:dyDescent="0.3">
      <c r="A319" s="4" t="s">
        <v>27</v>
      </c>
      <c r="B319" s="4" t="s">
        <v>43</v>
      </c>
      <c r="C319" s="4" t="s">
        <v>23</v>
      </c>
      <c r="D319" s="4" t="s">
        <v>44</v>
      </c>
      <c r="E319" s="4" t="s">
        <v>25</v>
      </c>
      <c r="F319" s="4" t="s">
        <v>25</v>
      </c>
      <c r="G319" s="4" t="s">
        <v>25</v>
      </c>
      <c r="H319" s="4" t="s">
        <v>25</v>
      </c>
      <c r="I319" s="5">
        <v>44317</v>
      </c>
      <c r="J319" s="6">
        <v>0</v>
      </c>
      <c r="K319" s="6">
        <v>0</v>
      </c>
      <c r="L319" s="6">
        <v>-0.23200000000000001</v>
      </c>
      <c r="M319" s="6">
        <v>-0.23200000000000001</v>
      </c>
      <c r="N319" s="6">
        <v>-0.23200000000000001</v>
      </c>
      <c r="O319" s="6">
        <v>-0.23200000000000001</v>
      </c>
      <c r="P319" s="6">
        <v>0</v>
      </c>
      <c r="Q319" s="4" t="s">
        <v>26</v>
      </c>
      <c r="R319" s="4">
        <v>0</v>
      </c>
      <c r="S319" s="6">
        <v>0</v>
      </c>
      <c r="T319" s="6">
        <v>57</v>
      </c>
      <c r="U319" s="6">
        <v>31</v>
      </c>
      <c r="V319" s="6">
        <f>IF(ISERROR(VLOOKUP($S$319,'TAR FIN'!$A$1:$O$85,15,0)),0,VLOOKUP($S$319,'TAR FIN'!$A$1:$O$85,15,0))</f>
        <v>0</v>
      </c>
      <c r="W319" s="6">
        <f>IF(ISERROR(VLOOKUP($T$319,'TAR FIN'!$A$1:$O$85,15,0)),0,VLOOKUP($T$319,'TAR FIN'!$A$1:$O$85,15,0))</f>
        <v>763.29</v>
      </c>
      <c r="X319" s="6">
        <f>IF(ISERROR(VLOOKUP($U$319,'TAR FIN'!$A$1:$O$85,15,0)),0,VLOOKUP($U$319,'TAR FIN'!$A$1:$O$85,15,0))</f>
        <v>211.46</v>
      </c>
      <c r="Y319" s="6"/>
      <c r="Z319" s="6">
        <f ca="1">('TUSD BE'!$AM$33+'TUSD BF'!$AM$33+'TUSD CVA'!$AM$33)*(1-CUSTOS!$M$38)</f>
        <v>923.13389839835577</v>
      </c>
      <c r="AA319" s="6">
        <f>('TE BE'!$AA$24+'TE BF'!$AA$24+'TE CVA'!$AA$24)*(1-CUSTOS!$M$38)</f>
        <v>310.8870113668134</v>
      </c>
      <c r="AB319" s="6">
        <f>$K$319*$V$319</f>
        <v>0</v>
      </c>
      <c r="AC319" s="6">
        <f>$M$319*$W$319</f>
        <v>-177.08328</v>
      </c>
      <c r="AD319" s="6">
        <f>$O$319*$X$319</f>
        <v>-49.058720000000001</v>
      </c>
      <c r="AE319" s="6">
        <f>$K$319*$Y$319</f>
        <v>0</v>
      </c>
      <c r="AF319" s="6">
        <f ca="1">$M$319*$Z$319</f>
        <v>-214.16706442841854</v>
      </c>
      <c r="AG319" s="6">
        <f>$O$319*$AA$319</f>
        <v>-72.125786637100717</v>
      </c>
    </row>
    <row r="320" spans="1:33" ht="11.25" customHeight="1" x14ac:dyDescent="0.3">
      <c r="A320" s="4" t="s">
        <v>28</v>
      </c>
      <c r="B320" s="4" t="s">
        <v>43</v>
      </c>
      <c r="C320" s="4" t="s">
        <v>23</v>
      </c>
      <c r="D320" s="4" t="s">
        <v>44</v>
      </c>
      <c r="E320" s="4" t="s">
        <v>25</v>
      </c>
      <c r="F320" s="4" t="s">
        <v>25</v>
      </c>
      <c r="G320" s="4" t="s">
        <v>25</v>
      </c>
      <c r="H320" s="4" t="s">
        <v>25</v>
      </c>
      <c r="I320" s="5">
        <v>44317</v>
      </c>
      <c r="J320" s="6">
        <v>0</v>
      </c>
      <c r="K320" s="6">
        <v>0</v>
      </c>
      <c r="L320" s="6">
        <v>0.246</v>
      </c>
      <c r="M320" s="6">
        <v>0.246</v>
      </c>
      <c r="N320" s="6">
        <v>0.246</v>
      </c>
      <c r="O320" s="6">
        <v>0.246</v>
      </c>
      <c r="P320" s="6">
        <v>3</v>
      </c>
      <c r="Q320" s="4" t="s">
        <v>26</v>
      </c>
      <c r="R320" s="4">
        <v>0</v>
      </c>
      <c r="S320" s="6">
        <v>0</v>
      </c>
      <c r="T320" s="6">
        <v>57</v>
      </c>
      <c r="U320" s="6">
        <v>31</v>
      </c>
      <c r="V320" s="6">
        <f>IF(ISERROR(VLOOKUP($S$320,'TAR FIN'!$A$1:$O$85,15,0)),0,VLOOKUP($S$320,'TAR FIN'!$A$1:$O$85,15,0))</f>
        <v>0</v>
      </c>
      <c r="W320" s="6">
        <f>IF(ISERROR(VLOOKUP($T$320,'TAR FIN'!$A$1:$O$85,15,0)),0,VLOOKUP($T$320,'TAR FIN'!$A$1:$O$85,15,0))</f>
        <v>763.29</v>
      </c>
      <c r="X320" s="6">
        <f>IF(ISERROR(VLOOKUP($U$320,'TAR FIN'!$A$1:$O$85,15,0)),0,VLOOKUP($U$320,'TAR FIN'!$A$1:$O$85,15,0))</f>
        <v>211.46</v>
      </c>
      <c r="Y320" s="6"/>
      <c r="Z320" s="6">
        <f ca="1">('TUSD BE'!$AM$33+'TUSD BF'!$AM$33+'TUSD CVA'!$AM$33)*(1-CUSTOS!$M$38)</f>
        <v>923.13389839835577</v>
      </c>
      <c r="AA320" s="6">
        <f>('TE BE'!$AA$24+'TE BF'!$AA$24+'TE CVA'!$AA$24)*(1-CUSTOS!$M$38)</f>
        <v>310.8870113668134</v>
      </c>
      <c r="AB320" s="6">
        <f>$K$320*$V$320</f>
        <v>0</v>
      </c>
      <c r="AC320" s="6">
        <f>$M$320*$W$320</f>
        <v>187.76934</v>
      </c>
      <c r="AD320" s="6">
        <f>$O$320*$X$320</f>
        <v>52.019159999999999</v>
      </c>
      <c r="AE320" s="6">
        <f>$K$320*$Y$320</f>
        <v>0</v>
      </c>
      <c r="AF320" s="6">
        <f ca="1">$M$320*$Z$320</f>
        <v>227.09093900599552</v>
      </c>
      <c r="AG320" s="6">
        <f>$O$320*$AA$320</f>
        <v>76.478204796236099</v>
      </c>
    </row>
    <row r="321" spans="1:33" ht="11.25" customHeight="1" x14ac:dyDescent="0.3">
      <c r="A321" s="4" t="s">
        <v>21</v>
      </c>
      <c r="B321" s="4" t="s">
        <v>43</v>
      </c>
      <c r="C321" s="4" t="s">
        <v>23</v>
      </c>
      <c r="D321" s="4" t="s">
        <v>44</v>
      </c>
      <c r="E321" s="4" t="s">
        <v>25</v>
      </c>
      <c r="F321" s="4" t="s">
        <v>25</v>
      </c>
      <c r="G321" s="4" t="s">
        <v>25</v>
      </c>
      <c r="H321" s="4" t="s">
        <v>25</v>
      </c>
      <c r="I321" s="5">
        <v>44348</v>
      </c>
      <c r="J321" s="6">
        <v>0</v>
      </c>
      <c r="K321" s="6">
        <v>0</v>
      </c>
      <c r="L321" s="6">
        <v>47.582999999999998</v>
      </c>
      <c r="M321" s="6">
        <v>47.582999999999998</v>
      </c>
      <c r="N321" s="6">
        <v>47.582999999999998</v>
      </c>
      <c r="O321" s="6">
        <v>47.582999999999998</v>
      </c>
      <c r="P321" s="6">
        <v>166</v>
      </c>
      <c r="Q321" s="4" t="s">
        <v>26</v>
      </c>
      <c r="R321" s="4">
        <v>0</v>
      </c>
      <c r="S321" s="6">
        <v>0</v>
      </c>
      <c r="T321" s="6">
        <v>57</v>
      </c>
      <c r="U321" s="6">
        <v>31</v>
      </c>
      <c r="V321" s="6">
        <f>IF(ISERROR(VLOOKUP($S$321,'TAR FIN'!$A$1:$O$85,15,0)),0,VLOOKUP($S$321,'TAR FIN'!$A$1:$O$85,15,0))</f>
        <v>0</v>
      </c>
      <c r="W321" s="6">
        <f>IF(ISERROR(VLOOKUP($T$321,'TAR FIN'!$A$1:$O$85,15,0)),0,VLOOKUP($T$321,'TAR FIN'!$A$1:$O$85,15,0))</f>
        <v>763.29</v>
      </c>
      <c r="X321" s="6">
        <f>IF(ISERROR(VLOOKUP($U$321,'TAR FIN'!$A$1:$O$85,15,0)),0,VLOOKUP($U$321,'TAR FIN'!$A$1:$O$85,15,0))</f>
        <v>211.46</v>
      </c>
      <c r="Y321" s="6"/>
      <c r="Z321" s="6">
        <f ca="1">('TUSD BE'!$AM$33+'TUSD BF'!$AM$33+'TUSD CVA'!$AM$33)*(1-CUSTOS!$M$38)</f>
        <v>923.13389839835577</v>
      </c>
      <c r="AA321" s="6">
        <f>('TE BE'!$AA$24+'TE BF'!$AA$24+'TE CVA'!$AA$24)*(1-CUSTOS!$M$38)</f>
        <v>310.8870113668134</v>
      </c>
      <c r="AB321" s="6">
        <f>$K$321*$V$321</f>
        <v>0</v>
      </c>
      <c r="AC321" s="6">
        <f>$M$321*$W$321</f>
        <v>36319.628069999999</v>
      </c>
      <c r="AD321" s="6">
        <f>$O$321*$X$321</f>
        <v>10061.901180000001</v>
      </c>
      <c r="AE321" s="6">
        <f>$K$321*$Y$321</f>
        <v>0</v>
      </c>
      <c r="AF321" s="6">
        <f ca="1">$M$321*$Z$321</f>
        <v>43925.480287488965</v>
      </c>
      <c r="AG321" s="6">
        <f>$O$321*$AA$321</f>
        <v>14792.936661867081</v>
      </c>
    </row>
    <row r="322" spans="1:33" ht="11.25" customHeight="1" x14ac:dyDescent="0.3">
      <c r="A322" s="4" t="s">
        <v>28</v>
      </c>
      <c r="B322" s="4" t="s">
        <v>43</v>
      </c>
      <c r="C322" s="4" t="s">
        <v>23</v>
      </c>
      <c r="D322" s="4" t="s">
        <v>44</v>
      </c>
      <c r="E322" s="4" t="s">
        <v>25</v>
      </c>
      <c r="F322" s="4" t="s">
        <v>25</v>
      </c>
      <c r="G322" s="4" t="s">
        <v>25</v>
      </c>
      <c r="H322" s="4" t="s">
        <v>25</v>
      </c>
      <c r="I322" s="5">
        <v>44348</v>
      </c>
      <c r="J322" s="6">
        <v>0</v>
      </c>
      <c r="K322" s="6">
        <v>0</v>
      </c>
      <c r="L322" s="6">
        <v>0.34200000000000003</v>
      </c>
      <c r="M322" s="6">
        <v>0.34200000000000003</v>
      </c>
      <c r="N322" s="6">
        <v>0.34200000000000003</v>
      </c>
      <c r="O322" s="6">
        <v>0.34200000000000003</v>
      </c>
      <c r="P322" s="6">
        <v>3</v>
      </c>
      <c r="Q322" s="4" t="s">
        <v>26</v>
      </c>
      <c r="R322" s="4">
        <v>0</v>
      </c>
      <c r="S322" s="6">
        <v>0</v>
      </c>
      <c r="T322" s="6">
        <v>57</v>
      </c>
      <c r="U322" s="6">
        <v>31</v>
      </c>
      <c r="V322" s="6">
        <f>IF(ISERROR(VLOOKUP($S$322,'TAR FIN'!$A$1:$O$85,15,0)),0,VLOOKUP($S$322,'TAR FIN'!$A$1:$O$85,15,0))</f>
        <v>0</v>
      </c>
      <c r="W322" s="6">
        <f>IF(ISERROR(VLOOKUP($T$322,'TAR FIN'!$A$1:$O$85,15,0)),0,VLOOKUP($T$322,'TAR FIN'!$A$1:$O$85,15,0))</f>
        <v>763.29</v>
      </c>
      <c r="X322" s="6">
        <f>IF(ISERROR(VLOOKUP($U$322,'TAR FIN'!$A$1:$O$85,15,0)),0,VLOOKUP($U$322,'TAR FIN'!$A$1:$O$85,15,0))</f>
        <v>211.46</v>
      </c>
      <c r="Y322" s="6"/>
      <c r="Z322" s="6">
        <f ca="1">('TUSD BE'!$AM$33+'TUSD BF'!$AM$33+'TUSD CVA'!$AM$33)*(1-CUSTOS!$M$38)</f>
        <v>923.13389839835577</v>
      </c>
      <c r="AA322" s="6">
        <f>('TE BE'!$AA$24+'TE BF'!$AA$24+'TE CVA'!$AA$24)*(1-CUSTOS!$M$38)</f>
        <v>310.8870113668134</v>
      </c>
      <c r="AB322" s="6">
        <f>$K$322*$V$322</f>
        <v>0</v>
      </c>
      <c r="AC322" s="6">
        <f>$M$322*$W$322</f>
        <v>261.04518000000002</v>
      </c>
      <c r="AD322" s="6">
        <f>$O$322*$X$322</f>
        <v>72.319320000000005</v>
      </c>
      <c r="AE322" s="6">
        <f>$K$322*$Y$322</f>
        <v>0</v>
      </c>
      <c r="AF322" s="6">
        <f ca="1">$M$322*$Z$322</f>
        <v>315.71179325223767</v>
      </c>
      <c r="AG322" s="6">
        <f>$O$322*$AA$322</f>
        <v>106.32335788745019</v>
      </c>
    </row>
    <row r="323" spans="1:33" ht="11.25" customHeight="1" x14ac:dyDescent="0.3">
      <c r="A323" s="4" t="s">
        <v>21</v>
      </c>
      <c r="B323" s="4" t="s">
        <v>43</v>
      </c>
      <c r="C323" s="4" t="s">
        <v>23</v>
      </c>
      <c r="D323" s="4" t="s">
        <v>44</v>
      </c>
      <c r="E323" s="4" t="s">
        <v>25</v>
      </c>
      <c r="F323" s="4" t="s">
        <v>25</v>
      </c>
      <c r="G323" s="4" t="s">
        <v>25</v>
      </c>
      <c r="H323" s="4" t="s">
        <v>25</v>
      </c>
      <c r="I323" s="5">
        <v>44378</v>
      </c>
      <c r="J323" s="6">
        <v>0</v>
      </c>
      <c r="K323" s="6">
        <v>0</v>
      </c>
      <c r="L323" s="6">
        <v>63.924999999999997</v>
      </c>
      <c r="M323" s="6">
        <v>63.924999999999997</v>
      </c>
      <c r="N323" s="6">
        <v>63.924999999999997</v>
      </c>
      <c r="O323" s="6">
        <v>63.924999999999997</v>
      </c>
      <c r="P323" s="6">
        <v>162</v>
      </c>
      <c r="Q323" s="4" t="s">
        <v>26</v>
      </c>
      <c r="R323" s="4">
        <v>0</v>
      </c>
      <c r="S323" s="6">
        <v>0</v>
      </c>
      <c r="T323" s="6">
        <v>57</v>
      </c>
      <c r="U323" s="6">
        <v>31</v>
      </c>
      <c r="V323" s="6">
        <f>IF(ISERROR(VLOOKUP($S$323,'TAR FIN'!$A$1:$O$85,15,0)),0,VLOOKUP($S$323,'TAR FIN'!$A$1:$O$85,15,0))</f>
        <v>0</v>
      </c>
      <c r="W323" s="6">
        <f>IF(ISERROR(VLOOKUP($T$323,'TAR FIN'!$A$1:$O$85,15,0)),0,VLOOKUP($T$323,'TAR FIN'!$A$1:$O$85,15,0))</f>
        <v>763.29</v>
      </c>
      <c r="X323" s="6">
        <f>IF(ISERROR(VLOOKUP($U$323,'TAR FIN'!$A$1:$O$85,15,0)),0,VLOOKUP($U$323,'TAR FIN'!$A$1:$O$85,15,0))</f>
        <v>211.46</v>
      </c>
      <c r="Y323" s="6"/>
      <c r="Z323" s="6">
        <f ca="1">('TUSD BE'!$AM$33+'TUSD BF'!$AM$33+'TUSD CVA'!$AM$33)*(1-CUSTOS!$M$38)</f>
        <v>923.13389839835577</v>
      </c>
      <c r="AA323" s="6">
        <f>('TE BE'!$AA$24+'TE BF'!$AA$24+'TE CVA'!$AA$24)*(1-CUSTOS!$M$38)</f>
        <v>310.8870113668134</v>
      </c>
      <c r="AB323" s="6">
        <f>$K$323*$V$323</f>
        <v>0</v>
      </c>
      <c r="AC323" s="6">
        <f>$M$323*$W$323</f>
        <v>48793.313249999992</v>
      </c>
      <c r="AD323" s="6">
        <f>$O$323*$X$323</f>
        <v>13517.5805</v>
      </c>
      <c r="AE323" s="6">
        <f>$K$323*$Y$323</f>
        <v>0</v>
      </c>
      <c r="AF323" s="6">
        <f ca="1">$M$323*$Z$323</f>
        <v>59011.334455114891</v>
      </c>
      <c r="AG323" s="6">
        <f>$O$323*$AA$323</f>
        <v>19873.452201623546</v>
      </c>
    </row>
    <row r="324" spans="1:33" ht="11.25" customHeight="1" x14ac:dyDescent="0.3">
      <c r="A324" s="4" t="s">
        <v>28</v>
      </c>
      <c r="B324" s="4" t="s">
        <v>43</v>
      </c>
      <c r="C324" s="4" t="s">
        <v>23</v>
      </c>
      <c r="D324" s="4" t="s">
        <v>44</v>
      </c>
      <c r="E324" s="4" t="s">
        <v>25</v>
      </c>
      <c r="F324" s="4" t="s">
        <v>25</v>
      </c>
      <c r="G324" s="4" t="s">
        <v>25</v>
      </c>
      <c r="H324" s="4" t="s">
        <v>25</v>
      </c>
      <c r="I324" s="5">
        <v>44378</v>
      </c>
      <c r="J324" s="6">
        <v>0</v>
      </c>
      <c r="K324" s="6">
        <v>0</v>
      </c>
      <c r="L324" s="6">
        <v>0.58699999999999997</v>
      </c>
      <c r="M324" s="6">
        <v>0.58699999999999997</v>
      </c>
      <c r="N324" s="6">
        <v>0.58699999999999997</v>
      </c>
      <c r="O324" s="6">
        <v>0.58699999999999997</v>
      </c>
      <c r="P324" s="6">
        <v>5</v>
      </c>
      <c r="Q324" s="4" t="s">
        <v>26</v>
      </c>
      <c r="R324" s="4">
        <v>0</v>
      </c>
      <c r="S324" s="6">
        <v>0</v>
      </c>
      <c r="T324" s="6">
        <v>57</v>
      </c>
      <c r="U324" s="6">
        <v>31</v>
      </c>
      <c r="V324" s="6">
        <f>IF(ISERROR(VLOOKUP($S$324,'TAR FIN'!$A$1:$O$85,15,0)),0,VLOOKUP($S$324,'TAR FIN'!$A$1:$O$85,15,0))</f>
        <v>0</v>
      </c>
      <c r="W324" s="6">
        <f>IF(ISERROR(VLOOKUP($T$324,'TAR FIN'!$A$1:$O$85,15,0)),0,VLOOKUP($T$324,'TAR FIN'!$A$1:$O$85,15,0))</f>
        <v>763.29</v>
      </c>
      <c r="X324" s="6">
        <f>IF(ISERROR(VLOOKUP($U$324,'TAR FIN'!$A$1:$O$85,15,0)),0,VLOOKUP($U$324,'TAR FIN'!$A$1:$O$85,15,0))</f>
        <v>211.46</v>
      </c>
      <c r="Y324" s="6"/>
      <c r="Z324" s="6">
        <f ca="1">('TUSD BE'!$AM$33+'TUSD BF'!$AM$33+'TUSD CVA'!$AM$33)*(1-CUSTOS!$M$38)</f>
        <v>923.13389839835577</v>
      </c>
      <c r="AA324" s="6">
        <f>('TE BE'!$AA$24+'TE BF'!$AA$24+'TE CVA'!$AA$24)*(1-CUSTOS!$M$38)</f>
        <v>310.8870113668134</v>
      </c>
      <c r="AB324" s="6">
        <f>$K$324*$V$324</f>
        <v>0</v>
      </c>
      <c r="AC324" s="6">
        <f>$M$324*$W$324</f>
        <v>448.05122999999998</v>
      </c>
      <c r="AD324" s="6">
        <f>$O$324*$X$324</f>
        <v>124.12702</v>
      </c>
      <c r="AE324" s="6">
        <f>$K$324*$Y$324</f>
        <v>0</v>
      </c>
      <c r="AF324" s="6">
        <f ca="1">$M$324*$Z$324</f>
        <v>541.87959835983486</v>
      </c>
      <c r="AG324" s="6">
        <f>$O$324*$AA$324</f>
        <v>182.49067567231944</v>
      </c>
    </row>
    <row r="325" spans="1:33" ht="11.25" customHeight="1" x14ac:dyDescent="0.3">
      <c r="A325" s="4" t="s">
        <v>21</v>
      </c>
      <c r="B325" s="4" t="s">
        <v>43</v>
      </c>
      <c r="C325" s="4" t="s">
        <v>23</v>
      </c>
      <c r="D325" s="4" t="s">
        <v>44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44409</v>
      </c>
      <c r="J325" s="6">
        <v>0</v>
      </c>
      <c r="K325" s="6">
        <v>0</v>
      </c>
      <c r="L325" s="6">
        <v>39.451999999999998</v>
      </c>
      <c r="M325" s="6">
        <v>39.451999999999998</v>
      </c>
      <c r="N325" s="6">
        <v>39.451999999999998</v>
      </c>
      <c r="O325" s="6">
        <v>39.451999999999998</v>
      </c>
      <c r="P325" s="6">
        <v>160</v>
      </c>
      <c r="Q325" s="4" t="s">
        <v>26</v>
      </c>
      <c r="R325" s="4">
        <v>0</v>
      </c>
      <c r="S325" s="6">
        <v>0</v>
      </c>
      <c r="T325" s="6">
        <v>57</v>
      </c>
      <c r="U325" s="6">
        <v>31</v>
      </c>
      <c r="V325" s="6">
        <f>IF(ISERROR(VLOOKUP($S$325,'TAR FIN'!$A$1:$O$85,15,0)),0,VLOOKUP($S$325,'TAR FIN'!$A$1:$O$85,15,0))</f>
        <v>0</v>
      </c>
      <c r="W325" s="6">
        <f>IF(ISERROR(VLOOKUP($T$325,'TAR FIN'!$A$1:$O$85,15,0)),0,VLOOKUP($T$325,'TAR FIN'!$A$1:$O$85,15,0))</f>
        <v>763.29</v>
      </c>
      <c r="X325" s="6">
        <f>IF(ISERROR(VLOOKUP($U$325,'TAR FIN'!$A$1:$O$85,15,0)),0,VLOOKUP($U$325,'TAR FIN'!$A$1:$O$85,15,0))</f>
        <v>211.46</v>
      </c>
      <c r="Y325" s="6"/>
      <c r="Z325" s="6">
        <f ca="1">('TUSD BE'!$AM$33+'TUSD BF'!$AM$33+'TUSD CVA'!$AM$33)*(1-CUSTOS!$M$38)</f>
        <v>923.13389839835577</v>
      </c>
      <c r="AA325" s="6">
        <f>('TE BE'!$AA$24+'TE BF'!$AA$24+'TE CVA'!$AA$24)*(1-CUSTOS!$M$38)</f>
        <v>310.8870113668134</v>
      </c>
      <c r="AB325" s="6">
        <f>$K$325*$V$325</f>
        <v>0</v>
      </c>
      <c r="AC325" s="6">
        <f>$M$325*$W$325</f>
        <v>30113.317079999997</v>
      </c>
      <c r="AD325" s="6">
        <f>$O$325*$X$325</f>
        <v>8342.5199200000006</v>
      </c>
      <c r="AE325" s="6">
        <f>$K$325*$Y$325</f>
        <v>0</v>
      </c>
      <c r="AF325" s="6">
        <f ca="1">$M$325*$Z$325</f>
        <v>36419.478559611933</v>
      </c>
      <c r="AG325" s="6">
        <f>$O$325*$AA$325</f>
        <v>12265.114372443522</v>
      </c>
    </row>
    <row r="326" spans="1:33" ht="11.25" customHeight="1" x14ac:dyDescent="0.3">
      <c r="A326" s="4" t="s">
        <v>27</v>
      </c>
      <c r="B326" s="4" t="s">
        <v>43</v>
      </c>
      <c r="C326" s="4" t="s">
        <v>23</v>
      </c>
      <c r="D326" s="4" t="s">
        <v>44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44409</v>
      </c>
      <c r="J326" s="6">
        <v>0</v>
      </c>
      <c r="K326" s="6">
        <v>0</v>
      </c>
      <c r="L326" s="6">
        <v>-9.7000000000000003E-2</v>
      </c>
      <c r="M326" s="6">
        <v>-9.7000000000000003E-2</v>
      </c>
      <c r="N326" s="6">
        <v>-9.7000000000000003E-2</v>
      </c>
      <c r="O326" s="6">
        <v>-9.7000000000000003E-2</v>
      </c>
      <c r="P326" s="6">
        <v>0</v>
      </c>
      <c r="Q326" s="4" t="s">
        <v>26</v>
      </c>
      <c r="R326" s="4">
        <v>0</v>
      </c>
      <c r="S326" s="6">
        <v>0</v>
      </c>
      <c r="T326" s="6">
        <v>57</v>
      </c>
      <c r="U326" s="6">
        <v>31</v>
      </c>
      <c r="V326" s="6">
        <f>IF(ISERROR(VLOOKUP($S$326,'TAR FIN'!$A$1:$O$85,15,0)),0,VLOOKUP($S$326,'TAR FIN'!$A$1:$O$85,15,0))</f>
        <v>0</v>
      </c>
      <c r="W326" s="6">
        <f>IF(ISERROR(VLOOKUP($T$326,'TAR FIN'!$A$1:$O$85,15,0)),0,VLOOKUP($T$326,'TAR FIN'!$A$1:$O$85,15,0))</f>
        <v>763.29</v>
      </c>
      <c r="X326" s="6">
        <f>IF(ISERROR(VLOOKUP($U$326,'TAR FIN'!$A$1:$O$85,15,0)),0,VLOOKUP($U$326,'TAR FIN'!$A$1:$O$85,15,0))</f>
        <v>211.46</v>
      </c>
      <c r="Y326" s="6"/>
      <c r="Z326" s="6">
        <f ca="1">('TUSD BE'!$AM$33+'TUSD BF'!$AM$33+'TUSD CVA'!$AM$33)*(1-CUSTOS!$M$38)</f>
        <v>923.13389839835577</v>
      </c>
      <c r="AA326" s="6">
        <f>('TE BE'!$AA$24+'TE BF'!$AA$24+'TE CVA'!$AA$24)*(1-CUSTOS!$M$38)</f>
        <v>310.8870113668134</v>
      </c>
      <c r="AB326" s="6">
        <f>$K$326*$V$326</f>
        <v>0</v>
      </c>
      <c r="AC326" s="6">
        <f>$M$326*$W$326</f>
        <v>-74.03913</v>
      </c>
      <c r="AD326" s="6">
        <f>$O$326*$X$326</f>
        <v>-20.511620000000001</v>
      </c>
      <c r="AE326" s="6">
        <f>$K$326*$Y$326</f>
        <v>0</v>
      </c>
      <c r="AF326" s="6">
        <f ca="1">$M$326*$Z$326</f>
        <v>-89.543988144640508</v>
      </c>
      <c r="AG326" s="6">
        <f>$O$326*$AA$326</f>
        <v>-30.156040102580899</v>
      </c>
    </row>
    <row r="327" spans="1:33" ht="11.25" customHeight="1" x14ac:dyDescent="0.3">
      <c r="A327" s="4" t="s">
        <v>28</v>
      </c>
      <c r="B327" s="4" t="s">
        <v>43</v>
      </c>
      <c r="C327" s="4" t="s">
        <v>23</v>
      </c>
      <c r="D327" s="4" t="s">
        <v>44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44409</v>
      </c>
      <c r="J327" s="6">
        <v>0</v>
      </c>
      <c r="K327" s="6">
        <v>0</v>
      </c>
      <c r="L327" s="6">
        <v>0.56000000000000005</v>
      </c>
      <c r="M327" s="6">
        <v>0.56000000000000005</v>
      </c>
      <c r="N327" s="6">
        <v>0.56000000000000005</v>
      </c>
      <c r="O327" s="6">
        <v>0.56000000000000005</v>
      </c>
      <c r="P327" s="6">
        <v>5</v>
      </c>
      <c r="Q327" s="4" t="s">
        <v>26</v>
      </c>
      <c r="R327" s="4">
        <v>0</v>
      </c>
      <c r="S327" s="6">
        <v>0</v>
      </c>
      <c r="T327" s="6">
        <v>57</v>
      </c>
      <c r="U327" s="6">
        <v>31</v>
      </c>
      <c r="V327" s="6">
        <f>IF(ISERROR(VLOOKUP($S$327,'TAR FIN'!$A$1:$O$85,15,0)),0,VLOOKUP($S$327,'TAR FIN'!$A$1:$O$85,15,0))</f>
        <v>0</v>
      </c>
      <c r="W327" s="6">
        <f>IF(ISERROR(VLOOKUP($T$327,'TAR FIN'!$A$1:$O$85,15,0)),0,VLOOKUP($T$327,'TAR FIN'!$A$1:$O$85,15,0))</f>
        <v>763.29</v>
      </c>
      <c r="X327" s="6">
        <f>IF(ISERROR(VLOOKUP($U$327,'TAR FIN'!$A$1:$O$85,15,0)),0,VLOOKUP($U$327,'TAR FIN'!$A$1:$O$85,15,0))</f>
        <v>211.46</v>
      </c>
      <c r="Y327" s="6"/>
      <c r="Z327" s="6">
        <f ca="1">('TUSD BE'!$AM$33+'TUSD BF'!$AM$33+'TUSD CVA'!$AM$33)*(1-CUSTOS!$M$38)</f>
        <v>923.13389839835577</v>
      </c>
      <c r="AA327" s="6">
        <f>('TE BE'!$AA$24+'TE BF'!$AA$24+'TE CVA'!$AA$24)*(1-CUSTOS!$M$38)</f>
        <v>310.8870113668134</v>
      </c>
      <c r="AB327" s="6">
        <f>$K$327*$V$327</f>
        <v>0</v>
      </c>
      <c r="AC327" s="6">
        <f>$M$327*$W$327</f>
        <v>427.44240000000002</v>
      </c>
      <c r="AD327" s="6">
        <f>$O$327*$X$327</f>
        <v>118.41760000000002</v>
      </c>
      <c r="AE327" s="6">
        <f>$K$327*$Y$327</f>
        <v>0</v>
      </c>
      <c r="AF327" s="6">
        <f ca="1">$M$327*$Z$327</f>
        <v>516.95498310307926</v>
      </c>
      <c r="AG327" s="6">
        <f>$O$327*$AA$327</f>
        <v>174.09672636541552</v>
      </c>
    </row>
    <row r="328" spans="1:33" ht="11.25" customHeight="1" x14ac:dyDescent="0.3">
      <c r="A328" s="4" t="s">
        <v>21</v>
      </c>
      <c r="B328" s="4" t="s">
        <v>43</v>
      </c>
      <c r="C328" s="4" t="s">
        <v>23</v>
      </c>
      <c r="D328" s="4" t="s">
        <v>44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44440</v>
      </c>
      <c r="J328" s="6">
        <v>0</v>
      </c>
      <c r="K328" s="6">
        <v>0</v>
      </c>
      <c r="L328" s="6">
        <v>42.475999999999999</v>
      </c>
      <c r="M328" s="6">
        <v>42.475999999999999</v>
      </c>
      <c r="N328" s="6">
        <v>42.475999999999999</v>
      </c>
      <c r="O328" s="6">
        <v>42.475999999999999</v>
      </c>
      <c r="P328" s="6">
        <v>161</v>
      </c>
      <c r="Q328" s="4" t="s">
        <v>26</v>
      </c>
      <c r="R328" s="4">
        <v>0</v>
      </c>
      <c r="S328" s="6">
        <v>0</v>
      </c>
      <c r="T328" s="6">
        <v>57</v>
      </c>
      <c r="U328" s="6">
        <v>31</v>
      </c>
      <c r="V328" s="6">
        <f>IF(ISERROR(VLOOKUP($S$328,'TAR FIN'!$A$1:$O$85,15,0)),0,VLOOKUP($S$328,'TAR FIN'!$A$1:$O$85,15,0))</f>
        <v>0</v>
      </c>
      <c r="W328" s="6">
        <f>IF(ISERROR(VLOOKUP($T$328,'TAR FIN'!$A$1:$O$85,15,0)),0,VLOOKUP($T$328,'TAR FIN'!$A$1:$O$85,15,0))</f>
        <v>763.29</v>
      </c>
      <c r="X328" s="6">
        <f>IF(ISERROR(VLOOKUP($U$328,'TAR FIN'!$A$1:$O$85,15,0)),0,VLOOKUP($U$328,'TAR FIN'!$A$1:$O$85,15,0))</f>
        <v>211.46</v>
      </c>
      <c r="Y328" s="6"/>
      <c r="Z328" s="6">
        <f ca="1">('TUSD BE'!$AM$33+'TUSD BF'!$AM$33+'TUSD CVA'!$AM$33)*(1-CUSTOS!$M$38)</f>
        <v>923.13389839835577</v>
      </c>
      <c r="AA328" s="6">
        <f>('TE BE'!$AA$24+'TE BF'!$AA$24+'TE CVA'!$AA$24)*(1-CUSTOS!$M$38)</f>
        <v>310.8870113668134</v>
      </c>
      <c r="AB328" s="6">
        <f>$K$328*$V$328</f>
        <v>0</v>
      </c>
      <c r="AC328" s="6">
        <f>$M$328*$W$328</f>
        <v>32421.506039999997</v>
      </c>
      <c r="AD328" s="6">
        <f>$O$328*$X$328</f>
        <v>8981.9749599999996</v>
      </c>
      <c r="AE328" s="6">
        <f>$K$328*$Y$328</f>
        <v>0</v>
      </c>
      <c r="AF328" s="6">
        <f ca="1">$M$328*$Z$328</f>
        <v>39211.035468368558</v>
      </c>
      <c r="AG328" s="6">
        <f>$O$328*$AA$328</f>
        <v>13205.236694816766</v>
      </c>
    </row>
    <row r="329" spans="1:33" ht="11.25" customHeight="1" x14ac:dyDescent="0.3">
      <c r="A329" s="4" t="s">
        <v>27</v>
      </c>
      <c r="B329" s="4" t="s">
        <v>43</v>
      </c>
      <c r="C329" s="4" t="s">
        <v>23</v>
      </c>
      <c r="D329" s="4" t="s">
        <v>44</v>
      </c>
      <c r="E329" s="4" t="s">
        <v>25</v>
      </c>
      <c r="F329" s="4" t="s">
        <v>25</v>
      </c>
      <c r="G329" s="4" t="s">
        <v>25</v>
      </c>
      <c r="H329" s="4" t="s">
        <v>25</v>
      </c>
      <c r="I329" s="5">
        <v>44440</v>
      </c>
      <c r="J329" s="6">
        <v>0</v>
      </c>
      <c r="K329" s="6">
        <v>0</v>
      </c>
      <c r="L329" s="6">
        <v>-0.309</v>
      </c>
      <c r="M329" s="6">
        <v>-0.309</v>
      </c>
      <c r="N329" s="6">
        <v>-0.309</v>
      </c>
      <c r="O329" s="6">
        <v>-0.309</v>
      </c>
      <c r="P329" s="6">
        <v>0</v>
      </c>
      <c r="Q329" s="4" t="s">
        <v>26</v>
      </c>
      <c r="R329" s="4">
        <v>0</v>
      </c>
      <c r="S329" s="6">
        <v>0</v>
      </c>
      <c r="T329" s="6">
        <v>57</v>
      </c>
      <c r="U329" s="6">
        <v>31</v>
      </c>
      <c r="V329" s="6">
        <f>IF(ISERROR(VLOOKUP($S$329,'TAR FIN'!$A$1:$O$85,15,0)),0,VLOOKUP($S$329,'TAR FIN'!$A$1:$O$85,15,0))</f>
        <v>0</v>
      </c>
      <c r="W329" s="6">
        <f>IF(ISERROR(VLOOKUP($T$329,'TAR FIN'!$A$1:$O$85,15,0)),0,VLOOKUP($T$329,'TAR FIN'!$A$1:$O$85,15,0))</f>
        <v>763.29</v>
      </c>
      <c r="X329" s="6">
        <f>IF(ISERROR(VLOOKUP($U$329,'TAR FIN'!$A$1:$O$85,15,0)),0,VLOOKUP($U$329,'TAR FIN'!$A$1:$O$85,15,0))</f>
        <v>211.46</v>
      </c>
      <c r="Y329" s="6"/>
      <c r="Z329" s="6">
        <f ca="1">('TUSD BE'!$AM$33+'TUSD BF'!$AM$33+'TUSD CVA'!$AM$33)*(1-CUSTOS!$M$38)</f>
        <v>923.13389839835577</v>
      </c>
      <c r="AA329" s="6">
        <f>('TE BE'!$AA$24+'TE BF'!$AA$24+'TE CVA'!$AA$24)*(1-CUSTOS!$M$38)</f>
        <v>310.8870113668134</v>
      </c>
      <c r="AB329" s="6">
        <f>$K$329*$V$329</f>
        <v>0</v>
      </c>
      <c r="AC329" s="6">
        <f>$M$329*$W$329</f>
        <v>-235.85660999999999</v>
      </c>
      <c r="AD329" s="6">
        <f>$O$329*$X$329</f>
        <v>-65.341139999999996</v>
      </c>
      <c r="AE329" s="6">
        <f>$K$329*$Y$329</f>
        <v>0</v>
      </c>
      <c r="AF329" s="6">
        <f ca="1">$M$329*$Z$329</f>
        <v>-285.24837460509195</v>
      </c>
      <c r="AG329" s="6">
        <f>$O$329*$AA$329</f>
        <v>-96.064086512345341</v>
      </c>
    </row>
    <row r="330" spans="1:33" ht="11.25" customHeight="1" x14ac:dyDescent="0.3">
      <c r="A330" s="4" t="s">
        <v>28</v>
      </c>
      <c r="B330" s="4" t="s">
        <v>43</v>
      </c>
      <c r="C330" s="4" t="s">
        <v>23</v>
      </c>
      <c r="D330" s="4" t="s">
        <v>44</v>
      </c>
      <c r="E330" s="4" t="s">
        <v>25</v>
      </c>
      <c r="F330" s="4" t="s">
        <v>25</v>
      </c>
      <c r="G330" s="4" t="s">
        <v>25</v>
      </c>
      <c r="H330" s="4" t="s">
        <v>25</v>
      </c>
      <c r="I330" s="5">
        <v>44440</v>
      </c>
      <c r="J330" s="6">
        <v>0</v>
      </c>
      <c r="K330" s="6">
        <v>0</v>
      </c>
      <c r="L330" s="6">
        <v>0.45300000000000001</v>
      </c>
      <c r="M330" s="6">
        <v>0.45300000000000001</v>
      </c>
      <c r="N330" s="6">
        <v>0.45300000000000001</v>
      </c>
      <c r="O330" s="6">
        <v>0.45300000000000001</v>
      </c>
      <c r="P330" s="6">
        <v>5</v>
      </c>
      <c r="Q330" s="4" t="s">
        <v>26</v>
      </c>
      <c r="R330" s="4">
        <v>0</v>
      </c>
      <c r="S330" s="6">
        <v>0</v>
      </c>
      <c r="T330" s="6">
        <v>57</v>
      </c>
      <c r="U330" s="6">
        <v>31</v>
      </c>
      <c r="V330" s="6">
        <f>IF(ISERROR(VLOOKUP($S$330,'TAR FIN'!$A$1:$O$85,15,0)),0,VLOOKUP($S$330,'TAR FIN'!$A$1:$O$85,15,0))</f>
        <v>0</v>
      </c>
      <c r="W330" s="6">
        <f>IF(ISERROR(VLOOKUP($T$330,'TAR FIN'!$A$1:$O$85,15,0)),0,VLOOKUP($T$330,'TAR FIN'!$A$1:$O$85,15,0))</f>
        <v>763.29</v>
      </c>
      <c r="X330" s="6">
        <f>IF(ISERROR(VLOOKUP($U$330,'TAR FIN'!$A$1:$O$85,15,0)),0,VLOOKUP($U$330,'TAR FIN'!$A$1:$O$85,15,0))</f>
        <v>211.46</v>
      </c>
      <c r="Y330" s="6"/>
      <c r="Z330" s="6">
        <f ca="1">('TUSD BE'!$AM$33+'TUSD BF'!$AM$33+'TUSD CVA'!$AM$33)*(1-CUSTOS!$M$38)</f>
        <v>923.13389839835577</v>
      </c>
      <c r="AA330" s="6">
        <f>('TE BE'!$AA$24+'TE BF'!$AA$24+'TE CVA'!$AA$24)*(1-CUSTOS!$M$38)</f>
        <v>310.8870113668134</v>
      </c>
      <c r="AB330" s="6">
        <f>$K$330*$V$330</f>
        <v>0</v>
      </c>
      <c r="AC330" s="6">
        <f>$M$330*$W$330</f>
        <v>345.77037000000001</v>
      </c>
      <c r="AD330" s="6">
        <f>$O$330*$X$330</f>
        <v>95.791380000000004</v>
      </c>
      <c r="AE330" s="6">
        <f>$K$330*$Y$330</f>
        <v>0</v>
      </c>
      <c r="AF330" s="6">
        <f ca="1">$M$330*$Z$330</f>
        <v>418.17965597445516</v>
      </c>
      <c r="AG330" s="6">
        <f>$O$330*$AA$330</f>
        <v>140.83181614916649</v>
      </c>
    </row>
    <row r="331" spans="1:33" ht="11.25" customHeight="1" x14ac:dyDescent="0.3">
      <c r="A331" s="4" t="s">
        <v>21</v>
      </c>
      <c r="B331" s="4" t="s">
        <v>43</v>
      </c>
      <c r="C331" s="4" t="s">
        <v>23</v>
      </c>
      <c r="D331" s="4" t="s">
        <v>44</v>
      </c>
      <c r="E331" s="4" t="s">
        <v>25</v>
      </c>
      <c r="F331" s="4" t="s">
        <v>25</v>
      </c>
      <c r="G331" s="4" t="s">
        <v>25</v>
      </c>
      <c r="H331" s="4" t="s">
        <v>25</v>
      </c>
      <c r="I331" s="5">
        <v>44470</v>
      </c>
      <c r="J331" s="6">
        <v>0</v>
      </c>
      <c r="K331" s="6">
        <v>0</v>
      </c>
      <c r="L331" s="6">
        <v>40.125</v>
      </c>
      <c r="M331" s="6">
        <v>40.125</v>
      </c>
      <c r="N331" s="6">
        <v>40.125</v>
      </c>
      <c r="O331" s="6">
        <v>40.125</v>
      </c>
      <c r="P331" s="6">
        <v>150</v>
      </c>
      <c r="Q331" s="4" t="s">
        <v>26</v>
      </c>
      <c r="R331" s="4">
        <v>0</v>
      </c>
      <c r="S331" s="6">
        <v>0</v>
      </c>
      <c r="T331" s="6">
        <v>57</v>
      </c>
      <c r="U331" s="6">
        <v>31</v>
      </c>
      <c r="V331" s="6">
        <f>IF(ISERROR(VLOOKUP($S$331,'TAR FIN'!$A$1:$O$85,15,0)),0,VLOOKUP($S$331,'TAR FIN'!$A$1:$O$85,15,0))</f>
        <v>0</v>
      </c>
      <c r="W331" s="6">
        <f>IF(ISERROR(VLOOKUP($T$331,'TAR FIN'!$A$1:$O$85,15,0)),0,VLOOKUP($T$331,'TAR FIN'!$A$1:$O$85,15,0))</f>
        <v>763.29</v>
      </c>
      <c r="X331" s="6">
        <f>IF(ISERROR(VLOOKUP($U$331,'TAR FIN'!$A$1:$O$85,15,0)),0,VLOOKUP($U$331,'TAR FIN'!$A$1:$O$85,15,0))</f>
        <v>211.46</v>
      </c>
      <c r="Y331" s="6"/>
      <c r="Z331" s="6">
        <f ca="1">('TUSD BE'!$AM$33+'TUSD BF'!$AM$33+'TUSD CVA'!$AM$33)*(1-CUSTOS!$M$38)</f>
        <v>923.13389839835577</v>
      </c>
      <c r="AA331" s="6">
        <f>('TE BE'!$AA$24+'TE BF'!$AA$24+'TE CVA'!$AA$24)*(1-CUSTOS!$M$38)</f>
        <v>310.8870113668134</v>
      </c>
      <c r="AB331" s="6">
        <f>$K$331*$V$331</f>
        <v>0</v>
      </c>
      <c r="AC331" s="6">
        <f>$M$331*$W$331</f>
        <v>30627.01125</v>
      </c>
      <c r="AD331" s="6">
        <f>$O$331*$X$331</f>
        <v>8484.8325000000004</v>
      </c>
      <c r="AE331" s="6">
        <f>$K$331*$Y$331</f>
        <v>0</v>
      </c>
      <c r="AF331" s="6">
        <f ca="1">$M$331*$Z$331</f>
        <v>37040.747673234022</v>
      </c>
      <c r="AG331" s="6">
        <f>$O$331*$AA$331</f>
        <v>12474.341331093388</v>
      </c>
    </row>
    <row r="332" spans="1:33" ht="11.25" customHeight="1" x14ac:dyDescent="0.3">
      <c r="A332" s="4" t="s">
        <v>28</v>
      </c>
      <c r="B332" s="4" t="s">
        <v>43</v>
      </c>
      <c r="C332" s="4" t="s">
        <v>23</v>
      </c>
      <c r="D332" s="4" t="s">
        <v>44</v>
      </c>
      <c r="E332" s="4" t="s">
        <v>25</v>
      </c>
      <c r="F332" s="4" t="s">
        <v>25</v>
      </c>
      <c r="G332" s="4" t="s">
        <v>25</v>
      </c>
      <c r="H332" s="4" t="s">
        <v>25</v>
      </c>
      <c r="I332" s="5">
        <v>44470</v>
      </c>
      <c r="J332" s="6">
        <v>0</v>
      </c>
      <c r="K332" s="6">
        <v>0</v>
      </c>
      <c r="L332" s="6">
        <v>0.55300000000000005</v>
      </c>
      <c r="M332" s="6">
        <v>0.55300000000000005</v>
      </c>
      <c r="N332" s="6">
        <v>0.55300000000000005</v>
      </c>
      <c r="O332" s="6">
        <v>0.55300000000000005</v>
      </c>
      <c r="P332" s="6">
        <v>5</v>
      </c>
      <c r="Q332" s="4" t="s">
        <v>26</v>
      </c>
      <c r="R332" s="4">
        <v>0</v>
      </c>
      <c r="S332" s="6">
        <v>0</v>
      </c>
      <c r="T332" s="6">
        <v>57</v>
      </c>
      <c r="U332" s="6">
        <v>31</v>
      </c>
      <c r="V332" s="6">
        <f>IF(ISERROR(VLOOKUP($S$332,'TAR FIN'!$A$1:$O$85,15,0)),0,VLOOKUP($S$332,'TAR FIN'!$A$1:$O$85,15,0))</f>
        <v>0</v>
      </c>
      <c r="W332" s="6">
        <f>IF(ISERROR(VLOOKUP($T$332,'TAR FIN'!$A$1:$O$85,15,0)),0,VLOOKUP($T$332,'TAR FIN'!$A$1:$O$85,15,0))</f>
        <v>763.29</v>
      </c>
      <c r="X332" s="6">
        <f>IF(ISERROR(VLOOKUP($U$332,'TAR FIN'!$A$1:$O$85,15,0)),0,VLOOKUP($U$332,'TAR FIN'!$A$1:$O$85,15,0))</f>
        <v>211.46</v>
      </c>
      <c r="Y332" s="6"/>
      <c r="Z332" s="6">
        <f ca="1">('TUSD BE'!$AM$33+'TUSD BF'!$AM$33+'TUSD CVA'!$AM$33)*(1-CUSTOS!$M$38)</f>
        <v>923.13389839835577</v>
      </c>
      <c r="AA332" s="6">
        <f>('TE BE'!$AA$24+'TE BF'!$AA$24+'TE CVA'!$AA$24)*(1-CUSTOS!$M$38)</f>
        <v>310.8870113668134</v>
      </c>
      <c r="AB332" s="6">
        <f>$K$332*$V$332</f>
        <v>0</v>
      </c>
      <c r="AC332" s="6">
        <f>$M$332*$W$332</f>
        <v>422.09937000000002</v>
      </c>
      <c r="AD332" s="6">
        <f>$O$332*$X$332</f>
        <v>116.93738000000002</v>
      </c>
      <c r="AE332" s="6">
        <f>$K$332*$Y$332</f>
        <v>0</v>
      </c>
      <c r="AF332" s="6">
        <f ca="1">$M$332*$Z$332</f>
        <v>510.49304581429078</v>
      </c>
      <c r="AG332" s="6">
        <f>$O$332*$AA$332</f>
        <v>171.92051728584784</v>
      </c>
    </row>
    <row r="333" spans="1:33" ht="11.25" customHeight="1" x14ac:dyDescent="0.3">
      <c r="A333" s="4" t="s">
        <v>21</v>
      </c>
      <c r="B333" s="4" t="s">
        <v>43</v>
      </c>
      <c r="C333" s="4" t="s">
        <v>23</v>
      </c>
      <c r="D333" s="4" t="s">
        <v>44</v>
      </c>
      <c r="E333" s="4" t="s">
        <v>25</v>
      </c>
      <c r="F333" s="4" t="s">
        <v>25</v>
      </c>
      <c r="G333" s="4" t="s">
        <v>25</v>
      </c>
      <c r="H333" s="4" t="s">
        <v>25</v>
      </c>
      <c r="I333" s="5">
        <v>44501</v>
      </c>
      <c r="J333" s="6">
        <v>0</v>
      </c>
      <c r="K333" s="6">
        <v>0</v>
      </c>
      <c r="L333" s="6">
        <v>38.409999999999997</v>
      </c>
      <c r="M333" s="6">
        <v>38.409999999999997</v>
      </c>
      <c r="N333" s="6">
        <v>38.409999999999997</v>
      </c>
      <c r="O333" s="6">
        <v>38.409999999999997</v>
      </c>
      <c r="P333" s="6">
        <v>147</v>
      </c>
      <c r="Q333" s="4" t="s">
        <v>26</v>
      </c>
      <c r="R333" s="4">
        <v>0</v>
      </c>
      <c r="S333" s="6">
        <v>0</v>
      </c>
      <c r="T333" s="6">
        <v>57</v>
      </c>
      <c r="U333" s="6">
        <v>31</v>
      </c>
      <c r="V333" s="6">
        <f>IF(ISERROR(VLOOKUP($S$333,'TAR FIN'!$A$1:$O$85,15,0)),0,VLOOKUP($S$333,'TAR FIN'!$A$1:$O$85,15,0))</f>
        <v>0</v>
      </c>
      <c r="W333" s="6">
        <f>IF(ISERROR(VLOOKUP($T$333,'TAR FIN'!$A$1:$O$85,15,0)),0,VLOOKUP($T$333,'TAR FIN'!$A$1:$O$85,15,0))</f>
        <v>763.29</v>
      </c>
      <c r="X333" s="6">
        <f>IF(ISERROR(VLOOKUP($U$333,'TAR FIN'!$A$1:$O$85,15,0)),0,VLOOKUP($U$333,'TAR FIN'!$A$1:$O$85,15,0))</f>
        <v>211.46</v>
      </c>
      <c r="Y333" s="6"/>
      <c r="Z333" s="6">
        <f ca="1">('TUSD BE'!$AM$33+'TUSD BF'!$AM$33+'TUSD CVA'!$AM$33)*(1-CUSTOS!$M$38)</f>
        <v>923.13389839835577</v>
      </c>
      <c r="AA333" s="6">
        <f>('TE BE'!$AA$24+'TE BF'!$AA$24+'TE CVA'!$AA$24)*(1-CUSTOS!$M$38)</f>
        <v>310.8870113668134</v>
      </c>
      <c r="AB333" s="6">
        <f>$K$333*$V$333</f>
        <v>0</v>
      </c>
      <c r="AC333" s="6">
        <f>$M$333*$W$333</f>
        <v>29317.968899999996</v>
      </c>
      <c r="AD333" s="6">
        <f>$O$333*$X$333</f>
        <v>8122.1785999999993</v>
      </c>
      <c r="AE333" s="6">
        <f>$K$333*$Y$333</f>
        <v>0</v>
      </c>
      <c r="AF333" s="6">
        <f ca="1">$M$333*$Z$333</f>
        <v>35457.573037480841</v>
      </c>
      <c r="AG333" s="6">
        <f>$O$333*$AA$333</f>
        <v>11941.170106599302</v>
      </c>
    </row>
    <row r="334" spans="1:33" ht="11.25" customHeight="1" x14ac:dyDescent="0.3">
      <c r="A334" s="4" t="s">
        <v>28</v>
      </c>
      <c r="B334" s="4" t="s">
        <v>43</v>
      </c>
      <c r="C334" s="4" t="s">
        <v>23</v>
      </c>
      <c r="D334" s="4" t="s">
        <v>44</v>
      </c>
      <c r="E334" s="4" t="s">
        <v>25</v>
      </c>
      <c r="F334" s="4" t="s">
        <v>25</v>
      </c>
      <c r="G334" s="4" t="s">
        <v>25</v>
      </c>
      <c r="H334" s="4" t="s">
        <v>25</v>
      </c>
      <c r="I334" s="5">
        <v>44501</v>
      </c>
      <c r="J334" s="6">
        <v>0</v>
      </c>
      <c r="K334" s="6">
        <v>0</v>
      </c>
      <c r="L334" s="6">
        <v>0.52</v>
      </c>
      <c r="M334" s="6">
        <v>0.52</v>
      </c>
      <c r="N334" s="6">
        <v>0.52</v>
      </c>
      <c r="O334" s="6">
        <v>0.52</v>
      </c>
      <c r="P334" s="6">
        <v>5</v>
      </c>
      <c r="Q334" s="4" t="s">
        <v>26</v>
      </c>
      <c r="R334" s="4">
        <v>0</v>
      </c>
      <c r="S334" s="6">
        <v>0</v>
      </c>
      <c r="T334" s="6">
        <v>57</v>
      </c>
      <c r="U334" s="6">
        <v>31</v>
      </c>
      <c r="V334" s="6">
        <f>IF(ISERROR(VLOOKUP($S$334,'TAR FIN'!$A$1:$O$85,15,0)),0,VLOOKUP($S$334,'TAR FIN'!$A$1:$O$85,15,0))</f>
        <v>0</v>
      </c>
      <c r="W334" s="6">
        <f>IF(ISERROR(VLOOKUP($T$334,'TAR FIN'!$A$1:$O$85,15,0)),0,VLOOKUP($T$334,'TAR FIN'!$A$1:$O$85,15,0))</f>
        <v>763.29</v>
      </c>
      <c r="X334" s="6">
        <f>IF(ISERROR(VLOOKUP($U$334,'TAR FIN'!$A$1:$O$85,15,0)),0,VLOOKUP($U$334,'TAR FIN'!$A$1:$O$85,15,0))</f>
        <v>211.46</v>
      </c>
      <c r="Y334" s="6"/>
      <c r="Z334" s="6">
        <f ca="1">('TUSD BE'!$AM$33+'TUSD BF'!$AM$33+'TUSD CVA'!$AM$33)*(1-CUSTOS!$M$38)</f>
        <v>923.13389839835577</v>
      </c>
      <c r="AA334" s="6">
        <f>('TE BE'!$AA$24+'TE BF'!$AA$24+'TE CVA'!$AA$24)*(1-CUSTOS!$M$38)</f>
        <v>310.8870113668134</v>
      </c>
      <c r="AB334" s="6">
        <f>$K$334*$V$334</f>
        <v>0</v>
      </c>
      <c r="AC334" s="6">
        <f>$M$334*$W$334</f>
        <v>396.91079999999999</v>
      </c>
      <c r="AD334" s="6">
        <f>$O$334*$X$334</f>
        <v>109.95920000000001</v>
      </c>
      <c r="AE334" s="6">
        <f>$K$334*$Y$334</f>
        <v>0</v>
      </c>
      <c r="AF334" s="6">
        <f ca="1">$M$334*$Z$334</f>
        <v>480.02962716714501</v>
      </c>
      <c r="AG334" s="6">
        <f>$O$334*$AA$334</f>
        <v>161.66124591074296</v>
      </c>
    </row>
    <row r="335" spans="1:33" ht="11.25" customHeight="1" x14ac:dyDescent="0.3">
      <c r="A335" s="4" t="s">
        <v>21</v>
      </c>
      <c r="B335" s="4" t="s">
        <v>43</v>
      </c>
      <c r="C335" s="4" t="s">
        <v>23</v>
      </c>
      <c r="D335" s="4" t="s">
        <v>44</v>
      </c>
      <c r="E335" s="4" t="s">
        <v>25</v>
      </c>
      <c r="F335" s="4" t="s">
        <v>25</v>
      </c>
      <c r="G335" s="4" t="s">
        <v>25</v>
      </c>
      <c r="H335" s="4" t="s">
        <v>25</v>
      </c>
      <c r="I335" s="5">
        <v>44531</v>
      </c>
      <c r="J335" s="6">
        <v>0</v>
      </c>
      <c r="K335" s="6">
        <v>0</v>
      </c>
      <c r="L335" s="6">
        <v>38.148000000000003</v>
      </c>
      <c r="M335" s="6">
        <v>38.148000000000003</v>
      </c>
      <c r="N335" s="6">
        <v>38.148000000000003</v>
      </c>
      <c r="O335" s="6">
        <v>38.148000000000003</v>
      </c>
      <c r="P335" s="6">
        <v>145</v>
      </c>
      <c r="Q335" s="4" t="s">
        <v>26</v>
      </c>
      <c r="R335" s="4">
        <v>0</v>
      </c>
      <c r="S335" s="6">
        <v>0</v>
      </c>
      <c r="T335" s="6">
        <v>57</v>
      </c>
      <c r="U335" s="6">
        <v>31</v>
      </c>
      <c r="V335" s="6">
        <f>IF(ISERROR(VLOOKUP($S$335,'TAR FIN'!$A$1:$O$85,15,0)),0,VLOOKUP($S$335,'TAR FIN'!$A$1:$O$85,15,0))</f>
        <v>0</v>
      </c>
      <c r="W335" s="6">
        <f>IF(ISERROR(VLOOKUP($T$335,'TAR FIN'!$A$1:$O$85,15,0)),0,VLOOKUP($T$335,'TAR FIN'!$A$1:$O$85,15,0))</f>
        <v>763.29</v>
      </c>
      <c r="X335" s="6">
        <f>IF(ISERROR(VLOOKUP($U$335,'TAR FIN'!$A$1:$O$85,15,0)),0,VLOOKUP($U$335,'TAR FIN'!$A$1:$O$85,15,0))</f>
        <v>211.46</v>
      </c>
      <c r="Y335" s="6"/>
      <c r="Z335" s="6">
        <f ca="1">('TUSD BE'!$AM$33+'TUSD BF'!$AM$33+'TUSD CVA'!$AM$33)*(1-CUSTOS!$M$38)</f>
        <v>923.13389839835577</v>
      </c>
      <c r="AA335" s="6">
        <f>('TE BE'!$AA$24+'TE BF'!$AA$24+'TE CVA'!$AA$24)*(1-CUSTOS!$M$38)</f>
        <v>310.8870113668134</v>
      </c>
      <c r="AB335" s="6">
        <f>$K$335*$V$335</f>
        <v>0</v>
      </c>
      <c r="AC335" s="6">
        <f>$M$335*$W$335</f>
        <v>29117.986919999999</v>
      </c>
      <c r="AD335" s="6">
        <f>$O$335*$X$335</f>
        <v>8066.7760800000005</v>
      </c>
      <c r="AE335" s="6">
        <f>$K$335*$Y$335</f>
        <v>0</v>
      </c>
      <c r="AF335" s="6">
        <f ca="1">$M$335*$Z$335</f>
        <v>35215.71195610048</v>
      </c>
      <c r="AG335" s="6">
        <f>$O$335*$AA$335</f>
        <v>11859.717709621198</v>
      </c>
    </row>
    <row r="336" spans="1:33" ht="11.25" customHeight="1" x14ac:dyDescent="0.3">
      <c r="A336" s="4" t="s">
        <v>28</v>
      </c>
      <c r="B336" s="4" t="s">
        <v>43</v>
      </c>
      <c r="C336" s="4" t="s">
        <v>23</v>
      </c>
      <c r="D336" s="4" t="s">
        <v>44</v>
      </c>
      <c r="E336" s="4" t="s">
        <v>25</v>
      </c>
      <c r="F336" s="4" t="s">
        <v>25</v>
      </c>
      <c r="G336" s="4" t="s">
        <v>25</v>
      </c>
      <c r="H336" s="4" t="s">
        <v>25</v>
      </c>
      <c r="I336" s="5">
        <v>44531</v>
      </c>
      <c r="J336" s="6">
        <v>0</v>
      </c>
      <c r="K336" s="6">
        <v>0</v>
      </c>
      <c r="L336" s="6">
        <v>3.2010000000000001</v>
      </c>
      <c r="M336" s="6">
        <v>3.2010000000000001</v>
      </c>
      <c r="N336" s="6">
        <v>3.2010000000000001</v>
      </c>
      <c r="O336" s="6">
        <v>3.2010000000000001</v>
      </c>
      <c r="P336" s="6">
        <v>7</v>
      </c>
      <c r="Q336" s="4" t="s">
        <v>26</v>
      </c>
      <c r="R336" s="4">
        <v>0</v>
      </c>
      <c r="S336" s="6">
        <v>0</v>
      </c>
      <c r="T336" s="6">
        <v>57</v>
      </c>
      <c r="U336" s="6">
        <v>31</v>
      </c>
      <c r="V336" s="6">
        <f>IF(ISERROR(VLOOKUP($S$336,'TAR FIN'!$A$1:$O$85,15,0)),0,VLOOKUP($S$336,'TAR FIN'!$A$1:$O$85,15,0))</f>
        <v>0</v>
      </c>
      <c r="W336" s="6">
        <f>IF(ISERROR(VLOOKUP($T$336,'TAR FIN'!$A$1:$O$85,15,0)),0,VLOOKUP($T$336,'TAR FIN'!$A$1:$O$85,15,0))</f>
        <v>763.29</v>
      </c>
      <c r="X336" s="6">
        <f>IF(ISERROR(VLOOKUP($U$336,'TAR FIN'!$A$1:$O$85,15,0)),0,VLOOKUP($U$336,'TAR FIN'!$A$1:$O$85,15,0))</f>
        <v>211.46</v>
      </c>
      <c r="Y336" s="6"/>
      <c r="Z336" s="6">
        <f ca="1">('TUSD BE'!$AM$33+'TUSD BF'!$AM$33+'TUSD CVA'!$AM$33)*(1-CUSTOS!$M$38)</f>
        <v>923.13389839835577</v>
      </c>
      <c r="AA336" s="6">
        <f>('TE BE'!$AA$24+'TE BF'!$AA$24+'TE CVA'!$AA$24)*(1-CUSTOS!$M$38)</f>
        <v>310.8870113668134</v>
      </c>
      <c r="AB336" s="6">
        <f>$K$336*$V$336</f>
        <v>0</v>
      </c>
      <c r="AC336" s="6">
        <f>$M$336*$W$336</f>
        <v>2443.2912900000001</v>
      </c>
      <c r="AD336" s="6">
        <f>$O$336*$X$336</f>
        <v>676.88346000000001</v>
      </c>
      <c r="AE336" s="6">
        <f>$K$336*$Y$336</f>
        <v>0</v>
      </c>
      <c r="AF336" s="6">
        <f ca="1">$M$336*$Z$336</f>
        <v>2954.9516087731367</v>
      </c>
      <c r="AG336" s="6">
        <f>$O$336*$AA$336</f>
        <v>995.14932338516974</v>
      </c>
    </row>
    <row r="337" spans="1:33" ht="11.25" customHeight="1" x14ac:dyDescent="0.3">
      <c r="A337" s="4" t="s">
        <v>21</v>
      </c>
      <c r="B337" s="4" t="s">
        <v>43</v>
      </c>
      <c r="C337" s="4" t="s">
        <v>23</v>
      </c>
      <c r="D337" s="4" t="s">
        <v>44</v>
      </c>
      <c r="E337" s="4" t="s">
        <v>25</v>
      </c>
      <c r="F337" s="4" t="s">
        <v>25</v>
      </c>
      <c r="G337" s="4" t="s">
        <v>25</v>
      </c>
      <c r="H337" s="4" t="s">
        <v>25</v>
      </c>
      <c r="I337" s="5">
        <v>44562</v>
      </c>
      <c r="J337" s="6">
        <v>0</v>
      </c>
      <c r="K337" s="6">
        <v>0</v>
      </c>
      <c r="L337" s="6">
        <v>41.704999999999998</v>
      </c>
      <c r="M337" s="6">
        <v>41.704999999999998</v>
      </c>
      <c r="N337" s="6">
        <v>41.704999999999998</v>
      </c>
      <c r="O337" s="6">
        <v>41.704999999999998</v>
      </c>
      <c r="P337" s="6">
        <v>142</v>
      </c>
      <c r="Q337" s="4" t="s">
        <v>26</v>
      </c>
      <c r="R337" s="4">
        <v>0</v>
      </c>
      <c r="S337" s="6">
        <v>0</v>
      </c>
      <c r="T337" s="6">
        <v>57</v>
      </c>
      <c r="U337" s="6">
        <v>31</v>
      </c>
      <c r="V337" s="6">
        <f>IF(ISERROR(VLOOKUP($S$337,'TAR FIN'!$A$1:$O$85,15,0)),0,VLOOKUP($S$337,'TAR FIN'!$A$1:$O$85,15,0))</f>
        <v>0</v>
      </c>
      <c r="W337" s="6">
        <f>IF(ISERROR(VLOOKUP($T$337,'TAR FIN'!$A$1:$O$85,15,0)),0,VLOOKUP($T$337,'TAR FIN'!$A$1:$O$85,15,0))</f>
        <v>763.29</v>
      </c>
      <c r="X337" s="6">
        <f>IF(ISERROR(VLOOKUP($U$337,'TAR FIN'!$A$1:$O$85,15,0)),0,VLOOKUP($U$337,'TAR FIN'!$A$1:$O$85,15,0))</f>
        <v>211.46</v>
      </c>
      <c r="Y337" s="6"/>
      <c r="Z337" s="6">
        <f ca="1">('TUSD BE'!$AM$33+'TUSD BF'!$AM$33+'TUSD CVA'!$AM$33)*(1-CUSTOS!$M$38)</f>
        <v>923.13389839835577</v>
      </c>
      <c r="AA337" s="6">
        <f>('TE BE'!$AA$24+'TE BF'!$AA$24+'TE CVA'!$AA$24)*(1-CUSTOS!$M$38)</f>
        <v>310.8870113668134</v>
      </c>
      <c r="AB337" s="6">
        <f>$K$337*$V$337</f>
        <v>0</v>
      </c>
      <c r="AC337" s="6">
        <f>$M$337*$W$337</f>
        <v>31833.009449999998</v>
      </c>
      <c r="AD337" s="6">
        <f>$O$337*$X$337</f>
        <v>8818.9393</v>
      </c>
      <c r="AE337" s="6">
        <f>$K$337*$Y$337</f>
        <v>0</v>
      </c>
      <c r="AF337" s="6">
        <f ca="1">$M$337*$Z$337</f>
        <v>38499.299232703423</v>
      </c>
      <c r="AG337" s="6">
        <f>$O$337*$AA$337</f>
        <v>12965.542809052953</v>
      </c>
    </row>
    <row r="338" spans="1:33" ht="11.25" customHeight="1" x14ac:dyDescent="0.3">
      <c r="A338" s="4" t="s">
        <v>28</v>
      </c>
      <c r="B338" s="4" t="s">
        <v>43</v>
      </c>
      <c r="C338" s="4" t="s">
        <v>23</v>
      </c>
      <c r="D338" s="4" t="s">
        <v>44</v>
      </c>
      <c r="E338" s="4" t="s">
        <v>25</v>
      </c>
      <c r="F338" s="4" t="s">
        <v>25</v>
      </c>
      <c r="G338" s="4" t="s">
        <v>25</v>
      </c>
      <c r="H338" s="4" t="s">
        <v>25</v>
      </c>
      <c r="I338" s="5">
        <v>44562</v>
      </c>
      <c r="J338" s="6">
        <v>0</v>
      </c>
      <c r="K338" s="6">
        <v>0</v>
      </c>
      <c r="L338" s="6">
        <v>2.4119999999999999</v>
      </c>
      <c r="M338" s="6">
        <v>2.4119999999999999</v>
      </c>
      <c r="N338" s="6">
        <v>2.4119999999999999</v>
      </c>
      <c r="O338" s="6">
        <v>2.4119999999999999</v>
      </c>
      <c r="P338" s="6">
        <v>7</v>
      </c>
      <c r="Q338" s="4" t="s">
        <v>26</v>
      </c>
      <c r="R338" s="4">
        <v>0</v>
      </c>
      <c r="S338" s="6">
        <v>0</v>
      </c>
      <c r="T338" s="6">
        <v>57</v>
      </c>
      <c r="U338" s="6">
        <v>31</v>
      </c>
      <c r="V338" s="6">
        <f>IF(ISERROR(VLOOKUP($S$338,'TAR FIN'!$A$1:$O$85,15,0)),0,VLOOKUP($S$338,'TAR FIN'!$A$1:$O$85,15,0))</f>
        <v>0</v>
      </c>
      <c r="W338" s="6">
        <f>IF(ISERROR(VLOOKUP($T$338,'TAR FIN'!$A$1:$O$85,15,0)),0,VLOOKUP($T$338,'TAR FIN'!$A$1:$O$85,15,0))</f>
        <v>763.29</v>
      </c>
      <c r="X338" s="6">
        <f>IF(ISERROR(VLOOKUP($U$338,'TAR FIN'!$A$1:$O$85,15,0)),0,VLOOKUP($U$338,'TAR FIN'!$A$1:$O$85,15,0))</f>
        <v>211.46</v>
      </c>
      <c r="Y338" s="6"/>
      <c r="Z338" s="6">
        <f ca="1">('TUSD BE'!$AM$33+'TUSD BF'!$AM$33+'TUSD CVA'!$AM$33)*(1-CUSTOS!$M$38)</f>
        <v>923.13389839835577</v>
      </c>
      <c r="AA338" s="6">
        <f>('TE BE'!$AA$24+'TE BF'!$AA$24+'TE CVA'!$AA$24)*(1-CUSTOS!$M$38)</f>
        <v>310.8870113668134</v>
      </c>
      <c r="AB338" s="6">
        <f>$K$338*$V$338</f>
        <v>0</v>
      </c>
      <c r="AC338" s="6">
        <f>$M$338*$W$338</f>
        <v>1841.0554799999998</v>
      </c>
      <c r="AD338" s="6">
        <f>$O$338*$X$338</f>
        <v>510.04151999999999</v>
      </c>
      <c r="AE338" s="6">
        <f>$K$338*$Y$338</f>
        <v>0</v>
      </c>
      <c r="AF338" s="6">
        <f ca="1">$M$338*$Z$338</f>
        <v>2226.5989629368341</v>
      </c>
      <c r="AG338" s="6">
        <f>$O$338*$AA$338</f>
        <v>749.85947141675388</v>
      </c>
    </row>
    <row r="339" spans="1:33" ht="11.25" customHeight="1" x14ac:dyDescent="0.3">
      <c r="A339" s="4" t="s">
        <v>21</v>
      </c>
      <c r="B339" s="4" t="s">
        <v>43</v>
      </c>
      <c r="C339" s="4" t="s">
        <v>23</v>
      </c>
      <c r="D339" s="4" t="s">
        <v>44</v>
      </c>
      <c r="E339" s="4" t="s">
        <v>25</v>
      </c>
      <c r="F339" s="4" t="s">
        <v>25</v>
      </c>
      <c r="G339" s="4" t="s">
        <v>25</v>
      </c>
      <c r="H339" s="4" t="s">
        <v>25</v>
      </c>
      <c r="I339" s="5">
        <v>44593</v>
      </c>
      <c r="J339" s="6">
        <v>0</v>
      </c>
      <c r="K339" s="6">
        <v>0</v>
      </c>
      <c r="L339" s="6">
        <v>42.475000000000001</v>
      </c>
      <c r="M339" s="6">
        <v>42.475000000000001</v>
      </c>
      <c r="N339" s="6">
        <v>42.475000000000001</v>
      </c>
      <c r="O339" s="6">
        <v>42.475000000000001</v>
      </c>
      <c r="P339" s="6">
        <v>142</v>
      </c>
      <c r="Q339" s="4" t="s">
        <v>26</v>
      </c>
      <c r="R339" s="4">
        <v>0</v>
      </c>
      <c r="S339" s="6">
        <v>0</v>
      </c>
      <c r="T339" s="6">
        <v>57</v>
      </c>
      <c r="U339" s="6">
        <v>31</v>
      </c>
      <c r="V339" s="6">
        <f>IF(ISERROR(VLOOKUP($S$339,'TAR FIN'!$A$1:$O$85,15,0)),0,VLOOKUP($S$339,'TAR FIN'!$A$1:$O$85,15,0))</f>
        <v>0</v>
      </c>
      <c r="W339" s="6">
        <f>IF(ISERROR(VLOOKUP($T$339,'TAR FIN'!$A$1:$O$85,15,0)),0,VLOOKUP($T$339,'TAR FIN'!$A$1:$O$85,15,0))</f>
        <v>763.29</v>
      </c>
      <c r="X339" s="6">
        <f>IF(ISERROR(VLOOKUP($U$339,'TAR FIN'!$A$1:$O$85,15,0)),0,VLOOKUP($U$339,'TAR FIN'!$A$1:$O$85,15,0))</f>
        <v>211.46</v>
      </c>
      <c r="Y339" s="6"/>
      <c r="Z339" s="6">
        <f ca="1">('TUSD BE'!$AM$33+'TUSD BF'!$AM$33+'TUSD CVA'!$AM$33)*(1-CUSTOS!$M$38)</f>
        <v>923.13389839835577</v>
      </c>
      <c r="AA339" s="6">
        <f>('TE BE'!$AA$24+'TE BF'!$AA$24+'TE CVA'!$AA$24)*(1-CUSTOS!$M$38)</f>
        <v>310.8870113668134</v>
      </c>
      <c r="AB339" s="6">
        <f>$K$339*$V$339</f>
        <v>0</v>
      </c>
      <c r="AC339" s="6">
        <f>$M$339*$W$339</f>
        <v>32420.742750000001</v>
      </c>
      <c r="AD339" s="6">
        <f>$O$339*$X$339</f>
        <v>8981.7635000000009</v>
      </c>
      <c r="AE339" s="6">
        <f>$K$339*$Y$339</f>
        <v>0</v>
      </c>
      <c r="AF339" s="6">
        <f ca="1">$M$339*$Z$339</f>
        <v>39210.112334470163</v>
      </c>
      <c r="AG339" s="6">
        <f>$O$339*$AA$339</f>
        <v>13204.925807805399</v>
      </c>
    </row>
    <row r="340" spans="1:33" ht="11.25" customHeight="1" x14ac:dyDescent="0.3">
      <c r="A340" s="4" t="s">
        <v>28</v>
      </c>
      <c r="B340" s="4" t="s">
        <v>43</v>
      </c>
      <c r="C340" s="4" t="s">
        <v>23</v>
      </c>
      <c r="D340" s="4" t="s">
        <v>44</v>
      </c>
      <c r="E340" s="4" t="s">
        <v>25</v>
      </c>
      <c r="F340" s="4" t="s">
        <v>25</v>
      </c>
      <c r="G340" s="4" t="s">
        <v>25</v>
      </c>
      <c r="H340" s="4" t="s">
        <v>25</v>
      </c>
      <c r="I340" s="5">
        <v>44593</v>
      </c>
      <c r="J340" s="6">
        <v>0</v>
      </c>
      <c r="K340" s="6">
        <v>0</v>
      </c>
      <c r="L340" s="6">
        <v>1.849</v>
      </c>
      <c r="M340" s="6">
        <v>1.849</v>
      </c>
      <c r="N340" s="6">
        <v>1.849</v>
      </c>
      <c r="O340" s="6">
        <v>1.849</v>
      </c>
      <c r="P340" s="6">
        <v>7</v>
      </c>
      <c r="Q340" s="4" t="s">
        <v>26</v>
      </c>
      <c r="R340" s="4">
        <v>0</v>
      </c>
      <c r="S340" s="6">
        <v>0</v>
      </c>
      <c r="T340" s="6">
        <v>57</v>
      </c>
      <c r="U340" s="6">
        <v>31</v>
      </c>
      <c r="V340" s="6">
        <f>IF(ISERROR(VLOOKUP($S$340,'TAR FIN'!$A$1:$O$85,15,0)),0,VLOOKUP($S$340,'TAR FIN'!$A$1:$O$85,15,0))</f>
        <v>0</v>
      </c>
      <c r="W340" s="6">
        <f>IF(ISERROR(VLOOKUP($T$340,'TAR FIN'!$A$1:$O$85,15,0)),0,VLOOKUP($T$340,'TAR FIN'!$A$1:$O$85,15,0))</f>
        <v>763.29</v>
      </c>
      <c r="X340" s="6">
        <f>IF(ISERROR(VLOOKUP($U$340,'TAR FIN'!$A$1:$O$85,15,0)),0,VLOOKUP($U$340,'TAR FIN'!$A$1:$O$85,15,0))</f>
        <v>211.46</v>
      </c>
      <c r="Y340" s="6"/>
      <c r="Z340" s="6">
        <f ca="1">('TUSD BE'!$AM$33+'TUSD BF'!$AM$33+'TUSD CVA'!$AM$33)*(1-CUSTOS!$M$38)</f>
        <v>923.13389839835577</v>
      </c>
      <c r="AA340" s="6">
        <f>('TE BE'!$AA$24+'TE BF'!$AA$24+'TE CVA'!$AA$24)*(1-CUSTOS!$M$38)</f>
        <v>310.8870113668134</v>
      </c>
      <c r="AB340" s="6">
        <f>$K$340*$V$340</f>
        <v>0</v>
      </c>
      <c r="AC340" s="6">
        <f>$M$340*$W$340</f>
        <v>1411.32321</v>
      </c>
      <c r="AD340" s="6">
        <f>$O$340*$X$340</f>
        <v>390.98954000000003</v>
      </c>
      <c r="AE340" s="6">
        <f>$K$340*$Y$340</f>
        <v>0</v>
      </c>
      <c r="AF340" s="6">
        <f ca="1">$M$340*$Z$340</f>
        <v>1706.8745781385599</v>
      </c>
      <c r="AG340" s="6">
        <f>$O$340*$AA$340</f>
        <v>574.83008401723794</v>
      </c>
    </row>
    <row r="341" spans="1:33" ht="11.25" customHeight="1" x14ac:dyDescent="0.3">
      <c r="A341" s="4" t="s">
        <v>21</v>
      </c>
      <c r="B341" s="4" t="s">
        <v>43</v>
      </c>
      <c r="C341" s="4" t="s">
        <v>23</v>
      </c>
      <c r="D341" s="4" t="s">
        <v>44</v>
      </c>
      <c r="E341" s="4" t="s">
        <v>25</v>
      </c>
      <c r="F341" s="4" t="s">
        <v>25</v>
      </c>
      <c r="G341" s="4" t="s">
        <v>25</v>
      </c>
      <c r="H341" s="4" t="s">
        <v>25</v>
      </c>
      <c r="I341" s="5">
        <v>44621</v>
      </c>
      <c r="J341" s="6">
        <v>0</v>
      </c>
      <c r="K341" s="6">
        <v>0</v>
      </c>
      <c r="L341" s="6">
        <v>41.295000000000002</v>
      </c>
      <c r="M341" s="6">
        <v>41.295000000000002</v>
      </c>
      <c r="N341" s="6">
        <v>41.295000000000002</v>
      </c>
      <c r="O341" s="6">
        <v>41.295000000000002</v>
      </c>
      <c r="P341" s="6">
        <v>142</v>
      </c>
      <c r="Q341" s="4" t="s">
        <v>26</v>
      </c>
      <c r="R341" s="4">
        <v>0</v>
      </c>
      <c r="S341" s="6">
        <v>0</v>
      </c>
      <c r="T341" s="6">
        <v>57</v>
      </c>
      <c r="U341" s="6">
        <v>31</v>
      </c>
      <c r="V341" s="6">
        <f>IF(ISERROR(VLOOKUP($S$341,'TAR FIN'!$A$1:$O$85,15,0)),0,VLOOKUP($S$341,'TAR FIN'!$A$1:$O$85,15,0))</f>
        <v>0</v>
      </c>
      <c r="W341" s="6">
        <f>IF(ISERROR(VLOOKUP($T$341,'TAR FIN'!$A$1:$O$85,15,0)),0,VLOOKUP($T$341,'TAR FIN'!$A$1:$O$85,15,0))</f>
        <v>763.29</v>
      </c>
      <c r="X341" s="6">
        <f>IF(ISERROR(VLOOKUP($U$341,'TAR FIN'!$A$1:$O$85,15,0)),0,VLOOKUP($U$341,'TAR FIN'!$A$1:$O$85,15,0))</f>
        <v>211.46</v>
      </c>
      <c r="Y341" s="6"/>
      <c r="Z341" s="6">
        <f ca="1">('TUSD BE'!$AM$33+'TUSD BF'!$AM$33+'TUSD CVA'!$AM$33)*(1-CUSTOS!$M$38)</f>
        <v>923.13389839835577</v>
      </c>
      <c r="AA341" s="6">
        <f>('TE BE'!$AA$24+'TE BF'!$AA$24+'TE CVA'!$AA$24)*(1-CUSTOS!$M$38)</f>
        <v>310.8870113668134</v>
      </c>
      <c r="AB341" s="6">
        <f>$K$341*$V$341</f>
        <v>0</v>
      </c>
      <c r="AC341" s="6">
        <f>$M$341*$W$341</f>
        <v>31520.060549999998</v>
      </c>
      <c r="AD341" s="6">
        <f>$O$341*$X$341</f>
        <v>8732.2407000000003</v>
      </c>
      <c r="AE341" s="6">
        <f>$K$341*$Y$341</f>
        <v>0</v>
      </c>
      <c r="AF341" s="6">
        <f ca="1">$M$341*$Z$341</f>
        <v>38120.814334360104</v>
      </c>
      <c r="AG341" s="6">
        <f>$O$341*$AA$341</f>
        <v>12838.079134392559</v>
      </c>
    </row>
    <row r="342" spans="1:33" ht="11.25" customHeight="1" x14ac:dyDescent="0.3">
      <c r="A342" s="4" t="s">
        <v>28</v>
      </c>
      <c r="B342" s="4" t="s">
        <v>43</v>
      </c>
      <c r="C342" s="4" t="s">
        <v>23</v>
      </c>
      <c r="D342" s="4" t="s">
        <v>44</v>
      </c>
      <c r="E342" s="4" t="s">
        <v>25</v>
      </c>
      <c r="F342" s="4" t="s">
        <v>25</v>
      </c>
      <c r="G342" s="4" t="s">
        <v>25</v>
      </c>
      <c r="H342" s="4" t="s">
        <v>25</v>
      </c>
      <c r="I342" s="5">
        <v>44621</v>
      </c>
      <c r="J342" s="6">
        <v>0</v>
      </c>
      <c r="K342" s="6">
        <v>0</v>
      </c>
      <c r="L342" s="6">
        <v>1.4870000000000001</v>
      </c>
      <c r="M342" s="6">
        <v>1.4870000000000001</v>
      </c>
      <c r="N342" s="6">
        <v>1.4870000000000001</v>
      </c>
      <c r="O342" s="6">
        <v>1.4870000000000001</v>
      </c>
      <c r="P342" s="6">
        <v>7</v>
      </c>
      <c r="Q342" s="4" t="s">
        <v>26</v>
      </c>
      <c r="R342" s="4">
        <v>0</v>
      </c>
      <c r="S342" s="6">
        <v>0</v>
      </c>
      <c r="T342" s="6">
        <v>57</v>
      </c>
      <c r="U342" s="6">
        <v>31</v>
      </c>
      <c r="V342" s="6">
        <f>IF(ISERROR(VLOOKUP($S$342,'TAR FIN'!$A$1:$O$85,15,0)),0,VLOOKUP($S$342,'TAR FIN'!$A$1:$O$85,15,0))</f>
        <v>0</v>
      </c>
      <c r="W342" s="6">
        <f>IF(ISERROR(VLOOKUP($T$342,'TAR FIN'!$A$1:$O$85,15,0)),0,VLOOKUP($T$342,'TAR FIN'!$A$1:$O$85,15,0))</f>
        <v>763.29</v>
      </c>
      <c r="X342" s="6">
        <f>IF(ISERROR(VLOOKUP($U$342,'TAR FIN'!$A$1:$O$85,15,0)),0,VLOOKUP($U$342,'TAR FIN'!$A$1:$O$85,15,0))</f>
        <v>211.46</v>
      </c>
      <c r="Y342" s="6"/>
      <c r="Z342" s="6">
        <f ca="1">('TUSD BE'!$AM$33+'TUSD BF'!$AM$33+'TUSD CVA'!$AM$33)*(1-CUSTOS!$M$38)</f>
        <v>923.13389839835577</v>
      </c>
      <c r="AA342" s="6">
        <f>('TE BE'!$AA$24+'TE BF'!$AA$24+'TE CVA'!$AA$24)*(1-CUSTOS!$M$38)</f>
        <v>310.8870113668134</v>
      </c>
      <c r="AB342" s="6">
        <f>$K$342*$V$342</f>
        <v>0</v>
      </c>
      <c r="AC342" s="6">
        <f>$M$342*$W$342</f>
        <v>1135.01223</v>
      </c>
      <c r="AD342" s="6">
        <f>$O$342*$X$342</f>
        <v>314.44102000000004</v>
      </c>
      <c r="AE342" s="6">
        <f>$K$342*$Y$342</f>
        <v>0</v>
      </c>
      <c r="AF342" s="6">
        <f ca="1">$M$342*$Z$342</f>
        <v>1372.7001069183552</v>
      </c>
      <c r="AG342" s="6">
        <f>$O$342*$AA$342</f>
        <v>462.28898590245154</v>
      </c>
    </row>
    <row r="343" spans="1:33" ht="11.25" customHeight="1" x14ac:dyDescent="0.3">
      <c r="A343" s="4" t="s">
        <v>21</v>
      </c>
      <c r="B343" s="4" t="s">
        <v>35</v>
      </c>
      <c r="C343" s="4" t="s">
        <v>33</v>
      </c>
      <c r="D343" s="4" t="s">
        <v>40</v>
      </c>
      <c r="E343" s="4" t="s">
        <v>25</v>
      </c>
      <c r="F343" s="4" t="s">
        <v>25</v>
      </c>
      <c r="G343" s="4" t="s">
        <v>25</v>
      </c>
      <c r="H343" s="4" t="s">
        <v>34</v>
      </c>
      <c r="I343" s="5">
        <v>44287</v>
      </c>
      <c r="J343" s="6">
        <v>0</v>
      </c>
      <c r="K343" s="6">
        <v>0</v>
      </c>
      <c r="L343" s="6">
        <v>0.22600000000000001</v>
      </c>
      <c r="M343" s="6">
        <v>0.22600000000000001</v>
      </c>
      <c r="N343" s="6">
        <v>0.22600000000000001</v>
      </c>
      <c r="O343" s="6">
        <v>0.22600000000000001</v>
      </c>
      <c r="P343" s="6">
        <v>0</v>
      </c>
      <c r="Q343" s="4" t="s">
        <v>26</v>
      </c>
      <c r="R343" s="4">
        <v>0</v>
      </c>
      <c r="S343" s="6">
        <v>0</v>
      </c>
      <c r="T343" s="6">
        <v>71</v>
      </c>
      <c r="U343" s="6">
        <v>45</v>
      </c>
      <c r="V343" s="6">
        <f>IF(ISERROR(VLOOKUP($S$343,'TAR FIN'!$A$1:$O$85,15,0)),0,VLOOKUP($S$343,'TAR FIN'!$A$1:$O$85,15,0))</f>
        <v>0</v>
      </c>
      <c r="W343" s="6">
        <f>IF(ISERROR(VLOOKUP($T$343,'TAR FIN'!$A$1:$O$85,15,0)),0,VLOOKUP($T$343,'TAR FIN'!$A$1:$O$85,15,0))</f>
        <v>578.25</v>
      </c>
      <c r="X343" s="6">
        <f>IF(ISERROR(VLOOKUP($U$343,'TAR FIN'!$A$1:$O$85,15,0)),0,VLOOKUP($U$343,'TAR FIN'!$A$1:$O$85,15,0))</f>
        <v>240.29</v>
      </c>
      <c r="Y343" s="6"/>
      <c r="Z343" s="6">
        <f ca="1">('TUSD BE'!$AM$47+'TUSD BF'!$AM$47+'TUSD CVA'!$AM$47)*1</f>
        <v>665.86577701395538</v>
      </c>
      <c r="AA343" s="6">
        <f>('TE BE'!$AA$38+'TE BF'!$AA$38+'TE CVA'!$AA$38)*1</f>
        <v>330.73086315618451</v>
      </c>
      <c r="AB343" s="6">
        <f>$K$343*$V$343</f>
        <v>0</v>
      </c>
      <c r="AC343" s="6">
        <f>$M$343*$W$343</f>
        <v>130.68450000000001</v>
      </c>
      <c r="AD343" s="6">
        <f>$O$343*$X$343</f>
        <v>54.305540000000001</v>
      </c>
      <c r="AE343" s="6">
        <f>$K$343*$Y$343</f>
        <v>0</v>
      </c>
      <c r="AF343" s="6">
        <f ca="1">$M$343*$Z$343</f>
        <v>150.48566560515391</v>
      </c>
      <c r="AG343" s="6">
        <f>$O$343*$AA$343</f>
        <v>74.745175073297702</v>
      </c>
    </row>
    <row r="344" spans="1:33" ht="11.25" customHeight="1" x14ac:dyDescent="0.3">
      <c r="A344" s="4" t="s">
        <v>21</v>
      </c>
      <c r="B344" s="4" t="s">
        <v>35</v>
      </c>
      <c r="C344" s="4" t="s">
        <v>33</v>
      </c>
      <c r="D344" s="4" t="s">
        <v>40</v>
      </c>
      <c r="E344" s="4" t="s">
        <v>25</v>
      </c>
      <c r="F344" s="4" t="s">
        <v>25</v>
      </c>
      <c r="G344" s="4" t="s">
        <v>25</v>
      </c>
      <c r="H344" s="4" t="s">
        <v>34</v>
      </c>
      <c r="I344" s="5">
        <v>44317</v>
      </c>
      <c r="J344" s="6">
        <v>0</v>
      </c>
      <c r="K344" s="6">
        <v>0</v>
      </c>
      <c r="L344" s="6">
        <v>0.23599999999999999</v>
      </c>
      <c r="M344" s="6">
        <v>0.23599999999999999</v>
      </c>
      <c r="N344" s="6">
        <v>0.23599999999999999</v>
      </c>
      <c r="O344" s="6">
        <v>0.23599999999999999</v>
      </c>
      <c r="P344" s="6">
        <v>0</v>
      </c>
      <c r="Q344" s="4" t="s">
        <v>26</v>
      </c>
      <c r="R344" s="4">
        <v>0</v>
      </c>
      <c r="S344" s="6">
        <v>0</v>
      </c>
      <c r="T344" s="6">
        <v>71</v>
      </c>
      <c r="U344" s="6">
        <v>45</v>
      </c>
      <c r="V344" s="6">
        <f>IF(ISERROR(VLOOKUP($S$344,'TAR FIN'!$A$1:$O$85,15,0)),0,VLOOKUP($S$344,'TAR FIN'!$A$1:$O$85,15,0))</f>
        <v>0</v>
      </c>
      <c r="W344" s="6">
        <f>IF(ISERROR(VLOOKUP($T$344,'TAR FIN'!$A$1:$O$85,15,0)),0,VLOOKUP($T$344,'TAR FIN'!$A$1:$O$85,15,0))</f>
        <v>578.25</v>
      </c>
      <c r="X344" s="6">
        <f>IF(ISERROR(VLOOKUP($U$344,'TAR FIN'!$A$1:$O$85,15,0)),0,VLOOKUP($U$344,'TAR FIN'!$A$1:$O$85,15,0))</f>
        <v>240.29</v>
      </c>
      <c r="Y344" s="6"/>
      <c r="Z344" s="6">
        <f ca="1">('TUSD BE'!$AM$47+'TUSD BF'!$AM$47+'TUSD CVA'!$AM$47)*1</f>
        <v>665.86577701395538</v>
      </c>
      <c r="AA344" s="6">
        <f>('TE BE'!$AA$38+'TE BF'!$AA$38+'TE CVA'!$AA$38)*1</f>
        <v>330.73086315618451</v>
      </c>
      <c r="AB344" s="6">
        <f>$K$344*$V$344</f>
        <v>0</v>
      </c>
      <c r="AC344" s="6">
        <f>$M$344*$W$344</f>
        <v>136.46699999999998</v>
      </c>
      <c r="AD344" s="6">
        <f>$O$344*$X$344</f>
        <v>56.708439999999996</v>
      </c>
      <c r="AE344" s="6">
        <f>$K$344*$Y$344</f>
        <v>0</v>
      </c>
      <c r="AF344" s="6">
        <f ca="1">$M$344*$Z$344</f>
        <v>157.14432337529345</v>
      </c>
      <c r="AG344" s="6">
        <f>$O$344*$AA$344</f>
        <v>78.05248370485954</v>
      </c>
    </row>
    <row r="345" spans="1:33" ht="11.25" customHeight="1" x14ac:dyDescent="0.3">
      <c r="A345" s="4" t="s">
        <v>21</v>
      </c>
      <c r="B345" s="4" t="s">
        <v>35</v>
      </c>
      <c r="C345" s="4" t="s">
        <v>33</v>
      </c>
      <c r="D345" s="4" t="s">
        <v>40</v>
      </c>
      <c r="E345" s="4" t="s">
        <v>25</v>
      </c>
      <c r="F345" s="4" t="s">
        <v>25</v>
      </c>
      <c r="G345" s="4" t="s">
        <v>25</v>
      </c>
      <c r="H345" s="4" t="s">
        <v>34</v>
      </c>
      <c r="I345" s="5">
        <v>44348</v>
      </c>
      <c r="J345" s="6">
        <v>0</v>
      </c>
      <c r="K345" s="6">
        <v>0</v>
      </c>
      <c r="L345" s="6">
        <v>0.35499999999999998</v>
      </c>
      <c r="M345" s="6">
        <v>0.35499999999999998</v>
      </c>
      <c r="N345" s="6">
        <v>0.35499999999999998</v>
      </c>
      <c r="O345" s="6">
        <v>0.35499999999999998</v>
      </c>
      <c r="P345" s="6">
        <v>0</v>
      </c>
      <c r="Q345" s="4" t="s">
        <v>26</v>
      </c>
      <c r="R345" s="4">
        <v>0</v>
      </c>
      <c r="S345" s="6">
        <v>0</v>
      </c>
      <c r="T345" s="6">
        <v>71</v>
      </c>
      <c r="U345" s="6">
        <v>45</v>
      </c>
      <c r="V345" s="6">
        <f>IF(ISERROR(VLOOKUP($S$345,'TAR FIN'!$A$1:$O$85,15,0)),0,VLOOKUP($S$345,'TAR FIN'!$A$1:$O$85,15,0))</f>
        <v>0</v>
      </c>
      <c r="W345" s="6">
        <f>IF(ISERROR(VLOOKUP($T$345,'TAR FIN'!$A$1:$O$85,15,0)),0,VLOOKUP($T$345,'TAR FIN'!$A$1:$O$85,15,0))</f>
        <v>578.25</v>
      </c>
      <c r="X345" s="6">
        <f>IF(ISERROR(VLOOKUP($U$345,'TAR FIN'!$A$1:$O$85,15,0)),0,VLOOKUP($U$345,'TAR FIN'!$A$1:$O$85,15,0))</f>
        <v>240.29</v>
      </c>
      <c r="Y345" s="6"/>
      <c r="Z345" s="6">
        <f ca="1">('TUSD BE'!$AM$47+'TUSD BF'!$AM$47+'TUSD CVA'!$AM$47)*1</f>
        <v>665.86577701395538</v>
      </c>
      <c r="AA345" s="6">
        <f>('TE BE'!$AA$38+'TE BF'!$AA$38+'TE CVA'!$AA$38)*1</f>
        <v>330.73086315618451</v>
      </c>
      <c r="AB345" s="6">
        <f>$K$345*$V$345</f>
        <v>0</v>
      </c>
      <c r="AC345" s="6">
        <f>$M$345*$W$345</f>
        <v>205.27875</v>
      </c>
      <c r="AD345" s="6">
        <f>$O$345*$X$345</f>
        <v>85.302949999999996</v>
      </c>
      <c r="AE345" s="6">
        <f>$K$345*$Y$345</f>
        <v>0</v>
      </c>
      <c r="AF345" s="6">
        <f ca="1">$M$345*$Z$345</f>
        <v>236.38235083995414</v>
      </c>
      <c r="AG345" s="6">
        <f>$O$345*$AA$345</f>
        <v>117.40945642044549</v>
      </c>
    </row>
    <row r="346" spans="1:33" ht="11.25" customHeight="1" x14ac:dyDescent="0.3">
      <c r="A346" s="4" t="s">
        <v>21</v>
      </c>
      <c r="B346" s="4" t="s">
        <v>35</v>
      </c>
      <c r="C346" s="4" t="s">
        <v>33</v>
      </c>
      <c r="D346" s="4" t="s">
        <v>40</v>
      </c>
      <c r="E346" s="4" t="s">
        <v>25</v>
      </c>
      <c r="F346" s="4" t="s">
        <v>25</v>
      </c>
      <c r="G346" s="4" t="s">
        <v>25</v>
      </c>
      <c r="H346" s="4" t="s">
        <v>34</v>
      </c>
      <c r="I346" s="5">
        <v>44378</v>
      </c>
      <c r="J346" s="6">
        <v>0</v>
      </c>
      <c r="K346" s="6">
        <v>0</v>
      </c>
      <c r="L346" s="6">
        <v>0.16</v>
      </c>
      <c r="M346" s="6">
        <v>0.16</v>
      </c>
      <c r="N346" s="6">
        <v>0.16</v>
      </c>
      <c r="O346" s="6">
        <v>0.16</v>
      </c>
      <c r="P346" s="6">
        <v>0</v>
      </c>
      <c r="Q346" s="4" t="s">
        <v>26</v>
      </c>
      <c r="R346" s="4">
        <v>0</v>
      </c>
      <c r="S346" s="6">
        <v>0</v>
      </c>
      <c r="T346" s="6">
        <v>71</v>
      </c>
      <c r="U346" s="6">
        <v>45</v>
      </c>
      <c r="V346" s="6">
        <f>IF(ISERROR(VLOOKUP($S$346,'TAR FIN'!$A$1:$O$85,15,0)),0,VLOOKUP($S$346,'TAR FIN'!$A$1:$O$85,15,0))</f>
        <v>0</v>
      </c>
      <c r="W346" s="6">
        <f>IF(ISERROR(VLOOKUP($T$346,'TAR FIN'!$A$1:$O$85,15,0)),0,VLOOKUP($T$346,'TAR FIN'!$A$1:$O$85,15,0))</f>
        <v>578.25</v>
      </c>
      <c r="X346" s="6">
        <f>IF(ISERROR(VLOOKUP($U$346,'TAR FIN'!$A$1:$O$85,15,0)),0,VLOOKUP($U$346,'TAR FIN'!$A$1:$O$85,15,0))</f>
        <v>240.29</v>
      </c>
      <c r="Y346" s="6"/>
      <c r="Z346" s="6">
        <f ca="1">('TUSD BE'!$AM$47+'TUSD BF'!$AM$47+'TUSD CVA'!$AM$47)*1</f>
        <v>665.86577701395538</v>
      </c>
      <c r="AA346" s="6">
        <f>('TE BE'!$AA$38+'TE BF'!$AA$38+'TE CVA'!$AA$38)*1</f>
        <v>330.73086315618451</v>
      </c>
      <c r="AB346" s="6">
        <f>$K$346*$V$346</f>
        <v>0</v>
      </c>
      <c r="AC346" s="6">
        <f>$M$346*$W$346</f>
        <v>92.52</v>
      </c>
      <c r="AD346" s="6">
        <f>$O$346*$X$346</f>
        <v>38.446399999999997</v>
      </c>
      <c r="AE346" s="6">
        <f>$K$346*$Y$346</f>
        <v>0</v>
      </c>
      <c r="AF346" s="6">
        <f ca="1">$M$346*$Z$346</f>
        <v>106.53852432223286</v>
      </c>
      <c r="AG346" s="6">
        <f>$O$346*$AA$346</f>
        <v>52.916938104989526</v>
      </c>
    </row>
    <row r="347" spans="1:33" ht="11.25" customHeight="1" x14ac:dyDescent="0.3">
      <c r="A347" s="4" t="s">
        <v>21</v>
      </c>
      <c r="B347" s="4" t="s">
        <v>35</v>
      </c>
      <c r="C347" s="4" t="s">
        <v>33</v>
      </c>
      <c r="D347" s="4" t="s">
        <v>40</v>
      </c>
      <c r="E347" s="4" t="s">
        <v>25</v>
      </c>
      <c r="F347" s="4" t="s">
        <v>25</v>
      </c>
      <c r="G347" s="4" t="s">
        <v>25</v>
      </c>
      <c r="H347" s="4" t="s">
        <v>34</v>
      </c>
      <c r="I347" s="5">
        <v>44409</v>
      </c>
      <c r="J347" s="6">
        <v>0</v>
      </c>
      <c r="K347" s="6">
        <v>0</v>
      </c>
      <c r="L347" s="6">
        <v>0.20100000000000001</v>
      </c>
      <c r="M347" s="6">
        <v>0.20100000000000001</v>
      </c>
      <c r="N347" s="6">
        <v>0.20100000000000001</v>
      </c>
      <c r="O347" s="6">
        <v>0.20100000000000001</v>
      </c>
      <c r="P347" s="6">
        <v>0</v>
      </c>
      <c r="Q347" s="4" t="s">
        <v>26</v>
      </c>
      <c r="R347" s="4">
        <v>0</v>
      </c>
      <c r="S347" s="6">
        <v>0</v>
      </c>
      <c r="T347" s="6">
        <v>71</v>
      </c>
      <c r="U347" s="6">
        <v>45</v>
      </c>
      <c r="V347" s="6">
        <f>IF(ISERROR(VLOOKUP($S$347,'TAR FIN'!$A$1:$O$85,15,0)),0,VLOOKUP($S$347,'TAR FIN'!$A$1:$O$85,15,0))</f>
        <v>0</v>
      </c>
      <c r="W347" s="6">
        <f>IF(ISERROR(VLOOKUP($T$347,'TAR FIN'!$A$1:$O$85,15,0)),0,VLOOKUP($T$347,'TAR FIN'!$A$1:$O$85,15,0))</f>
        <v>578.25</v>
      </c>
      <c r="X347" s="6">
        <f>IF(ISERROR(VLOOKUP($U$347,'TAR FIN'!$A$1:$O$85,15,0)),0,VLOOKUP($U$347,'TAR FIN'!$A$1:$O$85,15,0))</f>
        <v>240.29</v>
      </c>
      <c r="Y347" s="6"/>
      <c r="Z347" s="6">
        <f ca="1">('TUSD BE'!$AM$47+'TUSD BF'!$AM$47+'TUSD CVA'!$AM$47)*1</f>
        <v>665.86577701395538</v>
      </c>
      <c r="AA347" s="6">
        <f>('TE BE'!$AA$38+'TE BF'!$AA$38+'TE CVA'!$AA$38)*1</f>
        <v>330.73086315618451</v>
      </c>
      <c r="AB347" s="6">
        <f>$K$347*$V$347</f>
        <v>0</v>
      </c>
      <c r="AC347" s="6">
        <f>$M$347*$W$347</f>
        <v>116.22825</v>
      </c>
      <c r="AD347" s="6">
        <f>$O$347*$X$347</f>
        <v>48.298290000000001</v>
      </c>
      <c r="AE347" s="6">
        <f>$K$347*$Y$347</f>
        <v>0</v>
      </c>
      <c r="AF347" s="6">
        <f ca="1">$M$347*$Z$347</f>
        <v>133.83902117980503</v>
      </c>
      <c r="AG347" s="6">
        <f>$O$347*$AA$347</f>
        <v>66.476903494393085</v>
      </c>
    </row>
    <row r="348" spans="1:33" ht="11.25" customHeight="1" x14ac:dyDescent="0.3">
      <c r="A348" s="4" t="s">
        <v>21</v>
      </c>
      <c r="B348" s="4" t="s">
        <v>35</v>
      </c>
      <c r="C348" s="4" t="s">
        <v>33</v>
      </c>
      <c r="D348" s="4" t="s">
        <v>40</v>
      </c>
      <c r="E348" s="4" t="s">
        <v>25</v>
      </c>
      <c r="F348" s="4" t="s">
        <v>25</v>
      </c>
      <c r="G348" s="4" t="s">
        <v>25</v>
      </c>
      <c r="H348" s="4" t="s">
        <v>34</v>
      </c>
      <c r="I348" s="5">
        <v>44440</v>
      </c>
      <c r="J348" s="6">
        <v>0</v>
      </c>
      <c r="K348" s="6">
        <v>0</v>
      </c>
      <c r="L348" s="6">
        <v>0.20399999999999999</v>
      </c>
      <c r="M348" s="6">
        <v>0.20399999999999999</v>
      </c>
      <c r="N348" s="6">
        <v>0.20399999999999999</v>
      </c>
      <c r="O348" s="6">
        <v>0.20399999999999999</v>
      </c>
      <c r="P348" s="6">
        <v>0</v>
      </c>
      <c r="Q348" s="4" t="s">
        <v>26</v>
      </c>
      <c r="R348" s="4">
        <v>0</v>
      </c>
      <c r="S348" s="6">
        <v>0</v>
      </c>
      <c r="T348" s="6">
        <v>71</v>
      </c>
      <c r="U348" s="6">
        <v>45</v>
      </c>
      <c r="V348" s="6">
        <f>IF(ISERROR(VLOOKUP($S$348,'TAR FIN'!$A$1:$O$85,15,0)),0,VLOOKUP($S$348,'TAR FIN'!$A$1:$O$85,15,0))</f>
        <v>0</v>
      </c>
      <c r="W348" s="6">
        <f>IF(ISERROR(VLOOKUP($T$348,'TAR FIN'!$A$1:$O$85,15,0)),0,VLOOKUP($T$348,'TAR FIN'!$A$1:$O$85,15,0))</f>
        <v>578.25</v>
      </c>
      <c r="X348" s="6">
        <f>IF(ISERROR(VLOOKUP($U$348,'TAR FIN'!$A$1:$O$85,15,0)),0,VLOOKUP($U$348,'TAR FIN'!$A$1:$O$85,15,0))</f>
        <v>240.29</v>
      </c>
      <c r="Y348" s="6"/>
      <c r="Z348" s="6">
        <f ca="1">('TUSD BE'!$AM$47+'TUSD BF'!$AM$47+'TUSD CVA'!$AM$47)*1</f>
        <v>665.86577701395538</v>
      </c>
      <c r="AA348" s="6">
        <f>('TE BE'!$AA$38+'TE BF'!$AA$38+'TE CVA'!$AA$38)*1</f>
        <v>330.73086315618451</v>
      </c>
      <c r="AB348" s="6">
        <f>$K$348*$V$348</f>
        <v>0</v>
      </c>
      <c r="AC348" s="6">
        <f>$M$348*$W$348</f>
        <v>117.96299999999999</v>
      </c>
      <c r="AD348" s="6">
        <f>$O$348*$X$348</f>
        <v>49.019159999999992</v>
      </c>
      <c r="AE348" s="6">
        <f>$K$348*$Y$348</f>
        <v>0</v>
      </c>
      <c r="AF348" s="6">
        <f ca="1">$M$348*$Z$348</f>
        <v>135.83661851084688</v>
      </c>
      <c r="AG348" s="6">
        <f>$O$348*$AA$348</f>
        <v>67.469096083861629</v>
      </c>
    </row>
    <row r="349" spans="1:33" ht="11.25" customHeight="1" x14ac:dyDescent="0.3">
      <c r="A349" s="4" t="s">
        <v>21</v>
      </c>
      <c r="B349" s="4" t="s">
        <v>35</v>
      </c>
      <c r="C349" s="4" t="s">
        <v>33</v>
      </c>
      <c r="D349" s="4" t="s">
        <v>40</v>
      </c>
      <c r="E349" s="4" t="s">
        <v>25</v>
      </c>
      <c r="F349" s="4" t="s">
        <v>25</v>
      </c>
      <c r="G349" s="4" t="s">
        <v>25</v>
      </c>
      <c r="H349" s="4" t="s">
        <v>34</v>
      </c>
      <c r="I349" s="5">
        <v>44470</v>
      </c>
      <c r="J349" s="6">
        <v>0</v>
      </c>
      <c r="K349" s="6">
        <v>0</v>
      </c>
      <c r="L349" s="6">
        <v>0.19800000000000001</v>
      </c>
      <c r="M349" s="6">
        <v>0.19800000000000001</v>
      </c>
      <c r="N349" s="6">
        <v>0.19800000000000001</v>
      </c>
      <c r="O349" s="6">
        <v>0.19800000000000001</v>
      </c>
      <c r="P349" s="6">
        <v>0</v>
      </c>
      <c r="Q349" s="4" t="s">
        <v>26</v>
      </c>
      <c r="R349" s="4">
        <v>0</v>
      </c>
      <c r="S349" s="6">
        <v>0</v>
      </c>
      <c r="T349" s="6">
        <v>71</v>
      </c>
      <c r="U349" s="6">
        <v>45</v>
      </c>
      <c r="V349" s="6">
        <f>IF(ISERROR(VLOOKUP($S$349,'TAR FIN'!$A$1:$O$85,15,0)),0,VLOOKUP($S$349,'TAR FIN'!$A$1:$O$85,15,0))</f>
        <v>0</v>
      </c>
      <c r="W349" s="6">
        <f>IF(ISERROR(VLOOKUP($T$349,'TAR FIN'!$A$1:$O$85,15,0)),0,VLOOKUP($T$349,'TAR FIN'!$A$1:$O$85,15,0))</f>
        <v>578.25</v>
      </c>
      <c r="X349" s="6">
        <f>IF(ISERROR(VLOOKUP($U$349,'TAR FIN'!$A$1:$O$85,15,0)),0,VLOOKUP($U$349,'TAR FIN'!$A$1:$O$85,15,0))</f>
        <v>240.29</v>
      </c>
      <c r="Y349" s="6"/>
      <c r="Z349" s="6">
        <f ca="1">('TUSD BE'!$AM$47+'TUSD BF'!$AM$47+'TUSD CVA'!$AM$47)*1</f>
        <v>665.86577701395538</v>
      </c>
      <c r="AA349" s="6">
        <f>('TE BE'!$AA$38+'TE BF'!$AA$38+'TE CVA'!$AA$38)*1</f>
        <v>330.73086315618451</v>
      </c>
      <c r="AB349" s="6">
        <f>$K$349*$V$349</f>
        <v>0</v>
      </c>
      <c r="AC349" s="6">
        <f>$M$349*$W$349</f>
        <v>114.49350000000001</v>
      </c>
      <c r="AD349" s="6">
        <f>$O$349*$X$349</f>
        <v>47.577420000000004</v>
      </c>
      <c r="AE349" s="6">
        <f>$K$349*$Y$349</f>
        <v>0</v>
      </c>
      <c r="AF349" s="6">
        <f ca="1">$M$349*$Z$349</f>
        <v>131.84142384876318</v>
      </c>
      <c r="AG349" s="6">
        <f>$O$349*$AA$349</f>
        <v>65.48471090492454</v>
      </c>
    </row>
    <row r="350" spans="1:33" ht="11.25" customHeight="1" x14ac:dyDescent="0.3">
      <c r="A350" s="4" t="s">
        <v>21</v>
      </c>
      <c r="B350" s="4" t="s">
        <v>35</v>
      </c>
      <c r="C350" s="4" t="s">
        <v>33</v>
      </c>
      <c r="D350" s="4" t="s">
        <v>40</v>
      </c>
      <c r="E350" s="4" t="s">
        <v>25</v>
      </c>
      <c r="F350" s="4" t="s">
        <v>25</v>
      </c>
      <c r="G350" s="4" t="s">
        <v>25</v>
      </c>
      <c r="H350" s="4" t="s">
        <v>34</v>
      </c>
      <c r="I350" s="5">
        <v>44501</v>
      </c>
      <c r="J350" s="6">
        <v>0</v>
      </c>
      <c r="K350" s="6">
        <v>0</v>
      </c>
      <c r="L350" s="6">
        <v>0.182</v>
      </c>
      <c r="M350" s="6">
        <v>0.182</v>
      </c>
      <c r="N350" s="6">
        <v>0.182</v>
      </c>
      <c r="O350" s="6">
        <v>0.182</v>
      </c>
      <c r="P350" s="6">
        <v>0</v>
      </c>
      <c r="Q350" s="4" t="s">
        <v>26</v>
      </c>
      <c r="R350" s="4">
        <v>0</v>
      </c>
      <c r="S350" s="6">
        <v>0</v>
      </c>
      <c r="T350" s="6">
        <v>71</v>
      </c>
      <c r="U350" s="6">
        <v>45</v>
      </c>
      <c r="V350" s="6">
        <f>IF(ISERROR(VLOOKUP($S$350,'TAR FIN'!$A$1:$O$85,15,0)),0,VLOOKUP($S$350,'TAR FIN'!$A$1:$O$85,15,0))</f>
        <v>0</v>
      </c>
      <c r="W350" s="6">
        <f>IF(ISERROR(VLOOKUP($T$350,'TAR FIN'!$A$1:$O$85,15,0)),0,VLOOKUP($T$350,'TAR FIN'!$A$1:$O$85,15,0))</f>
        <v>578.25</v>
      </c>
      <c r="X350" s="6">
        <f>IF(ISERROR(VLOOKUP($U$350,'TAR FIN'!$A$1:$O$85,15,0)),0,VLOOKUP($U$350,'TAR FIN'!$A$1:$O$85,15,0))</f>
        <v>240.29</v>
      </c>
      <c r="Y350" s="6"/>
      <c r="Z350" s="6">
        <f ca="1">('TUSD BE'!$AM$47+'TUSD BF'!$AM$47+'TUSD CVA'!$AM$47)*1</f>
        <v>665.86577701395538</v>
      </c>
      <c r="AA350" s="6">
        <f>('TE BE'!$AA$38+'TE BF'!$AA$38+'TE CVA'!$AA$38)*1</f>
        <v>330.73086315618451</v>
      </c>
      <c r="AB350" s="6">
        <f>$K$350*$V$350</f>
        <v>0</v>
      </c>
      <c r="AC350" s="6">
        <f>$M$350*$W$350</f>
        <v>105.2415</v>
      </c>
      <c r="AD350" s="6">
        <f>$O$350*$X$350</f>
        <v>43.732779999999998</v>
      </c>
      <c r="AE350" s="6">
        <f>$K$350*$Y$350</f>
        <v>0</v>
      </c>
      <c r="AF350" s="6">
        <f ca="1">$M$350*$Z$350</f>
        <v>121.18757141653988</v>
      </c>
      <c r="AG350" s="6">
        <f>$O$350*$AA$350</f>
        <v>60.193017094425578</v>
      </c>
    </row>
    <row r="351" spans="1:33" ht="11.25" customHeight="1" x14ac:dyDescent="0.3">
      <c r="A351" s="4" t="s">
        <v>21</v>
      </c>
      <c r="B351" s="4" t="s">
        <v>35</v>
      </c>
      <c r="C351" s="4" t="s">
        <v>33</v>
      </c>
      <c r="D351" s="4" t="s">
        <v>40</v>
      </c>
      <c r="E351" s="4" t="s">
        <v>25</v>
      </c>
      <c r="F351" s="4" t="s">
        <v>25</v>
      </c>
      <c r="G351" s="4" t="s">
        <v>25</v>
      </c>
      <c r="H351" s="4" t="s">
        <v>34</v>
      </c>
      <c r="I351" s="5">
        <v>44531</v>
      </c>
      <c r="J351" s="6">
        <v>0</v>
      </c>
      <c r="K351" s="6">
        <v>0</v>
      </c>
      <c r="L351" s="6">
        <v>0.21299999999999999</v>
      </c>
      <c r="M351" s="6">
        <v>0.21299999999999999</v>
      </c>
      <c r="N351" s="6">
        <v>0.21299999999999999</v>
      </c>
      <c r="O351" s="6">
        <v>0.21299999999999999</v>
      </c>
      <c r="P351" s="6">
        <v>0</v>
      </c>
      <c r="Q351" s="4" t="s">
        <v>26</v>
      </c>
      <c r="R351" s="4">
        <v>0</v>
      </c>
      <c r="S351" s="6">
        <v>0</v>
      </c>
      <c r="T351" s="6">
        <v>71</v>
      </c>
      <c r="U351" s="6">
        <v>45</v>
      </c>
      <c r="V351" s="6">
        <f>IF(ISERROR(VLOOKUP($S$351,'TAR FIN'!$A$1:$O$85,15,0)),0,VLOOKUP($S$351,'TAR FIN'!$A$1:$O$85,15,0))</f>
        <v>0</v>
      </c>
      <c r="W351" s="6">
        <f>IF(ISERROR(VLOOKUP($T$351,'TAR FIN'!$A$1:$O$85,15,0)),0,VLOOKUP($T$351,'TAR FIN'!$A$1:$O$85,15,0))</f>
        <v>578.25</v>
      </c>
      <c r="X351" s="6">
        <f>IF(ISERROR(VLOOKUP($U$351,'TAR FIN'!$A$1:$O$85,15,0)),0,VLOOKUP($U$351,'TAR FIN'!$A$1:$O$85,15,0))</f>
        <v>240.29</v>
      </c>
      <c r="Y351" s="6"/>
      <c r="Z351" s="6">
        <f ca="1">('TUSD BE'!$AM$47+'TUSD BF'!$AM$47+'TUSD CVA'!$AM$47)*1</f>
        <v>665.86577701395538</v>
      </c>
      <c r="AA351" s="6">
        <f>('TE BE'!$AA$38+'TE BF'!$AA$38+'TE CVA'!$AA$38)*1</f>
        <v>330.73086315618451</v>
      </c>
      <c r="AB351" s="6">
        <f>$K$351*$V$351</f>
        <v>0</v>
      </c>
      <c r="AC351" s="6">
        <f>$M$351*$W$351</f>
        <v>123.16725</v>
      </c>
      <c r="AD351" s="6">
        <f>$O$351*$X$351</f>
        <v>51.18177</v>
      </c>
      <c r="AE351" s="6">
        <f>$K$351*$Y$351</f>
        <v>0</v>
      </c>
      <c r="AF351" s="6">
        <f ca="1">$M$351*$Z$351</f>
        <v>141.8294105039725</v>
      </c>
      <c r="AG351" s="6">
        <f>$O$351*$AA$351</f>
        <v>70.445673852267305</v>
      </c>
    </row>
    <row r="352" spans="1:33" ht="11.25" customHeight="1" x14ac:dyDescent="0.3">
      <c r="A352" s="4" t="s">
        <v>21</v>
      </c>
      <c r="B352" s="4" t="s">
        <v>35</v>
      </c>
      <c r="C352" s="4" t="s">
        <v>33</v>
      </c>
      <c r="D352" s="4" t="s">
        <v>40</v>
      </c>
      <c r="E352" s="4" t="s">
        <v>25</v>
      </c>
      <c r="F352" s="4" t="s">
        <v>25</v>
      </c>
      <c r="G352" s="4" t="s">
        <v>25</v>
      </c>
      <c r="H352" s="4" t="s">
        <v>34</v>
      </c>
      <c r="I352" s="5">
        <v>44562</v>
      </c>
      <c r="J352" s="6">
        <v>0</v>
      </c>
      <c r="K352" s="6">
        <v>0</v>
      </c>
      <c r="L352" s="6">
        <v>0.308</v>
      </c>
      <c r="M352" s="6">
        <v>0.308</v>
      </c>
      <c r="N352" s="6">
        <v>0.308</v>
      </c>
      <c r="O352" s="6">
        <v>0.308</v>
      </c>
      <c r="P352" s="6">
        <v>0</v>
      </c>
      <c r="Q352" s="4" t="s">
        <v>26</v>
      </c>
      <c r="R352" s="4">
        <v>0</v>
      </c>
      <c r="S352" s="6">
        <v>0</v>
      </c>
      <c r="T352" s="6">
        <v>71</v>
      </c>
      <c r="U352" s="6">
        <v>45</v>
      </c>
      <c r="V352" s="6">
        <f>IF(ISERROR(VLOOKUP($S$352,'TAR FIN'!$A$1:$O$85,15,0)),0,VLOOKUP($S$352,'TAR FIN'!$A$1:$O$85,15,0))</f>
        <v>0</v>
      </c>
      <c r="W352" s="6">
        <f>IF(ISERROR(VLOOKUP($T$352,'TAR FIN'!$A$1:$O$85,15,0)),0,VLOOKUP($T$352,'TAR FIN'!$A$1:$O$85,15,0))</f>
        <v>578.25</v>
      </c>
      <c r="X352" s="6">
        <f>IF(ISERROR(VLOOKUP($U$352,'TAR FIN'!$A$1:$O$85,15,0)),0,VLOOKUP($U$352,'TAR FIN'!$A$1:$O$85,15,0))</f>
        <v>240.29</v>
      </c>
      <c r="Y352" s="6"/>
      <c r="Z352" s="6">
        <f ca="1">('TUSD BE'!$AM$47+'TUSD BF'!$AM$47+'TUSD CVA'!$AM$47)*1</f>
        <v>665.86577701395538</v>
      </c>
      <c r="AA352" s="6">
        <f>('TE BE'!$AA$38+'TE BF'!$AA$38+'TE CVA'!$AA$38)*1</f>
        <v>330.73086315618451</v>
      </c>
      <c r="AB352" s="6">
        <f>$K$352*$V$352</f>
        <v>0</v>
      </c>
      <c r="AC352" s="6">
        <f>$M$352*$W$352</f>
        <v>178.101</v>
      </c>
      <c r="AD352" s="6">
        <f>$O$352*$X$352</f>
        <v>74.009320000000002</v>
      </c>
      <c r="AE352" s="6">
        <f>$K$352*$Y$352</f>
        <v>0</v>
      </c>
      <c r="AF352" s="6">
        <f ca="1">$M$352*$Z$352</f>
        <v>205.08665932029825</v>
      </c>
      <c r="AG352" s="6">
        <f>$O$352*$AA$352</f>
        <v>101.86510585210483</v>
      </c>
    </row>
    <row r="353" spans="1:33" ht="11.25" customHeight="1" x14ac:dyDescent="0.3">
      <c r="A353" s="4" t="s">
        <v>21</v>
      </c>
      <c r="B353" s="4" t="s">
        <v>35</v>
      </c>
      <c r="C353" s="4" t="s">
        <v>33</v>
      </c>
      <c r="D353" s="4" t="s">
        <v>40</v>
      </c>
      <c r="E353" s="4" t="s">
        <v>25</v>
      </c>
      <c r="F353" s="4" t="s">
        <v>25</v>
      </c>
      <c r="G353" s="4" t="s">
        <v>25</v>
      </c>
      <c r="H353" s="4" t="s">
        <v>34</v>
      </c>
      <c r="I353" s="5">
        <v>44593</v>
      </c>
      <c r="J353" s="6">
        <v>0</v>
      </c>
      <c r="K353" s="6">
        <v>0</v>
      </c>
      <c r="L353" s="6">
        <v>0.27</v>
      </c>
      <c r="M353" s="6">
        <v>0.27</v>
      </c>
      <c r="N353" s="6">
        <v>0.27</v>
      </c>
      <c r="O353" s="6">
        <v>0.27</v>
      </c>
      <c r="P353" s="6">
        <v>0</v>
      </c>
      <c r="Q353" s="4" t="s">
        <v>26</v>
      </c>
      <c r="R353" s="4">
        <v>0</v>
      </c>
      <c r="S353" s="6">
        <v>0</v>
      </c>
      <c r="T353" s="6">
        <v>71</v>
      </c>
      <c r="U353" s="6">
        <v>45</v>
      </c>
      <c r="V353" s="6">
        <f>IF(ISERROR(VLOOKUP($S$353,'TAR FIN'!$A$1:$O$85,15,0)),0,VLOOKUP($S$353,'TAR FIN'!$A$1:$O$85,15,0))</f>
        <v>0</v>
      </c>
      <c r="W353" s="6">
        <f>IF(ISERROR(VLOOKUP($T$353,'TAR FIN'!$A$1:$O$85,15,0)),0,VLOOKUP($T$353,'TAR FIN'!$A$1:$O$85,15,0))</f>
        <v>578.25</v>
      </c>
      <c r="X353" s="6">
        <f>IF(ISERROR(VLOOKUP($U$353,'TAR FIN'!$A$1:$O$85,15,0)),0,VLOOKUP($U$353,'TAR FIN'!$A$1:$O$85,15,0))</f>
        <v>240.29</v>
      </c>
      <c r="Y353" s="6"/>
      <c r="Z353" s="6">
        <f ca="1">('TUSD BE'!$AM$47+'TUSD BF'!$AM$47+'TUSD CVA'!$AM$47)*1</f>
        <v>665.86577701395538</v>
      </c>
      <c r="AA353" s="6">
        <f>('TE BE'!$AA$38+'TE BF'!$AA$38+'TE CVA'!$AA$38)*1</f>
        <v>330.73086315618451</v>
      </c>
      <c r="AB353" s="6">
        <f>$K$353*$V$353</f>
        <v>0</v>
      </c>
      <c r="AC353" s="6">
        <f>$M$353*$W$353</f>
        <v>156.1275</v>
      </c>
      <c r="AD353" s="6">
        <f>$O$353*$X$353</f>
        <v>64.878299999999996</v>
      </c>
      <c r="AE353" s="6">
        <f>$K$353*$Y$353</f>
        <v>0</v>
      </c>
      <c r="AF353" s="6">
        <f ca="1">$M$353*$Z$353</f>
        <v>179.78375979376796</v>
      </c>
      <c r="AG353" s="6">
        <f>$O$353*$AA$353</f>
        <v>89.297333052169819</v>
      </c>
    </row>
    <row r="354" spans="1:33" ht="11.25" customHeight="1" x14ac:dyDescent="0.3">
      <c r="A354" s="4" t="s">
        <v>21</v>
      </c>
      <c r="B354" s="4" t="s">
        <v>35</v>
      </c>
      <c r="C354" s="4" t="s">
        <v>33</v>
      </c>
      <c r="D354" s="4" t="s">
        <v>40</v>
      </c>
      <c r="E354" s="4" t="s">
        <v>25</v>
      </c>
      <c r="F354" s="4" t="s">
        <v>25</v>
      </c>
      <c r="G354" s="4" t="s">
        <v>25</v>
      </c>
      <c r="H354" s="4" t="s">
        <v>34</v>
      </c>
      <c r="I354" s="5">
        <v>44621</v>
      </c>
      <c r="J354" s="6">
        <v>0</v>
      </c>
      <c r="K354" s="6">
        <v>0</v>
      </c>
      <c r="L354" s="6">
        <v>0.27500000000000002</v>
      </c>
      <c r="M354" s="6">
        <v>0.27500000000000002</v>
      </c>
      <c r="N354" s="6">
        <v>0.27500000000000002</v>
      </c>
      <c r="O354" s="6">
        <v>0.27500000000000002</v>
      </c>
      <c r="P354" s="6">
        <v>0</v>
      </c>
      <c r="Q354" s="4" t="s">
        <v>26</v>
      </c>
      <c r="R354" s="4">
        <v>0</v>
      </c>
      <c r="S354" s="6">
        <v>0</v>
      </c>
      <c r="T354" s="6">
        <v>71</v>
      </c>
      <c r="U354" s="6">
        <v>45</v>
      </c>
      <c r="V354" s="6">
        <f>IF(ISERROR(VLOOKUP($S$354,'TAR FIN'!$A$1:$O$85,15,0)),0,VLOOKUP($S$354,'TAR FIN'!$A$1:$O$85,15,0))</f>
        <v>0</v>
      </c>
      <c r="W354" s="6">
        <f>IF(ISERROR(VLOOKUP($T$354,'TAR FIN'!$A$1:$O$85,15,0)),0,VLOOKUP($T$354,'TAR FIN'!$A$1:$O$85,15,0))</f>
        <v>578.25</v>
      </c>
      <c r="X354" s="6">
        <f>IF(ISERROR(VLOOKUP($U$354,'TAR FIN'!$A$1:$O$85,15,0)),0,VLOOKUP($U$354,'TAR FIN'!$A$1:$O$85,15,0))</f>
        <v>240.29</v>
      </c>
      <c r="Y354" s="6"/>
      <c r="Z354" s="6">
        <f ca="1">('TUSD BE'!$AM$47+'TUSD BF'!$AM$47+'TUSD CVA'!$AM$47)*1</f>
        <v>665.86577701395538</v>
      </c>
      <c r="AA354" s="6">
        <f>('TE BE'!$AA$38+'TE BF'!$AA$38+'TE CVA'!$AA$38)*1</f>
        <v>330.73086315618451</v>
      </c>
      <c r="AB354" s="6">
        <f>$K$354*$V$354</f>
        <v>0</v>
      </c>
      <c r="AC354" s="6">
        <f>$M$354*$W$354</f>
        <v>159.01875000000001</v>
      </c>
      <c r="AD354" s="6">
        <f>$O$354*$X$354</f>
        <v>66.079750000000004</v>
      </c>
      <c r="AE354" s="6">
        <f>$K$354*$Y$354</f>
        <v>0</v>
      </c>
      <c r="AF354" s="6">
        <f ca="1">$M$354*$Z$354</f>
        <v>183.11308867883776</v>
      </c>
      <c r="AG354" s="6">
        <f>$O$354*$AA$354</f>
        <v>90.950987367950745</v>
      </c>
    </row>
    <row r="355" spans="1:33" ht="11.25" customHeight="1" x14ac:dyDescent="0.3">
      <c r="A355" s="4" t="s">
        <v>21</v>
      </c>
      <c r="B355" s="4" t="s">
        <v>35</v>
      </c>
      <c r="C355" s="4" t="s">
        <v>33</v>
      </c>
      <c r="D355" s="4" t="s">
        <v>40</v>
      </c>
      <c r="E355" s="4" t="s">
        <v>25</v>
      </c>
      <c r="F355" s="4" t="s">
        <v>25</v>
      </c>
      <c r="G355" s="4" t="s">
        <v>25</v>
      </c>
      <c r="H355" s="4" t="s">
        <v>42</v>
      </c>
      <c r="I355" s="5">
        <v>44287</v>
      </c>
      <c r="J355" s="6">
        <v>0</v>
      </c>
      <c r="K355" s="6">
        <v>0</v>
      </c>
      <c r="L355" s="6">
        <v>1.4E-2</v>
      </c>
      <c r="M355" s="6">
        <v>1.4E-2</v>
      </c>
      <c r="N355" s="6">
        <v>1.4E-2</v>
      </c>
      <c r="O355" s="6">
        <v>1.4E-2</v>
      </c>
      <c r="P355" s="6">
        <v>0</v>
      </c>
      <c r="Q355" s="4" t="s">
        <v>26</v>
      </c>
      <c r="R355" s="4">
        <v>0</v>
      </c>
      <c r="S355" s="6">
        <v>0</v>
      </c>
      <c r="T355" s="6">
        <v>70</v>
      </c>
      <c r="U355" s="6">
        <v>39</v>
      </c>
      <c r="V355" s="6">
        <f>IF(ISERROR(VLOOKUP($S$355,'TAR FIN'!$A$1:$O$85,15,0)),0,VLOOKUP($S$355,'TAR FIN'!$A$1:$O$85,15,0))</f>
        <v>0</v>
      </c>
      <c r="W355" s="6">
        <f>IF(ISERROR(VLOOKUP($T$355,'TAR FIN'!$A$1:$O$85,15,0)),0,VLOOKUP($T$355,'TAR FIN'!$A$1:$O$85,15,0))</f>
        <v>1482.7</v>
      </c>
      <c r="X355" s="6">
        <f>IF(ISERROR(VLOOKUP($U$355,'TAR FIN'!$A$1:$O$85,15,0)),0,VLOOKUP($U$355,'TAR FIN'!$A$1:$O$85,15,0))</f>
        <v>240.29</v>
      </c>
      <c r="Y355" s="6"/>
      <c r="Z355" s="6">
        <f ca="1">('TUSD BE'!$AM$46+'TUSD BF'!$AM$46+'TUSD CVA'!$AM$46)*1</f>
        <v>1654.9793740123127</v>
      </c>
      <c r="AA355" s="6">
        <f>('TE BE'!$AA$37+'TE BF'!$AA$37+'TE CVA'!$AA$37)*1</f>
        <v>330.73086315618451</v>
      </c>
      <c r="AB355" s="6">
        <f>$K$355*$V$355</f>
        <v>0</v>
      </c>
      <c r="AC355" s="6">
        <f>$M$355*$W$355</f>
        <v>20.7578</v>
      </c>
      <c r="AD355" s="6">
        <f>$O$355*$X$355</f>
        <v>3.3640599999999998</v>
      </c>
      <c r="AE355" s="6">
        <f>$K$355*$Y$355</f>
        <v>0</v>
      </c>
      <c r="AF355" s="6">
        <f ca="1">$M$355*$Z$355</f>
        <v>23.169711236172379</v>
      </c>
      <c r="AG355" s="6">
        <f>$O$355*$AA$355</f>
        <v>4.6302320841865834</v>
      </c>
    </row>
    <row r="356" spans="1:33" ht="11.25" customHeight="1" x14ac:dyDescent="0.3">
      <c r="A356" s="4" t="s">
        <v>21</v>
      </c>
      <c r="B356" s="4" t="s">
        <v>35</v>
      </c>
      <c r="C356" s="4" t="s">
        <v>33</v>
      </c>
      <c r="D356" s="4" t="s">
        <v>40</v>
      </c>
      <c r="E356" s="4" t="s">
        <v>25</v>
      </c>
      <c r="F356" s="4" t="s">
        <v>25</v>
      </c>
      <c r="G356" s="4" t="s">
        <v>25</v>
      </c>
      <c r="H356" s="4" t="s">
        <v>42</v>
      </c>
      <c r="I356" s="5">
        <v>44317</v>
      </c>
      <c r="J356" s="6">
        <v>0</v>
      </c>
      <c r="K356" s="6">
        <v>0</v>
      </c>
      <c r="L356" s="6">
        <v>1.7999999999999999E-2</v>
      </c>
      <c r="M356" s="6">
        <v>1.7999999999999999E-2</v>
      </c>
      <c r="N356" s="6">
        <v>1.7999999999999999E-2</v>
      </c>
      <c r="O356" s="6">
        <v>1.7999999999999999E-2</v>
      </c>
      <c r="P356" s="6">
        <v>0</v>
      </c>
      <c r="Q356" s="4" t="s">
        <v>26</v>
      </c>
      <c r="R356" s="4">
        <v>0</v>
      </c>
      <c r="S356" s="6">
        <v>0</v>
      </c>
      <c r="T356" s="6">
        <v>70</v>
      </c>
      <c r="U356" s="6">
        <v>39</v>
      </c>
      <c r="V356" s="6">
        <f>IF(ISERROR(VLOOKUP($S$356,'TAR FIN'!$A$1:$O$85,15,0)),0,VLOOKUP($S$356,'TAR FIN'!$A$1:$O$85,15,0))</f>
        <v>0</v>
      </c>
      <c r="W356" s="6">
        <f>IF(ISERROR(VLOOKUP($T$356,'TAR FIN'!$A$1:$O$85,15,0)),0,VLOOKUP($T$356,'TAR FIN'!$A$1:$O$85,15,0))</f>
        <v>1482.7</v>
      </c>
      <c r="X356" s="6">
        <f>IF(ISERROR(VLOOKUP($U$356,'TAR FIN'!$A$1:$O$85,15,0)),0,VLOOKUP($U$356,'TAR FIN'!$A$1:$O$85,15,0))</f>
        <v>240.29</v>
      </c>
      <c r="Y356" s="6"/>
      <c r="Z356" s="6">
        <f ca="1">('TUSD BE'!$AM$46+'TUSD BF'!$AM$46+'TUSD CVA'!$AM$46)*1</f>
        <v>1654.9793740123127</v>
      </c>
      <c r="AA356" s="6">
        <f>('TE BE'!$AA$37+'TE BF'!$AA$37+'TE CVA'!$AA$37)*1</f>
        <v>330.73086315618451</v>
      </c>
      <c r="AB356" s="6">
        <f>$K$356*$V$356</f>
        <v>0</v>
      </c>
      <c r="AC356" s="6">
        <f>$M$356*$W$356</f>
        <v>26.688599999999997</v>
      </c>
      <c r="AD356" s="6">
        <f>$O$356*$X$356</f>
        <v>4.3252199999999998</v>
      </c>
      <c r="AE356" s="6">
        <f>$K$356*$Y$356</f>
        <v>0</v>
      </c>
      <c r="AF356" s="6">
        <f ca="1">$M$356*$Z$356</f>
        <v>29.789628732221626</v>
      </c>
      <c r="AG356" s="6">
        <f>$O$356*$AA$356</f>
        <v>5.9531555368113205</v>
      </c>
    </row>
    <row r="357" spans="1:33" ht="11.25" customHeight="1" x14ac:dyDescent="0.3">
      <c r="A357" s="4" t="s">
        <v>21</v>
      </c>
      <c r="B357" s="4" t="s">
        <v>35</v>
      </c>
      <c r="C357" s="4" t="s">
        <v>33</v>
      </c>
      <c r="D357" s="4" t="s">
        <v>40</v>
      </c>
      <c r="E357" s="4" t="s">
        <v>25</v>
      </c>
      <c r="F357" s="4" t="s">
        <v>25</v>
      </c>
      <c r="G357" s="4" t="s">
        <v>25</v>
      </c>
      <c r="H357" s="4" t="s">
        <v>42</v>
      </c>
      <c r="I357" s="5">
        <v>44348</v>
      </c>
      <c r="J357" s="6">
        <v>0</v>
      </c>
      <c r="K357" s="6">
        <v>0</v>
      </c>
      <c r="L357" s="6">
        <v>3.6999999999999998E-2</v>
      </c>
      <c r="M357" s="6">
        <v>3.6999999999999998E-2</v>
      </c>
      <c r="N357" s="6">
        <v>3.6999999999999998E-2</v>
      </c>
      <c r="O357" s="6">
        <v>3.6999999999999998E-2</v>
      </c>
      <c r="P357" s="6">
        <v>0</v>
      </c>
      <c r="Q357" s="4" t="s">
        <v>26</v>
      </c>
      <c r="R357" s="4">
        <v>0</v>
      </c>
      <c r="S357" s="6">
        <v>0</v>
      </c>
      <c r="T357" s="6">
        <v>70</v>
      </c>
      <c r="U357" s="6">
        <v>39</v>
      </c>
      <c r="V357" s="6">
        <f>IF(ISERROR(VLOOKUP($S$357,'TAR FIN'!$A$1:$O$85,15,0)),0,VLOOKUP($S$357,'TAR FIN'!$A$1:$O$85,15,0))</f>
        <v>0</v>
      </c>
      <c r="W357" s="6">
        <f>IF(ISERROR(VLOOKUP($T$357,'TAR FIN'!$A$1:$O$85,15,0)),0,VLOOKUP($T$357,'TAR FIN'!$A$1:$O$85,15,0))</f>
        <v>1482.7</v>
      </c>
      <c r="X357" s="6">
        <f>IF(ISERROR(VLOOKUP($U$357,'TAR FIN'!$A$1:$O$85,15,0)),0,VLOOKUP($U$357,'TAR FIN'!$A$1:$O$85,15,0))</f>
        <v>240.29</v>
      </c>
      <c r="Y357" s="6"/>
      <c r="Z357" s="6">
        <f ca="1">('TUSD BE'!$AM$46+'TUSD BF'!$AM$46+'TUSD CVA'!$AM$46)*1</f>
        <v>1654.9793740123127</v>
      </c>
      <c r="AA357" s="6">
        <f>('TE BE'!$AA$37+'TE BF'!$AA$37+'TE CVA'!$AA$37)*1</f>
        <v>330.73086315618451</v>
      </c>
      <c r="AB357" s="6">
        <f>$K$357*$V$357</f>
        <v>0</v>
      </c>
      <c r="AC357" s="6">
        <f>$M$357*$W$357</f>
        <v>54.859899999999996</v>
      </c>
      <c r="AD357" s="6">
        <f>$O$357*$X$357</f>
        <v>8.8907299999999996</v>
      </c>
      <c r="AE357" s="6">
        <f>$K$357*$Y$357</f>
        <v>0</v>
      </c>
      <c r="AF357" s="6">
        <f ca="1">$M$357*$Z$357</f>
        <v>61.234236838455566</v>
      </c>
      <c r="AG357" s="6">
        <f>$O$357*$AA$357</f>
        <v>12.237041936778827</v>
      </c>
    </row>
    <row r="358" spans="1:33" ht="11.25" customHeight="1" x14ac:dyDescent="0.3">
      <c r="A358" s="4" t="s">
        <v>21</v>
      </c>
      <c r="B358" s="4" t="s">
        <v>35</v>
      </c>
      <c r="C358" s="4" t="s">
        <v>33</v>
      </c>
      <c r="D358" s="4" t="s">
        <v>40</v>
      </c>
      <c r="E358" s="4" t="s">
        <v>25</v>
      </c>
      <c r="F358" s="4" t="s">
        <v>25</v>
      </c>
      <c r="G358" s="4" t="s">
        <v>25</v>
      </c>
      <c r="H358" s="4" t="s">
        <v>42</v>
      </c>
      <c r="I358" s="5">
        <v>44378</v>
      </c>
      <c r="J358" s="6">
        <v>0</v>
      </c>
      <c r="K358" s="6">
        <v>0</v>
      </c>
      <c r="L358" s="6">
        <v>1.4999999999999999E-2</v>
      </c>
      <c r="M358" s="6">
        <v>1.4999999999999999E-2</v>
      </c>
      <c r="N358" s="6">
        <v>1.4999999999999999E-2</v>
      </c>
      <c r="O358" s="6">
        <v>1.4999999999999999E-2</v>
      </c>
      <c r="P358" s="6">
        <v>0</v>
      </c>
      <c r="Q358" s="4" t="s">
        <v>26</v>
      </c>
      <c r="R358" s="4">
        <v>0</v>
      </c>
      <c r="S358" s="6">
        <v>0</v>
      </c>
      <c r="T358" s="6">
        <v>70</v>
      </c>
      <c r="U358" s="6">
        <v>39</v>
      </c>
      <c r="V358" s="6">
        <f>IF(ISERROR(VLOOKUP($S$358,'TAR FIN'!$A$1:$O$85,15,0)),0,VLOOKUP($S$358,'TAR FIN'!$A$1:$O$85,15,0))</f>
        <v>0</v>
      </c>
      <c r="W358" s="6">
        <f>IF(ISERROR(VLOOKUP($T$358,'TAR FIN'!$A$1:$O$85,15,0)),0,VLOOKUP($T$358,'TAR FIN'!$A$1:$O$85,15,0))</f>
        <v>1482.7</v>
      </c>
      <c r="X358" s="6">
        <f>IF(ISERROR(VLOOKUP($U$358,'TAR FIN'!$A$1:$O$85,15,0)),0,VLOOKUP($U$358,'TAR FIN'!$A$1:$O$85,15,0))</f>
        <v>240.29</v>
      </c>
      <c r="Y358" s="6"/>
      <c r="Z358" s="6">
        <f ca="1">('TUSD BE'!$AM$46+'TUSD BF'!$AM$46+'TUSD CVA'!$AM$46)*1</f>
        <v>1654.9793740123127</v>
      </c>
      <c r="AA358" s="6">
        <f>('TE BE'!$AA$37+'TE BF'!$AA$37+'TE CVA'!$AA$37)*1</f>
        <v>330.73086315618451</v>
      </c>
      <c r="AB358" s="6">
        <f>$K$358*$V$358</f>
        <v>0</v>
      </c>
      <c r="AC358" s="6">
        <f>$M$358*$W$358</f>
        <v>22.240500000000001</v>
      </c>
      <c r="AD358" s="6">
        <f>$O$358*$X$358</f>
        <v>3.6043499999999997</v>
      </c>
      <c r="AE358" s="6">
        <f>$K$358*$Y$358</f>
        <v>0</v>
      </c>
      <c r="AF358" s="6">
        <f ca="1">$M$358*$Z$358</f>
        <v>24.824690610184689</v>
      </c>
      <c r="AG358" s="6">
        <f>$O$358*$AA$358</f>
        <v>4.9609629473427672</v>
      </c>
    </row>
    <row r="359" spans="1:33" ht="11.25" customHeight="1" x14ac:dyDescent="0.3">
      <c r="A359" s="4" t="s">
        <v>21</v>
      </c>
      <c r="B359" s="4" t="s">
        <v>35</v>
      </c>
      <c r="C359" s="4" t="s">
        <v>33</v>
      </c>
      <c r="D359" s="4" t="s">
        <v>40</v>
      </c>
      <c r="E359" s="4" t="s">
        <v>25</v>
      </c>
      <c r="F359" s="4" t="s">
        <v>25</v>
      </c>
      <c r="G359" s="4" t="s">
        <v>25</v>
      </c>
      <c r="H359" s="4" t="s">
        <v>42</v>
      </c>
      <c r="I359" s="5">
        <v>44409</v>
      </c>
      <c r="J359" s="6">
        <v>0</v>
      </c>
      <c r="K359" s="6">
        <v>0</v>
      </c>
      <c r="L359" s="6">
        <v>0.02</v>
      </c>
      <c r="M359" s="6">
        <v>0.02</v>
      </c>
      <c r="N359" s="6">
        <v>0.02</v>
      </c>
      <c r="O359" s="6">
        <v>0.02</v>
      </c>
      <c r="P359" s="6">
        <v>0</v>
      </c>
      <c r="Q359" s="4" t="s">
        <v>26</v>
      </c>
      <c r="R359" s="4">
        <v>0</v>
      </c>
      <c r="S359" s="6">
        <v>0</v>
      </c>
      <c r="T359" s="6">
        <v>70</v>
      </c>
      <c r="U359" s="6">
        <v>39</v>
      </c>
      <c r="V359" s="6">
        <f>IF(ISERROR(VLOOKUP($S$359,'TAR FIN'!$A$1:$O$85,15,0)),0,VLOOKUP($S$359,'TAR FIN'!$A$1:$O$85,15,0))</f>
        <v>0</v>
      </c>
      <c r="W359" s="6">
        <f>IF(ISERROR(VLOOKUP($T$359,'TAR FIN'!$A$1:$O$85,15,0)),0,VLOOKUP($T$359,'TAR FIN'!$A$1:$O$85,15,0))</f>
        <v>1482.7</v>
      </c>
      <c r="X359" s="6">
        <f>IF(ISERROR(VLOOKUP($U$359,'TAR FIN'!$A$1:$O$85,15,0)),0,VLOOKUP($U$359,'TAR FIN'!$A$1:$O$85,15,0))</f>
        <v>240.29</v>
      </c>
      <c r="Y359" s="6"/>
      <c r="Z359" s="6">
        <f ca="1">('TUSD BE'!$AM$46+'TUSD BF'!$AM$46+'TUSD CVA'!$AM$46)*1</f>
        <v>1654.9793740123127</v>
      </c>
      <c r="AA359" s="6">
        <f>('TE BE'!$AA$37+'TE BF'!$AA$37+'TE CVA'!$AA$37)*1</f>
        <v>330.73086315618451</v>
      </c>
      <c r="AB359" s="6">
        <f>$K$359*$V$359</f>
        <v>0</v>
      </c>
      <c r="AC359" s="6">
        <f>$M$359*$W$359</f>
        <v>29.654</v>
      </c>
      <c r="AD359" s="6">
        <f>$O$359*$X$359</f>
        <v>4.8057999999999996</v>
      </c>
      <c r="AE359" s="6">
        <f>$K$359*$Y$359</f>
        <v>0</v>
      </c>
      <c r="AF359" s="6">
        <f ca="1">$M$359*$Z$359</f>
        <v>33.099587480246257</v>
      </c>
      <c r="AG359" s="6">
        <f>$O$359*$AA$359</f>
        <v>6.6146172631236908</v>
      </c>
    </row>
    <row r="360" spans="1:33" ht="11.25" customHeight="1" x14ac:dyDescent="0.3">
      <c r="A360" s="4" t="s">
        <v>21</v>
      </c>
      <c r="B360" s="4" t="s">
        <v>35</v>
      </c>
      <c r="C360" s="4" t="s">
        <v>33</v>
      </c>
      <c r="D360" s="4" t="s">
        <v>40</v>
      </c>
      <c r="E360" s="4" t="s">
        <v>25</v>
      </c>
      <c r="F360" s="4" t="s">
        <v>25</v>
      </c>
      <c r="G360" s="4" t="s">
        <v>25</v>
      </c>
      <c r="H360" s="4" t="s">
        <v>42</v>
      </c>
      <c r="I360" s="5">
        <v>44440</v>
      </c>
      <c r="J360" s="6">
        <v>0</v>
      </c>
      <c r="K360" s="6">
        <v>0</v>
      </c>
      <c r="L360" s="6">
        <v>1.9E-2</v>
      </c>
      <c r="M360" s="6">
        <v>1.9E-2</v>
      </c>
      <c r="N360" s="6">
        <v>1.9E-2</v>
      </c>
      <c r="O360" s="6">
        <v>1.9E-2</v>
      </c>
      <c r="P360" s="6">
        <v>0</v>
      </c>
      <c r="Q360" s="4" t="s">
        <v>26</v>
      </c>
      <c r="R360" s="4">
        <v>0</v>
      </c>
      <c r="S360" s="6">
        <v>0</v>
      </c>
      <c r="T360" s="6">
        <v>70</v>
      </c>
      <c r="U360" s="6">
        <v>39</v>
      </c>
      <c r="V360" s="6">
        <f>IF(ISERROR(VLOOKUP($S$360,'TAR FIN'!$A$1:$O$85,15,0)),0,VLOOKUP($S$360,'TAR FIN'!$A$1:$O$85,15,0))</f>
        <v>0</v>
      </c>
      <c r="W360" s="6">
        <f>IF(ISERROR(VLOOKUP($T$360,'TAR FIN'!$A$1:$O$85,15,0)),0,VLOOKUP($T$360,'TAR FIN'!$A$1:$O$85,15,0))</f>
        <v>1482.7</v>
      </c>
      <c r="X360" s="6">
        <f>IF(ISERROR(VLOOKUP($U$360,'TAR FIN'!$A$1:$O$85,15,0)),0,VLOOKUP($U$360,'TAR FIN'!$A$1:$O$85,15,0))</f>
        <v>240.29</v>
      </c>
      <c r="Y360" s="6"/>
      <c r="Z360" s="6">
        <f ca="1">('TUSD BE'!$AM$46+'TUSD BF'!$AM$46+'TUSD CVA'!$AM$46)*1</f>
        <v>1654.9793740123127</v>
      </c>
      <c r="AA360" s="6">
        <f>('TE BE'!$AA$37+'TE BF'!$AA$37+'TE CVA'!$AA$37)*1</f>
        <v>330.73086315618451</v>
      </c>
      <c r="AB360" s="6">
        <f>$K$360*$V$360</f>
        <v>0</v>
      </c>
      <c r="AC360" s="6">
        <f>$M$360*$W$360</f>
        <v>28.171299999999999</v>
      </c>
      <c r="AD360" s="6">
        <f>$O$360*$X$360</f>
        <v>4.5655099999999997</v>
      </c>
      <c r="AE360" s="6">
        <f>$K$360*$Y$360</f>
        <v>0</v>
      </c>
      <c r="AF360" s="6">
        <f ca="1">$M$360*$Z$360</f>
        <v>31.444608106233943</v>
      </c>
      <c r="AG360" s="6">
        <f>$O$360*$AA$360</f>
        <v>6.2838863999675052</v>
      </c>
    </row>
    <row r="361" spans="1:33" ht="11.25" customHeight="1" x14ac:dyDescent="0.3">
      <c r="A361" s="4" t="s">
        <v>21</v>
      </c>
      <c r="B361" s="4" t="s">
        <v>35</v>
      </c>
      <c r="C361" s="4" t="s">
        <v>33</v>
      </c>
      <c r="D361" s="4" t="s">
        <v>40</v>
      </c>
      <c r="E361" s="4" t="s">
        <v>25</v>
      </c>
      <c r="F361" s="4" t="s">
        <v>25</v>
      </c>
      <c r="G361" s="4" t="s">
        <v>25</v>
      </c>
      <c r="H361" s="4" t="s">
        <v>42</v>
      </c>
      <c r="I361" s="5">
        <v>44470</v>
      </c>
      <c r="J361" s="6">
        <v>0</v>
      </c>
      <c r="K361" s="6">
        <v>0</v>
      </c>
      <c r="L361" s="6">
        <v>1.7000000000000001E-2</v>
      </c>
      <c r="M361" s="6">
        <v>1.7000000000000001E-2</v>
      </c>
      <c r="N361" s="6">
        <v>1.7000000000000001E-2</v>
      </c>
      <c r="O361" s="6">
        <v>1.7000000000000001E-2</v>
      </c>
      <c r="P361" s="6">
        <v>0</v>
      </c>
      <c r="Q361" s="4" t="s">
        <v>26</v>
      </c>
      <c r="R361" s="4">
        <v>0</v>
      </c>
      <c r="S361" s="6">
        <v>0</v>
      </c>
      <c r="T361" s="6">
        <v>70</v>
      </c>
      <c r="U361" s="6">
        <v>39</v>
      </c>
      <c r="V361" s="6">
        <f>IF(ISERROR(VLOOKUP($S$361,'TAR FIN'!$A$1:$O$85,15,0)),0,VLOOKUP($S$361,'TAR FIN'!$A$1:$O$85,15,0))</f>
        <v>0</v>
      </c>
      <c r="W361" s="6">
        <f>IF(ISERROR(VLOOKUP($T$361,'TAR FIN'!$A$1:$O$85,15,0)),0,VLOOKUP($T$361,'TAR FIN'!$A$1:$O$85,15,0))</f>
        <v>1482.7</v>
      </c>
      <c r="X361" s="6">
        <f>IF(ISERROR(VLOOKUP($U$361,'TAR FIN'!$A$1:$O$85,15,0)),0,VLOOKUP($U$361,'TAR FIN'!$A$1:$O$85,15,0))</f>
        <v>240.29</v>
      </c>
      <c r="Y361" s="6"/>
      <c r="Z361" s="6">
        <f ca="1">('TUSD BE'!$AM$46+'TUSD BF'!$AM$46+'TUSD CVA'!$AM$46)*1</f>
        <v>1654.9793740123127</v>
      </c>
      <c r="AA361" s="6">
        <f>('TE BE'!$AA$37+'TE BF'!$AA$37+'TE CVA'!$AA$37)*1</f>
        <v>330.73086315618451</v>
      </c>
      <c r="AB361" s="6">
        <f>$K$361*$V$361</f>
        <v>0</v>
      </c>
      <c r="AC361" s="6">
        <f>$M$361*$W$361</f>
        <v>25.205900000000003</v>
      </c>
      <c r="AD361" s="6">
        <f>$O$361*$X$361</f>
        <v>4.0849299999999999</v>
      </c>
      <c r="AE361" s="6">
        <f>$K$361*$Y$361</f>
        <v>0</v>
      </c>
      <c r="AF361" s="6">
        <f ca="1">$M$361*$Z$361</f>
        <v>28.13464935820932</v>
      </c>
      <c r="AG361" s="6">
        <f>$O$361*$AA$361</f>
        <v>5.6224246736551375</v>
      </c>
    </row>
    <row r="362" spans="1:33" ht="11.25" customHeight="1" x14ac:dyDescent="0.3">
      <c r="A362" s="4" t="s">
        <v>21</v>
      </c>
      <c r="B362" s="4" t="s">
        <v>35</v>
      </c>
      <c r="C362" s="4" t="s">
        <v>33</v>
      </c>
      <c r="D362" s="4" t="s">
        <v>40</v>
      </c>
      <c r="E362" s="4" t="s">
        <v>25</v>
      </c>
      <c r="F362" s="4" t="s">
        <v>25</v>
      </c>
      <c r="G362" s="4" t="s">
        <v>25</v>
      </c>
      <c r="H362" s="4" t="s">
        <v>42</v>
      </c>
      <c r="I362" s="5">
        <v>44501</v>
      </c>
      <c r="J362" s="6">
        <v>0</v>
      </c>
      <c r="K362" s="6">
        <v>0</v>
      </c>
      <c r="L362" s="6">
        <v>1.6E-2</v>
      </c>
      <c r="M362" s="6">
        <v>1.6E-2</v>
      </c>
      <c r="N362" s="6">
        <v>1.6E-2</v>
      </c>
      <c r="O362" s="6">
        <v>1.6E-2</v>
      </c>
      <c r="P362" s="6">
        <v>0</v>
      </c>
      <c r="Q362" s="4" t="s">
        <v>26</v>
      </c>
      <c r="R362" s="4">
        <v>0</v>
      </c>
      <c r="S362" s="6">
        <v>0</v>
      </c>
      <c r="T362" s="6">
        <v>70</v>
      </c>
      <c r="U362" s="6">
        <v>39</v>
      </c>
      <c r="V362" s="6">
        <f>IF(ISERROR(VLOOKUP($S$362,'TAR FIN'!$A$1:$O$85,15,0)),0,VLOOKUP($S$362,'TAR FIN'!$A$1:$O$85,15,0))</f>
        <v>0</v>
      </c>
      <c r="W362" s="6">
        <f>IF(ISERROR(VLOOKUP($T$362,'TAR FIN'!$A$1:$O$85,15,0)),0,VLOOKUP($T$362,'TAR FIN'!$A$1:$O$85,15,0))</f>
        <v>1482.7</v>
      </c>
      <c r="X362" s="6">
        <f>IF(ISERROR(VLOOKUP($U$362,'TAR FIN'!$A$1:$O$85,15,0)),0,VLOOKUP($U$362,'TAR FIN'!$A$1:$O$85,15,0))</f>
        <v>240.29</v>
      </c>
      <c r="Y362" s="6"/>
      <c r="Z362" s="6">
        <f ca="1">('TUSD BE'!$AM$46+'TUSD BF'!$AM$46+'TUSD CVA'!$AM$46)*1</f>
        <v>1654.9793740123127</v>
      </c>
      <c r="AA362" s="6">
        <f>('TE BE'!$AA$37+'TE BF'!$AA$37+'TE CVA'!$AA$37)*1</f>
        <v>330.73086315618451</v>
      </c>
      <c r="AB362" s="6">
        <f>$K$362*$V$362</f>
        <v>0</v>
      </c>
      <c r="AC362" s="6">
        <f>$M$362*$W$362</f>
        <v>23.723200000000002</v>
      </c>
      <c r="AD362" s="6">
        <f>$O$362*$X$362</f>
        <v>3.8446400000000001</v>
      </c>
      <c r="AE362" s="6">
        <f>$K$362*$Y$362</f>
        <v>0</v>
      </c>
      <c r="AF362" s="6">
        <f ca="1">$M$362*$Z$362</f>
        <v>26.479669984197006</v>
      </c>
      <c r="AG362" s="6">
        <f>$O$362*$AA$362</f>
        <v>5.2916938104989519</v>
      </c>
    </row>
    <row r="363" spans="1:33" ht="11.25" customHeight="1" x14ac:dyDescent="0.3">
      <c r="A363" s="4" t="s">
        <v>21</v>
      </c>
      <c r="B363" s="4" t="s">
        <v>35</v>
      </c>
      <c r="C363" s="4" t="s">
        <v>33</v>
      </c>
      <c r="D363" s="4" t="s">
        <v>40</v>
      </c>
      <c r="E363" s="4" t="s">
        <v>25</v>
      </c>
      <c r="F363" s="4" t="s">
        <v>25</v>
      </c>
      <c r="G363" s="4" t="s">
        <v>25</v>
      </c>
      <c r="H363" s="4" t="s">
        <v>42</v>
      </c>
      <c r="I363" s="5">
        <v>44531</v>
      </c>
      <c r="J363" s="6">
        <v>0</v>
      </c>
      <c r="K363" s="6">
        <v>0</v>
      </c>
      <c r="L363" s="6">
        <v>1.7999999999999999E-2</v>
      </c>
      <c r="M363" s="6">
        <v>1.7999999999999999E-2</v>
      </c>
      <c r="N363" s="6">
        <v>1.7999999999999999E-2</v>
      </c>
      <c r="O363" s="6">
        <v>1.7999999999999999E-2</v>
      </c>
      <c r="P363" s="6">
        <v>0</v>
      </c>
      <c r="Q363" s="4" t="s">
        <v>26</v>
      </c>
      <c r="R363" s="4">
        <v>0</v>
      </c>
      <c r="S363" s="6">
        <v>0</v>
      </c>
      <c r="T363" s="6">
        <v>70</v>
      </c>
      <c r="U363" s="6">
        <v>39</v>
      </c>
      <c r="V363" s="6">
        <f>IF(ISERROR(VLOOKUP($S$363,'TAR FIN'!$A$1:$O$85,15,0)),0,VLOOKUP($S$363,'TAR FIN'!$A$1:$O$85,15,0))</f>
        <v>0</v>
      </c>
      <c r="W363" s="6">
        <f>IF(ISERROR(VLOOKUP($T$363,'TAR FIN'!$A$1:$O$85,15,0)),0,VLOOKUP($T$363,'TAR FIN'!$A$1:$O$85,15,0))</f>
        <v>1482.7</v>
      </c>
      <c r="X363" s="6">
        <f>IF(ISERROR(VLOOKUP($U$363,'TAR FIN'!$A$1:$O$85,15,0)),0,VLOOKUP($U$363,'TAR FIN'!$A$1:$O$85,15,0))</f>
        <v>240.29</v>
      </c>
      <c r="Y363" s="6"/>
      <c r="Z363" s="6">
        <f ca="1">('TUSD BE'!$AM$46+'TUSD BF'!$AM$46+'TUSD CVA'!$AM$46)*1</f>
        <v>1654.9793740123127</v>
      </c>
      <c r="AA363" s="6">
        <f>('TE BE'!$AA$37+'TE BF'!$AA$37+'TE CVA'!$AA$37)*1</f>
        <v>330.73086315618451</v>
      </c>
      <c r="AB363" s="6">
        <f>$K$363*$V$363</f>
        <v>0</v>
      </c>
      <c r="AC363" s="6">
        <f>$M$363*$W$363</f>
        <v>26.688599999999997</v>
      </c>
      <c r="AD363" s="6">
        <f>$O$363*$X$363</f>
        <v>4.3252199999999998</v>
      </c>
      <c r="AE363" s="6">
        <f>$K$363*$Y$363</f>
        <v>0</v>
      </c>
      <c r="AF363" s="6">
        <f ca="1">$M$363*$Z$363</f>
        <v>29.789628732221626</v>
      </c>
      <c r="AG363" s="6">
        <f>$O$363*$AA$363</f>
        <v>5.9531555368113205</v>
      </c>
    </row>
    <row r="364" spans="1:33" ht="11.25" customHeight="1" x14ac:dyDescent="0.3">
      <c r="A364" s="4" t="s">
        <v>21</v>
      </c>
      <c r="B364" s="4" t="s">
        <v>35</v>
      </c>
      <c r="C364" s="4" t="s">
        <v>33</v>
      </c>
      <c r="D364" s="4" t="s">
        <v>40</v>
      </c>
      <c r="E364" s="4" t="s">
        <v>25</v>
      </c>
      <c r="F364" s="4" t="s">
        <v>25</v>
      </c>
      <c r="G364" s="4" t="s">
        <v>25</v>
      </c>
      <c r="H364" s="4" t="s">
        <v>42</v>
      </c>
      <c r="I364" s="5">
        <v>44562</v>
      </c>
      <c r="J364" s="6">
        <v>0</v>
      </c>
      <c r="K364" s="6">
        <v>0</v>
      </c>
      <c r="L364" s="6">
        <v>2.5000000000000001E-2</v>
      </c>
      <c r="M364" s="6">
        <v>2.5000000000000001E-2</v>
      </c>
      <c r="N364" s="6">
        <v>2.5000000000000001E-2</v>
      </c>
      <c r="O364" s="6">
        <v>2.5000000000000001E-2</v>
      </c>
      <c r="P364" s="6">
        <v>0</v>
      </c>
      <c r="Q364" s="4" t="s">
        <v>26</v>
      </c>
      <c r="R364" s="4">
        <v>0</v>
      </c>
      <c r="S364" s="6">
        <v>0</v>
      </c>
      <c r="T364" s="6">
        <v>70</v>
      </c>
      <c r="U364" s="6">
        <v>39</v>
      </c>
      <c r="V364" s="6">
        <f>IF(ISERROR(VLOOKUP($S$364,'TAR FIN'!$A$1:$O$85,15,0)),0,VLOOKUP($S$364,'TAR FIN'!$A$1:$O$85,15,0))</f>
        <v>0</v>
      </c>
      <c r="W364" s="6">
        <f>IF(ISERROR(VLOOKUP($T$364,'TAR FIN'!$A$1:$O$85,15,0)),0,VLOOKUP($T$364,'TAR FIN'!$A$1:$O$85,15,0))</f>
        <v>1482.7</v>
      </c>
      <c r="X364" s="6">
        <f>IF(ISERROR(VLOOKUP($U$364,'TAR FIN'!$A$1:$O$85,15,0)),0,VLOOKUP($U$364,'TAR FIN'!$A$1:$O$85,15,0))</f>
        <v>240.29</v>
      </c>
      <c r="Y364" s="6"/>
      <c r="Z364" s="6">
        <f ca="1">('TUSD BE'!$AM$46+'TUSD BF'!$AM$46+'TUSD CVA'!$AM$46)*1</f>
        <v>1654.9793740123127</v>
      </c>
      <c r="AA364" s="6">
        <f>('TE BE'!$AA$37+'TE BF'!$AA$37+'TE CVA'!$AA$37)*1</f>
        <v>330.73086315618451</v>
      </c>
      <c r="AB364" s="6">
        <f>$K$364*$V$364</f>
        <v>0</v>
      </c>
      <c r="AC364" s="6">
        <f>$M$364*$W$364</f>
        <v>37.067500000000003</v>
      </c>
      <c r="AD364" s="6">
        <f>$O$364*$X$364</f>
        <v>6.00725</v>
      </c>
      <c r="AE364" s="6">
        <f>$K$364*$Y$364</f>
        <v>0</v>
      </c>
      <c r="AF364" s="6">
        <f ca="1">$M$364*$Z$364</f>
        <v>41.374484350307824</v>
      </c>
      <c r="AG364" s="6">
        <f>$O$364*$AA$364</f>
        <v>8.2682715789046135</v>
      </c>
    </row>
    <row r="365" spans="1:33" ht="11.25" customHeight="1" x14ac:dyDescent="0.3">
      <c r="A365" s="4" t="s">
        <v>21</v>
      </c>
      <c r="B365" s="4" t="s">
        <v>35</v>
      </c>
      <c r="C365" s="4" t="s">
        <v>33</v>
      </c>
      <c r="D365" s="4" t="s">
        <v>40</v>
      </c>
      <c r="E365" s="4" t="s">
        <v>25</v>
      </c>
      <c r="F365" s="4" t="s">
        <v>25</v>
      </c>
      <c r="G365" s="4" t="s">
        <v>25</v>
      </c>
      <c r="H365" s="4" t="s">
        <v>42</v>
      </c>
      <c r="I365" s="5">
        <v>44593</v>
      </c>
      <c r="J365" s="6">
        <v>0</v>
      </c>
      <c r="K365" s="6">
        <v>0</v>
      </c>
      <c r="L365" s="6">
        <v>0.02</v>
      </c>
      <c r="M365" s="6">
        <v>0.02</v>
      </c>
      <c r="N365" s="6">
        <v>0.02</v>
      </c>
      <c r="O365" s="6">
        <v>0.02</v>
      </c>
      <c r="P365" s="6">
        <v>0</v>
      </c>
      <c r="Q365" s="4" t="s">
        <v>26</v>
      </c>
      <c r="R365" s="4">
        <v>0</v>
      </c>
      <c r="S365" s="6">
        <v>0</v>
      </c>
      <c r="T365" s="6">
        <v>70</v>
      </c>
      <c r="U365" s="6">
        <v>39</v>
      </c>
      <c r="V365" s="6">
        <f>IF(ISERROR(VLOOKUP($S$365,'TAR FIN'!$A$1:$O$85,15,0)),0,VLOOKUP($S$365,'TAR FIN'!$A$1:$O$85,15,0))</f>
        <v>0</v>
      </c>
      <c r="W365" s="6">
        <f>IF(ISERROR(VLOOKUP($T$365,'TAR FIN'!$A$1:$O$85,15,0)),0,VLOOKUP($T$365,'TAR FIN'!$A$1:$O$85,15,0))</f>
        <v>1482.7</v>
      </c>
      <c r="X365" s="6">
        <f>IF(ISERROR(VLOOKUP($U$365,'TAR FIN'!$A$1:$O$85,15,0)),0,VLOOKUP($U$365,'TAR FIN'!$A$1:$O$85,15,0))</f>
        <v>240.29</v>
      </c>
      <c r="Y365" s="6"/>
      <c r="Z365" s="6">
        <f ca="1">('TUSD BE'!$AM$46+'TUSD BF'!$AM$46+'TUSD CVA'!$AM$46)*1</f>
        <v>1654.9793740123127</v>
      </c>
      <c r="AA365" s="6">
        <f>('TE BE'!$AA$37+'TE BF'!$AA$37+'TE CVA'!$AA$37)*1</f>
        <v>330.73086315618451</v>
      </c>
      <c r="AB365" s="6">
        <f>$K$365*$V$365</f>
        <v>0</v>
      </c>
      <c r="AC365" s="6">
        <f>$M$365*$W$365</f>
        <v>29.654</v>
      </c>
      <c r="AD365" s="6">
        <f>$O$365*$X$365</f>
        <v>4.8057999999999996</v>
      </c>
      <c r="AE365" s="6">
        <f>$K$365*$Y$365</f>
        <v>0</v>
      </c>
      <c r="AF365" s="6">
        <f ca="1">$M$365*$Z$365</f>
        <v>33.099587480246257</v>
      </c>
      <c r="AG365" s="6">
        <f>$O$365*$AA$365</f>
        <v>6.6146172631236908</v>
      </c>
    </row>
    <row r="366" spans="1:33" ht="11.25" customHeight="1" x14ac:dyDescent="0.3">
      <c r="A366" s="4" t="s">
        <v>21</v>
      </c>
      <c r="B366" s="4" t="s">
        <v>35</v>
      </c>
      <c r="C366" s="4" t="s">
        <v>33</v>
      </c>
      <c r="D366" s="4" t="s">
        <v>40</v>
      </c>
      <c r="E366" s="4" t="s">
        <v>25</v>
      </c>
      <c r="F366" s="4" t="s">
        <v>25</v>
      </c>
      <c r="G366" s="4" t="s">
        <v>25</v>
      </c>
      <c r="H366" s="4" t="s">
        <v>42</v>
      </c>
      <c r="I366" s="5">
        <v>44621</v>
      </c>
      <c r="J366" s="6">
        <v>0</v>
      </c>
      <c r="K366" s="6">
        <v>0</v>
      </c>
      <c r="L366" s="6">
        <v>1.9E-2</v>
      </c>
      <c r="M366" s="6">
        <v>1.9E-2</v>
      </c>
      <c r="N366" s="6">
        <v>1.9E-2</v>
      </c>
      <c r="O366" s="6">
        <v>1.9E-2</v>
      </c>
      <c r="P366" s="6">
        <v>0</v>
      </c>
      <c r="Q366" s="4" t="s">
        <v>26</v>
      </c>
      <c r="R366" s="4">
        <v>0</v>
      </c>
      <c r="S366" s="6">
        <v>0</v>
      </c>
      <c r="T366" s="6">
        <v>70</v>
      </c>
      <c r="U366" s="6">
        <v>39</v>
      </c>
      <c r="V366" s="6">
        <f>IF(ISERROR(VLOOKUP($S$366,'TAR FIN'!$A$1:$O$85,15,0)),0,VLOOKUP($S$366,'TAR FIN'!$A$1:$O$85,15,0))</f>
        <v>0</v>
      </c>
      <c r="W366" s="6">
        <f>IF(ISERROR(VLOOKUP($T$366,'TAR FIN'!$A$1:$O$85,15,0)),0,VLOOKUP($T$366,'TAR FIN'!$A$1:$O$85,15,0))</f>
        <v>1482.7</v>
      </c>
      <c r="X366" s="6">
        <f>IF(ISERROR(VLOOKUP($U$366,'TAR FIN'!$A$1:$O$85,15,0)),0,VLOOKUP($U$366,'TAR FIN'!$A$1:$O$85,15,0))</f>
        <v>240.29</v>
      </c>
      <c r="Y366" s="6"/>
      <c r="Z366" s="6">
        <f ca="1">('TUSD BE'!$AM$46+'TUSD BF'!$AM$46+'TUSD CVA'!$AM$46)*1</f>
        <v>1654.9793740123127</v>
      </c>
      <c r="AA366" s="6">
        <f>('TE BE'!$AA$37+'TE BF'!$AA$37+'TE CVA'!$AA$37)*1</f>
        <v>330.73086315618451</v>
      </c>
      <c r="AB366" s="6">
        <f>$K$366*$V$366</f>
        <v>0</v>
      </c>
      <c r="AC366" s="6">
        <f>$M$366*$W$366</f>
        <v>28.171299999999999</v>
      </c>
      <c r="AD366" s="6">
        <f>$O$366*$X$366</f>
        <v>4.5655099999999997</v>
      </c>
      <c r="AE366" s="6">
        <f>$K$366*$Y$366</f>
        <v>0</v>
      </c>
      <c r="AF366" s="6">
        <f ca="1">$M$366*$Z$366</f>
        <v>31.444608106233943</v>
      </c>
      <c r="AG366" s="6">
        <f>$O$366*$AA$366</f>
        <v>6.2838863999675052</v>
      </c>
    </row>
    <row r="367" spans="1:33" ht="11.25" customHeight="1" x14ac:dyDescent="0.3">
      <c r="A367" s="4" t="s">
        <v>21</v>
      </c>
      <c r="B367" s="4" t="s">
        <v>35</v>
      </c>
      <c r="C367" s="4" t="s">
        <v>33</v>
      </c>
      <c r="D367" s="4" t="s">
        <v>40</v>
      </c>
      <c r="E367" s="4" t="s">
        <v>25</v>
      </c>
      <c r="F367" s="4" t="s">
        <v>25</v>
      </c>
      <c r="G367" s="4" t="s">
        <v>25</v>
      </c>
      <c r="H367" s="4" t="s">
        <v>39</v>
      </c>
      <c r="I367" s="5">
        <v>44287</v>
      </c>
      <c r="J367" s="6">
        <v>0</v>
      </c>
      <c r="K367" s="6">
        <v>0</v>
      </c>
      <c r="L367" s="6">
        <v>2.1999999999999999E-2</v>
      </c>
      <c r="M367" s="6">
        <v>2.1999999999999999E-2</v>
      </c>
      <c r="N367" s="6">
        <v>2.1999999999999999E-2</v>
      </c>
      <c r="O367" s="6">
        <v>2.1999999999999999E-2</v>
      </c>
      <c r="P367" s="6">
        <v>0</v>
      </c>
      <c r="Q367" s="4" t="s">
        <v>26</v>
      </c>
      <c r="R367" s="4">
        <v>0</v>
      </c>
      <c r="S367" s="6">
        <v>0</v>
      </c>
      <c r="T367" s="6">
        <v>65</v>
      </c>
      <c r="U367" s="6">
        <v>38</v>
      </c>
      <c r="V367" s="6">
        <f>IF(ISERROR(VLOOKUP($S$367,'TAR FIN'!$A$1:$O$85,15,0)),0,VLOOKUP($S$367,'TAR FIN'!$A$1:$O$85,15,0))</f>
        <v>0</v>
      </c>
      <c r="W367" s="6">
        <f>IF(ISERROR(VLOOKUP($T$367,'TAR FIN'!$A$1:$O$85,15,0)),0,VLOOKUP($T$367,'TAR FIN'!$A$1:$O$85,15,0))</f>
        <v>2387.14</v>
      </c>
      <c r="X367" s="6">
        <f>IF(ISERROR(VLOOKUP($U$367,'TAR FIN'!$A$1:$O$85,15,0)),0,VLOOKUP($U$367,'TAR FIN'!$A$1:$O$85,15,0))</f>
        <v>240.29</v>
      </c>
      <c r="Y367" s="6"/>
      <c r="Z367" s="6">
        <f ca="1">('TUSD BE'!$AM$45+'TUSD BF'!$AM$45+'TUSD CVA'!$AM$45)*1</f>
        <v>2644.0927517273367</v>
      </c>
      <c r="AA367" s="6">
        <f>('TE BE'!$AA$36+'TE BF'!$AA$36+'TE CVA'!$AA$36)*1</f>
        <v>330.73086315618451</v>
      </c>
      <c r="AB367" s="6">
        <f>$K$367*$V$367</f>
        <v>0</v>
      </c>
      <c r="AC367" s="6">
        <f>$M$367*$W$367</f>
        <v>52.517079999999993</v>
      </c>
      <c r="AD367" s="6">
        <f>$O$367*$X$367</f>
        <v>5.2863799999999994</v>
      </c>
      <c r="AE367" s="6">
        <f>$K$367*$Y$367</f>
        <v>0</v>
      </c>
      <c r="AF367" s="6">
        <f ca="1">$M$367*$Z$367</f>
        <v>58.170040538001402</v>
      </c>
      <c r="AG367" s="6">
        <f>$O$367*$AA$367</f>
        <v>7.2760789894360585</v>
      </c>
    </row>
    <row r="368" spans="1:33" ht="11.25" customHeight="1" x14ac:dyDescent="0.3">
      <c r="A368" s="4" t="s">
        <v>21</v>
      </c>
      <c r="B368" s="4" t="s">
        <v>35</v>
      </c>
      <c r="C368" s="4" t="s">
        <v>33</v>
      </c>
      <c r="D368" s="4" t="s">
        <v>40</v>
      </c>
      <c r="E368" s="4" t="s">
        <v>25</v>
      </c>
      <c r="F368" s="4" t="s">
        <v>25</v>
      </c>
      <c r="G368" s="4" t="s">
        <v>25</v>
      </c>
      <c r="H368" s="4" t="s">
        <v>39</v>
      </c>
      <c r="I368" s="5">
        <v>44317</v>
      </c>
      <c r="J368" s="6">
        <v>0</v>
      </c>
      <c r="K368" s="6">
        <v>0</v>
      </c>
      <c r="L368" s="6">
        <v>2.7E-2</v>
      </c>
      <c r="M368" s="6">
        <v>2.7E-2</v>
      </c>
      <c r="N368" s="6">
        <v>2.7E-2</v>
      </c>
      <c r="O368" s="6">
        <v>2.7E-2</v>
      </c>
      <c r="P368" s="6">
        <v>0</v>
      </c>
      <c r="Q368" s="4" t="s">
        <v>26</v>
      </c>
      <c r="R368" s="4">
        <v>0</v>
      </c>
      <c r="S368" s="6">
        <v>0</v>
      </c>
      <c r="T368" s="6">
        <v>65</v>
      </c>
      <c r="U368" s="6">
        <v>38</v>
      </c>
      <c r="V368" s="6">
        <f>IF(ISERROR(VLOOKUP($S$368,'TAR FIN'!$A$1:$O$85,15,0)),0,VLOOKUP($S$368,'TAR FIN'!$A$1:$O$85,15,0))</f>
        <v>0</v>
      </c>
      <c r="W368" s="6">
        <f>IF(ISERROR(VLOOKUP($T$368,'TAR FIN'!$A$1:$O$85,15,0)),0,VLOOKUP($T$368,'TAR FIN'!$A$1:$O$85,15,0))</f>
        <v>2387.14</v>
      </c>
      <c r="X368" s="6">
        <f>IF(ISERROR(VLOOKUP($U$368,'TAR FIN'!$A$1:$O$85,15,0)),0,VLOOKUP($U$368,'TAR FIN'!$A$1:$O$85,15,0))</f>
        <v>240.29</v>
      </c>
      <c r="Y368" s="6"/>
      <c r="Z368" s="6">
        <f ca="1">('TUSD BE'!$AM$45+'TUSD BF'!$AM$45+'TUSD CVA'!$AM$45)*1</f>
        <v>2644.0927517273367</v>
      </c>
      <c r="AA368" s="6">
        <f>('TE BE'!$AA$36+'TE BF'!$AA$36+'TE CVA'!$AA$36)*1</f>
        <v>330.73086315618451</v>
      </c>
      <c r="AB368" s="6">
        <f>$K$368*$V$368</f>
        <v>0</v>
      </c>
      <c r="AC368" s="6">
        <f>$M$368*$W$368</f>
        <v>64.45277999999999</v>
      </c>
      <c r="AD368" s="6">
        <f>$O$368*$X$368</f>
        <v>6.4878299999999998</v>
      </c>
      <c r="AE368" s="6">
        <f>$K$368*$Y$368</f>
        <v>0</v>
      </c>
      <c r="AF368" s="6">
        <f ca="1">$M$368*$Z$368</f>
        <v>71.390504296638085</v>
      </c>
      <c r="AG368" s="6">
        <f>$O$368*$AA$368</f>
        <v>8.9297333052169812</v>
      </c>
    </row>
    <row r="369" spans="1:33" ht="11.25" customHeight="1" x14ac:dyDescent="0.3">
      <c r="A369" s="4" t="s">
        <v>21</v>
      </c>
      <c r="B369" s="4" t="s">
        <v>35</v>
      </c>
      <c r="C369" s="4" t="s">
        <v>33</v>
      </c>
      <c r="D369" s="4" t="s">
        <v>40</v>
      </c>
      <c r="E369" s="4" t="s">
        <v>25</v>
      </c>
      <c r="F369" s="4" t="s">
        <v>25</v>
      </c>
      <c r="G369" s="4" t="s">
        <v>25</v>
      </c>
      <c r="H369" s="4" t="s">
        <v>39</v>
      </c>
      <c r="I369" s="5">
        <v>44348</v>
      </c>
      <c r="J369" s="6">
        <v>0</v>
      </c>
      <c r="K369" s="6">
        <v>0</v>
      </c>
      <c r="L369" s="6">
        <v>5.3999999999999999E-2</v>
      </c>
      <c r="M369" s="6">
        <v>5.3999999999999999E-2</v>
      </c>
      <c r="N369" s="6">
        <v>5.3999999999999999E-2</v>
      </c>
      <c r="O369" s="6">
        <v>5.3999999999999999E-2</v>
      </c>
      <c r="P369" s="6">
        <v>0</v>
      </c>
      <c r="Q369" s="4" t="s">
        <v>26</v>
      </c>
      <c r="R369" s="4">
        <v>0</v>
      </c>
      <c r="S369" s="6">
        <v>0</v>
      </c>
      <c r="T369" s="6">
        <v>65</v>
      </c>
      <c r="U369" s="6">
        <v>38</v>
      </c>
      <c r="V369" s="6">
        <f>IF(ISERROR(VLOOKUP($S$369,'TAR FIN'!$A$1:$O$85,15,0)),0,VLOOKUP($S$369,'TAR FIN'!$A$1:$O$85,15,0))</f>
        <v>0</v>
      </c>
      <c r="W369" s="6">
        <f>IF(ISERROR(VLOOKUP($T$369,'TAR FIN'!$A$1:$O$85,15,0)),0,VLOOKUP($T$369,'TAR FIN'!$A$1:$O$85,15,0))</f>
        <v>2387.14</v>
      </c>
      <c r="X369" s="6">
        <f>IF(ISERROR(VLOOKUP($U$369,'TAR FIN'!$A$1:$O$85,15,0)),0,VLOOKUP($U$369,'TAR FIN'!$A$1:$O$85,15,0))</f>
        <v>240.29</v>
      </c>
      <c r="Y369" s="6"/>
      <c r="Z369" s="6">
        <f ca="1">('TUSD BE'!$AM$45+'TUSD BF'!$AM$45+'TUSD CVA'!$AM$45)*1</f>
        <v>2644.0927517273367</v>
      </c>
      <c r="AA369" s="6">
        <f>('TE BE'!$AA$36+'TE BF'!$AA$36+'TE CVA'!$AA$36)*1</f>
        <v>330.73086315618451</v>
      </c>
      <c r="AB369" s="6">
        <f>$K$369*$V$369</f>
        <v>0</v>
      </c>
      <c r="AC369" s="6">
        <f>$M$369*$W$369</f>
        <v>128.90555999999998</v>
      </c>
      <c r="AD369" s="6">
        <f>$O$369*$X$369</f>
        <v>12.97566</v>
      </c>
      <c r="AE369" s="6">
        <f>$K$369*$Y$369</f>
        <v>0</v>
      </c>
      <c r="AF369" s="6">
        <f ca="1">$M$369*$Z$369</f>
        <v>142.78100859327617</v>
      </c>
      <c r="AG369" s="6">
        <f>$O$369*$AA$369</f>
        <v>17.859466610433962</v>
      </c>
    </row>
    <row r="370" spans="1:33" ht="11.25" customHeight="1" x14ac:dyDescent="0.3">
      <c r="A370" s="4" t="s">
        <v>21</v>
      </c>
      <c r="B370" s="4" t="s">
        <v>35</v>
      </c>
      <c r="C370" s="4" t="s">
        <v>33</v>
      </c>
      <c r="D370" s="4" t="s">
        <v>40</v>
      </c>
      <c r="E370" s="4" t="s">
        <v>25</v>
      </c>
      <c r="F370" s="4" t="s">
        <v>25</v>
      </c>
      <c r="G370" s="4" t="s">
        <v>25</v>
      </c>
      <c r="H370" s="4" t="s">
        <v>39</v>
      </c>
      <c r="I370" s="5">
        <v>44378</v>
      </c>
      <c r="J370" s="6">
        <v>0</v>
      </c>
      <c r="K370" s="6">
        <v>0</v>
      </c>
      <c r="L370" s="6">
        <v>0.02</v>
      </c>
      <c r="M370" s="6">
        <v>0.02</v>
      </c>
      <c r="N370" s="6">
        <v>0.02</v>
      </c>
      <c r="O370" s="6">
        <v>0.02</v>
      </c>
      <c r="P370" s="6">
        <v>0</v>
      </c>
      <c r="Q370" s="4" t="s">
        <v>26</v>
      </c>
      <c r="R370" s="4">
        <v>0</v>
      </c>
      <c r="S370" s="6">
        <v>0</v>
      </c>
      <c r="T370" s="6">
        <v>65</v>
      </c>
      <c r="U370" s="6">
        <v>38</v>
      </c>
      <c r="V370" s="6">
        <f>IF(ISERROR(VLOOKUP($S$370,'TAR FIN'!$A$1:$O$85,15,0)),0,VLOOKUP($S$370,'TAR FIN'!$A$1:$O$85,15,0))</f>
        <v>0</v>
      </c>
      <c r="W370" s="6">
        <f>IF(ISERROR(VLOOKUP($T$370,'TAR FIN'!$A$1:$O$85,15,0)),0,VLOOKUP($T$370,'TAR FIN'!$A$1:$O$85,15,0))</f>
        <v>2387.14</v>
      </c>
      <c r="X370" s="6">
        <f>IF(ISERROR(VLOOKUP($U$370,'TAR FIN'!$A$1:$O$85,15,0)),0,VLOOKUP($U$370,'TAR FIN'!$A$1:$O$85,15,0))</f>
        <v>240.29</v>
      </c>
      <c r="Y370" s="6"/>
      <c r="Z370" s="6">
        <f ca="1">('TUSD BE'!$AM$45+'TUSD BF'!$AM$45+'TUSD CVA'!$AM$45)*1</f>
        <v>2644.0927517273367</v>
      </c>
      <c r="AA370" s="6">
        <f>('TE BE'!$AA$36+'TE BF'!$AA$36+'TE CVA'!$AA$36)*1</f>
        <v>330.73086315618451</v>
      </c>
      <c r="AB370" s="6">
        <f>$K$370*$V$370</f>
        <v>0</v>
      </c>
      <c r="AC370" s="6">
        <f>$M$370*$W$370</f>
        <v>47.742799999999995</v>
      </c>
      <c r="AD370" s="6">
        <f>$O$370*$X$370</f>
        <v>4.8057999999999996</v>
      </c>
      <c r="AE370" s="6">
        <f>$K$370*$Y$370</f>
        <v>0</v>
      </c>
      <c r="AF370" s="6">
        <f ca="1">$M$370*$Z$370</f>
        <v>52.881855034546732</v>
      </c>
      <c r="AG370" s="6">
        <f>$O$370*$AA$370</f>
        <v>6.6146172631236908</v>
      </c>
    </row>
    <row r="371" spans="1:33" ht="11.25" customHeight="1" x14ac:dyDescent="0.3">
      <c r="A371" s="4" t="s">
        <v>21</v>
      </c>
      <c r="B371" s="4" t="s">
        <v>35</v>
      </c>
      <c r="C371" s="4" t="s">
        <v>33</v>
      </c>
      <c r="D371" s="4" t="s">
        <v>40</v>
      </c>
      <c r="E371" s="4" t="s">
        <v>25</v>
      </c>
      <c r="F371" s="4" t="s">
        <v>25</v>
      </c>
      <c r="G371" s="4" t="s">
        <v>25</v>
      </c>
      <c r="H371" s="4" t="s">
        <v>39</v>
      </c>
      <c r="I371" s="5">
        <v>44409</v>
      </c>
      <c r="J371" s="6">
        <v>0</v>
      </c>
      <c r="K371" s="6">
        <v>0</v>
      </c>
      <c r="L371" s="6">
        <v>3.4000000000000002E-2</v>
      </c>
      <c r="M371" s="6">
        <v>3.4000000000000002E-2</v>
      </c>
      <c r="N371" s="6">
        <v>3.4000000000000002E-2</v>
      </c>
      <c r="O371" s="6">
        <v>3.4000000000000002E-2</v>
      </c>
      <c r="P371" s="6">
        <v>0</v>
      </c>
      <c r="Q371" s="4" t="s">
        <v>26</v>
      </c>
      <c r="R371" s="4">
        <v>0</v>
      </c>
      <c r="S371" s="6">
        <v>0</v>
      </c>
      <c r="T371" s="6">
        <v>65</v>
      </c>
      <c r="U371" s="6">
        <v>38</v>
      </c>
      <c r="V371" s="6">
        <f>IF(ISERROR(VLOOKUP($S$371,'TAR FIN'!$A$1:$O$85,15,0)),0,VLOOKUP($S$371,'TAR FIN'!$A$1:$O$85,15,0))</f>
        <v>0</v>
      </c>
      <c r="W371" s="6">
        <f>IF(ISERROR(VLOOKUP($T$371,'TAR FIN'!$A$1:$O$85,15,0)),0,VLOOKUP($T$371,'TAR FIN'!$A$1:$O$85,15,0))</f>
        <v>2387.14</v>
      </c>
      <c r="X371" s="6">
        <f>IF(ISERROR(VLOOKUP($U$371,'TAR FIN'!$A$1:$O$85,15,0)),0,VLOOKUP($U$371,'TAR FIN'!$A$1:$O$85,15,0))</f>
        <v>240.29</v>
      </c>
      <c r="Y371" s="6"/>
      <c r="Z371" s="6">
        <f ca="1">('TUSD BE'!$AM$45+'TUSD BF'!$AM$45+'TUSD CVA'!$AM$45)*1</f>
        <v>2644.0927517273367</v>
      </c>
      <c r="AA371" s="6">
        <f>('TE BE'!$AA$36+'TE BF'!$AA$36+'TE CVA'!$AA$36)*1</f>
        <v>330.73086315618451</v>
      </c>
      <c r="AB371" s="6">
        <f>$K$371*$V$371</f>
        <v>0</v>
      </c>
      <c r="AC371" s="6">
        <f>$M$371*$W$371</f>
        <v>81.162760000000006</v>
      </c>
      <c r="AD371" s="6">
        <f>$O$371*$X$371</f>
        <v>8.1698599999999999</v>
      </c>
      <c r="AE371" s="6">
        <f>$K$371*$Y$371</f>
        <v>0</v>
      </c>
      <c r="AF371" s="6">
        <f ca="1">$M$371*$Z$371</f>
        <v>89.899153558729452</v>
      </c>
      <c r="AG371" s="6">
        <f>$O$371*$AA$371</f>
        <v>11.244849347310275</v>
      </c>
    </row>
    <row r="372" spans="1:33" ht="11.25" customHeight="1" x14ac:dyDescent="0.3">
      <c r="A372" s="4" t="s">
        <v>21</v>
      </c>
      <c r="B372" s="4" t="s">
        <v>35</v>
      </c>
      <c r="C372" s="4" t="s">
        <v>33</v>
      </c>
      <c r="D372" s="4" t="s">
        <v>40</v>
      </c>
      <c r="E372" s="4" t="s">
        <v>25</v>
      </c>
      <c r="F372" s="4" t="s">
        <v>25</v>
      </c>
      <c r="G372" s="4" t="s">
        <v>25</v>
      </c>
      <c r="H372" s="4" t="s">
        <v>39</v>
      </c>
      <c r="I372" s="5">
        <v>44440</v>
      </c>
      <c r="J372" s="6">
        <v>0</v>
      </c>
      <c r="K372" s="6">
        <v>0</v>
      </c>
      <c r="L372" s="6">
        <v>3.6999999999999998E-2</v>
      </c>
      <c r="M372" s="6">
        <v>3.6999999999999998E-2</v>
      </c>
      <c r="N372" s="6">
        <v>3.6999999999999998E-2</v>
      </c>
      <c r="O372" s="6">
        <v>3.6999999999999998E-2</v>
      </c>
      <c r="P372" s="6">
        <v>0</v>
      </c>
      <c r="Q372" s="4" t="s">
        <v>26</v>
      </c>
      <c r="R372" s="4">
        <v>0</v>
      </c>
      <c r="S372" s="6">
        <v>0</v>
      </c>
      <c r="T372" s="6">
        <v>65</v>
      </c>
      <c r="U372" s="6">
        <v>38</v>
      </c>
      <c r="V372" s="6">
        <f>IF(ISERROR(VLOOKUP($S$372,'TAR FIN'!$A$1:$O$85,15,0)),0,VLOOKUP($S$372,'TAR FIN'!$A$1:$O$85,15,0))</f>
        <v>0</v>
      </c>
      <c r="W372" s="6">
        <f>IF(ISERROR(VLOOKUP($T$372,'TAR FIN'!$A$1:$O$85,15,0)),0,VLOOKUP($T$372,'TAR FIN'!$A$1:$O$85,15,0))</f>
        <v>2387.14</v>
      </c>
      <c r="X372" s="6">
        <f>IF(ISERROR(VLOOKUP($U$372,'TAR FIN'!$A$1:$O$85,15,0)),0,VLOOKUP($U$372,'TAR FIN'!$A$1:$O$85,15,0))</f>
        <v>240.29</v>
      </c>
      <c r="Y372" s="6"/>
      <c r="Z372" s="6">
        <f ca="1">('TUSD BE'!$AM$45+'TUSD BF'!$AM$45+'TUSD CVA'!$AM$45)*1</f>
        <v>2644.0927517273367</v>
      </c>
      <c r="AA372" s="6">
        <f>('TE BE'!$AA$36+'TE BF'!$AA$36+'TE CVA'!$AA$36)*1</f>
        <v>330.73086315618451</v>
      </c>
      <c r="AB372" s="6">
        <f>$K$372*$V$372</f>
        <v>0</v>
      </c>
      <c r="AC372" s="6">
        <f>$M$372*$W$372</f>
        <v>88.324179999999984</v>
      </c>
      <c r="AD372" s="6">
        <f>$O$372*$X$372</f>
        <v>8.8907299999999996</v>
      </c>
      <c r="AE372" s="6">
        <f>$K$372*$Y$372</f>
        <v>0</v>
      </c>
      <c r="AF372" s="6">
        <f ca="1">$M$372*$Z$372</f>
        <v>97.83143181391145</v>
      </c>
      <c r="AG372" s="6">
        <f>$O$372*$AA$372</f>
        <v>12.237041936778827</v>
      </c>
    </row>
    <row r="373" spans="1:33" ht="11.25" customHeight="1" x14ac:dyDescent="0.3">
      <c r="A373" s="4" t="s">
        <v>21</v>
      </c>
      <c r="B373" s="4" t="s">
        <v>35</v>
      </c>
      <c r="C373" s="4" t="s">
        <v>33</v>
      </c>
      <c r="D373" s="4" t="s">
        <v>40</v>
      </c>
      <c r="E373" s="4" t="s">
        <v>25</v>
      </c>
      <c r="F373" s="4" t="s">
        <v>25</v>
      </c>
      <c r="G373" s="4" t="s">
        <v>25</v>
      </c>
      <c r="H373" s="4" t="s">
        <v>39</v>
      </c>
      <c r="I373" s="5">
        <v>44470</v>
      </c>
      <c r="J373" s="6">
        <v>0</v>
      </c>
      <c r="K373" s="6">
        <v>0</v>
      </c>
      <c r="L373" s="6">
        <v>3.1E-2</v>
      </c>
      <c r="M373" s="6">
        <v>3.1E-2</v>
      </c>
      <c r="N373" s="6">
        <v>3.1E-2</v>
      </c>
      <c r="O373" s="6">
        <v>3.1E-2</v>
      </c>
      <c r="P373" s="6">
        <v>0</v>
      </c>
      <c r="Q373" s="4" t="s">
        <v>26</v>
      </c>
      <c r="R373" s="4">
        <v>0</v>
      </c>
      <c r="S373" s="6">
        <v>0</v>
      </c>
      <c r="T373" s="6">
        <v>65</v>
      </c>
      <c r="U373" s="6">
        <v>38</v>
      </c>
      <c r="V373" s="6">
        <f>IF(ISERROR(VLOOKUP($S$373,'TAR FIN'!$A$1:$O$85,15,0)),0,VLOOKUP($S$373,'TAR FIN'!$A$1:$O$85,15,0))</f>
        <v>0</v>
      </c>
      <c r="W373" s="6">
        <f>IF(ISERROR(VLOOKUP($T$373,'TAR FIN'!$A$1:$O$85,15,0)),0,VLOOKUP($T$373,'TAR FIN'!$A$1:$O$85,15,0))</f>
        <v>2387.14</v>
      </c>
      <c r="X373" s="6">
        <f>IF(ISERROR(VLOOKUP($U$373,'TAR FIN'!$A$1:$O$85,15,0)),0,VLOOKUP($U$373,'TAR FIN'!$A$1:$O$85,15,0))</f>
        <v>240.29</v>
      </c>
      <c r="Y373" s="6"/>
      <c r="Z373" s="6">
        <f ca="1">('TUSD BE'!$AM$45+'TUSD BF'!$AM$45+'TUSD CVA'!$AM$45)*1</f>
        <v>2644.0927517273367</v>
      </c>
      <c r="AA373" s="6">
        <f>('TE BE'!$AA$36+'TE BF'!$AA$36+'TE CVA'!$AA$36)*1</f>
        <v>330.73086315618451</v>
      </c>
      <c r="AB373" s="6">
        <f>$K$373*$V$373</f>
        <v>0</v>
      </c>
      <c r="AC373" s="6">
        <f>$M$373*$W$373</f>
        <v>74.001339999999999</v>
      </c>
      <c r="AD373" s="6">
        <f>$O$373*$X$373</f>
        <v>7.4489899999999993</v>
      </c>
      <c r="AE373" s="6">
        <f>$K$373*$Y$373</f>
        <v>0</v>
      </c>
      <c r="AF373" s="6">
        <f ca="1">$M$373*$Z$373</f>
        <v>81.96687530354744</v>
      </c>
      <c r="AG373" s="6">
        <f>$O$373*$AA$373</f>
        <v>10.25265675784172</v>
      </c>
    </row>
    <row r="374" spans="1:33" ht="11.25" customHeight="1" x14ac:dyDescent="0.3">
      <c r="A374" s="4" t="s">
        <v>21</v>
      </c>
      <c r="B374" s="4" t="s">
        <v>35</v>
      </c>
      <c r="C374" s="4" t="s">
        <v>33</v>
      </c>
      <c r="D374" s="4" t="s">
        <v>40</v>
      </c>
      <c r="E374" s="4" t="s">
        <v>25</v>
      </c>
      <c r="F374" s="4" t="s">
        <v>25</v>
      </c>
      <c r="G374" s="4" t="s">
        <v>25</v>
      </c>
      <c r="H374" s="4" t="s">
        <v>39</v>
      </c>
      <c r="I374" s="5">
        <v>44501</v>
      </c>
      <c r="J374" s="6">
        <v>0</v>
      </c>
      <c r="K374" s="6">
        <v>0</v>
      </c>
      <c r="L374" s="6">
        <v>2.7E-2</v>
      </c>
      <c r="M374" s="6">
        <v>2.7E-2</v>
      </c>
      <c r="N374" s="6">
        <v>2.7E-2</v>
      </c>
      <c r="O374" s="6">
        <v>2.7E-2</v>
      </c>
      <c r="P374" s="6">
        <v>0</v>
      </c>
      <c r="Q374" s="4" t="s">
        <v>26</v>
      </c>
      <c r="R374" s="4">
        <v>0</v>
      </c>
      <c r="S374" s="6">
        <v>0</v>
      </c>
      <c r="T374" s="6">
        <v>65</v>
      </c>
      <c r="U374" s="6">
        <v>38</v>
      </c>
      <c r="V374" s="6">
        <f>IF(ISERROR(VLOOKUP($S$374,'TAR FIN'!$A$1:$O$85,15,0)),0,VLOOKUP($S$374,'TAR FIN'!$A$1:$O$85,15,0))</f>
        <v>0</v>
      </c>
      <c r="W374" s="6">
        <f>IF(ISERROR(VLOOKUP($T$374,'TAR FIN'!$A$1:$O$85,15,0)),0,VLOOKUP($T$374,'TAR FIN'!$A$1:$O$85,15,0))</f>
        <v>2387.14</v>
      </c>
      <c r="X374" s="6">
        <f>IF(ISERROR(VLOOKUP($U$374,'TAR FIN'!$A$1:$O$85,15,0)),0,VLOOKUP($U$374,'TAR FIN'!$A$1:$O$85,15,0))</f>
        <v>240.29</v>
      </c>
      <c r="Y374" s="6"/>
      <c r="Z374" s="6">
        <f ca="1">('TUSD BE'!$AM$45+'TUSD BF'!$AM$45+'TUSD CVA'!$AM$45)*1</f>
        <v>2644.0927517273367</v>
      </c>
      <c r="AA374" s="6">
        <f>('TE BE'!$AA$36+'TE BF'!$AA$36+'TE CVA'!$AA$36)*1</f>
        <v>330.73086315618451</v>
      </c>
      <c r="AB374" s="6">
        <f>$K$374*$V$374</f>
        <v>0</v>
      </c>
      <c r="AC374" s="6">
        <f>$M$374*$W$374</f>
        <v>64.45277999999999</v>
      </c>
      <c r="AD374" s="6">
        <f>$O$374*$X$374</f>
        <v>6.4878299999999998</v>
      </c>
      <c r="AE374" s="6">
        <f>$K$374*$Y$374</f>
        <v>0</v>
      </c>
      <c r="AF374" s="6">
        <f ca="1">$M$374*$Z$374</f>
        <v>71.390504296638085</v>
      </c>
      <c r="AG374" s="6">
        <f>$O$374*$AA$374</f>
        <v>8.9297333052169812</v>
      </c>
    </row>
    <row r="375" spans="1:33" ht="11.25" customHeight="1" x14ac:dyDescent="0.3">
      <c r="A375" s="4" t="s">
        <v>21</v>
      </c>
      <c r="B375" s="4" t="s">
        <v>35</v>
      </c>
      <c r="C375" s="4" t="s">
        <v>33</v>
      </c>
      <c r="D375" s="4" t="s">
        <v>40</v>
      </c>
      <c r="E375" s="4" t="s">
        <v>25</v>
      </c>
      <c r="F375" s="4" t="s">
        <v>25</v>
      </c>
      <c r="G375" s="4" t="s">
        <v>25</v>
      </c>
      <c r="H375" s="4" t="s">
        <v>39</v>
      </c>
      <c r="I375" s="5">
        <v>44531</v>
      </c>
      <c r="J375" s="6">
        <v>0</v>
      </c>
      <c r="K375" s="6">
        <v>0</v>
      </c>
      <c r="L375" s="6">
        <v>3.3000000000000002E-2</v>
      </c>
      <c r="M375" s="6">
        <v>3.3000000000000002E-2</v>
      </c>
      <c r="N375" s="6">
        <v>3.3000000000000002E-2</v>
      </c>
      <c r="O375" s="6">
        <v>3.3000000000000002E-2</v>
      </c>
      <c r="P375" s="6">
        <v>0</v>
      </c>
      <c r="Q375" s="4" t="s">
        <v>26</v>
      </c>
      <c r="R375" s="4">
        <v>0</v>
      </c>
      <c r="S375" s="6">
        <v>0</v>
      </c>
      <c r="T375" s="6">
        <v>65</v>
      </c>
      <c r="U375" s="6">
        <v>38</v>
      </c>
      <c r="V375" s="6">
        <f>IF(ISERROR(VLOOKUP($S$375,'TAR FIN'!$A$1:$O$85,15,0)),0,VLOOKUP($S$375,'TAR FIN'!$A$1:$O$85,15,0))</f>
        <v>0</v>
      </c>
      <c r="W375" s="6">
        <f>IF(ISERROR(VLOOKUP($T$375,'TAR FIN'!$A$1:$O$85,15,0)),0,VLOOKUP($T$375,'TAR FIN'!$A$1:$O$85,15,0))</f>
        <v>2387.14</v>
      </c>
      <c r="X375" s="6">
        <f>IF(ISERROR(VLOOKUP($U$375,'TAR FIN'!$A$1:$O$85,15,0)),0,VLOOKUP($U$375,'TAR FIN'!$A$1:$O$85,15,0))</f>
        <v>240.29</v>
      </c>
      <c r="Y375" s="6"/>
      <c r="Z375" s="6">
        <f ca="1">('TUSD BE'!$AM$45+'TUSD BF'!$AM$45+'TUSD CVA'!$AM$45)*1</f>
        <v>2644.0927517273367</v>
      </c>
      <c r="AA375" s="6">
        <f>('TE BE'!$AA$36+'TE BF'!$AA$36+'TE CVA'!$AA$36)*1</f>
        <v>330.73086315618451</v>
      </c>
      <c r="AB375" s="6">
        <f>$K$375*$V$375</f>
        <v>0</v>
      </c>
      <c r="AC375" s="6">
        <f>$M$375*$W$375</f>
        <v>78.775620000000004</v>
      </c>
      <c r="AD375" s="6">
        <f>$O$375*$X$375</f>
        <v>7.92957</v>
      </c>
      <c r="AE375" s="6">
        <f>$K$375*$Y$375</f>
        <v>0</v>
      </c>
      <c r="AF375" s="6">
        <f ca="1">$M$375*$Z$375</f>
        <v>87.25506080700211</v>
      </c>
      <c r="AG375" s="6">
        <f>$O$375*$AA$375</f>
        <v>10.914118484154089</v>
      </c>
    </row>
    <row r="376" spans="1:33" ht="11.25" customHeight="1" x14ac:dyDescent="0.3">
      <c r="A376" s="4" t="s">
        <v>21</v>
      </c>
      <c r="B376" s="4" t="s">
        <v>35</v>
      </c>
      <c r="C376" s="4" t="s">
        <v>33</v>
      </c>
      <c r="D376" s="4" t="s">
        <v>40</v>
      </c>
      <c r="E376" s="4" t="s">
        <v>25</v>
      </c>
      <c r="F376" s="4" t="s">
        <v>25</v>
      </c>
      <c r="G376" s="4" t="s">
        <v>25</v>
      </c>
      <c r="H376" s="4" t="s">
        <v>39</v>
      </c>
      <c r="I376" s="5">
        <v>44562</v>
      </c>
      <c r="J376" s="6">
        <v>0</v>
      </c>
      <c r="K376" s="6">
        <v>0</v>
      </c>
      <c r="L376" s="6">
        <v>4.4999999999999998E-2</v>
      </c>
      <c r="M376" s="6">
        <v>4.4999999999999998E-2</v>
      </c>
      <c r="N376" s="6">
        <v>4.4999999999999998E-2</v>
      </c>
      <c r="O376" s="6">
        <v>4.4999999999999998E-2</v>
      </c>
      <c r="P376" s="6">
        <v>0</v>
      </c>
      <c r="Q376" s="4" t="s">
        <v>26</v>
      </c>
      <c r="R376" s="4">
        <v>0</v>
      </c>
      <c r="S376" s="6">
        <v>0</v>
      </c>
      <c r="T376" s="6">
        <v>65</v>
      </c>
      <c r="U376" s="6">
        <v>38</v>
      </c>
      <c r="V376" s="6">
        <f>IF(ISERROR(VLOOKUP($S$376,'TAR FIN'!$A$1:$O$85,15,0)),0,VLOOKUP($S$376,'TAR FIN'!$A$1:$O$85,15,0))</f>
        <v>0</v>
      </c>
      <c r="W376" s="6">
        <f>IF(ISERROR(VLOOKUP($T$376,'TAR FIN'!$A$1:$O$85,15,0)),0,VLOOKUP($T$376,'TAR FIN'!$A$1:$O$85,15,0))</f>
        <v>2387.14</v>
      </c>
      <c r="X376" s="6">
        <f>IF(ISERROR(VLOOKUP($U$376,'TAR FIN'!$A$1:$O$85,15,0)),0,VLOOKUP($U$376,'TAR FIN'!$A$1:$O$85,15,0))</f>
        <v>240.29</v>
      </c>
      <c r="Y376" s="6"/>
      <c r="Z376" s="6">
        <f ca="1">('TUSD BE'!$AM$45+'TUSD BF'!$AM$45+'TUSD CVA'!$AM$45)*1</f>
        <v>2644.0927517273367</v>
      </c>
      <c r="AA376" s="6">
        <f>('TE BE'!$AA$36+'TE BF'!$AA$36+'TE CVA'!$AA$36)*1</f>
        <v>330.73086315618451</v>
      </c>
      <c r="AB376" s="6">
        <f>$K$376*$V$376</f>
        <v>0</v>
      </c>
      <c r="AC376" s="6">
        <f>$M$376*$W$376</f>
        <v>107.42129999999999</v>
      </c>
      <c r="AD376" s="6">
        <f>$O$376*$X$376</f>
        <v>10.813049999999999</v>
      </c>
      <c r="AE376" s="6">
        <f>$K$376*$Y$376</f>
        <v>0</v>
      </c>
      <c r="AF376" s="6">
        <f ca="1">$M$376*$Z$376</f>
        <v>118.98417382773015</v>
      </c>
      <c r="AG376" s="6">
        <f>$O$376*$AA$376</f>
        <v>14.882888842028303</v>
      </c>
    </row>
    <row r="377" spans="1:33" ht="11.25" customHeight="1" x14ac:dyDescent="0.3">
      <c r="A377" s="4" t="s">
        <v>21</v>
      </c>
      <c r="B377" s="4" t="s">
        <v>35</v>
      </c>
      <c r="C377" s="4" t="s">
        <v>33</v>
      </c>
      <c r="D377" s="4" t="s">
        <v>40</v>
      </c>
      <c r="E377" s="4" t="s">
        <v>25</v>
      </c>
      <c r="F377" s="4" t="s">
        <v>25</v>
      </c>
      <c r="G377" s="4" t="s">
        <v>25</v>
      </c>
      <c r="H377" s="4" t="s">
        <v>39</v>
      </c>
      <c r="I377" s="5">
        <v>44593</v>
      </c>
      <c r="J377" s="6">
        <v>0</v>
      </c>
      <c r="K377" s="6">
        <v>0</v>
      </c>
      <c r="L377" s="6">
        <v>0.03</v>
      </c>
      <c r="M377" s="6">
        <v>0.03</v>
      </c>
      <c r="N377" s="6">
        <v>0.03</v>
      </c>
      <c r="O377" s="6">
        <v>0.03</v>
      </c>
      <c r="P377" s="6">
        <v>0</v>
      </c>
      <c r="Q377" s="4" t="s">
        <v>26</v>
      </c>
      <c r="R377" s="4">
        <v>0</v>
      </c>
      <c r="S377" s="6">
        <v>0</v>
      </c>
      <c r="T377" s="6">
        <v>65</v>
      </c>
      <c r="U377" s="6">
        <v>38</v>
      </c>
      <c r="V377" s="6">
        <f>IF(ISERROR(VLOOKUP($S$377,'TAR FIN'!$A$1:$O$85,15,0)),0,VLOOKUP($S$377,'TAR FIN'!$A$1:$O$85,15,0))</f>
        <v>0</v>
      </c>
      <c r="W377" s="6">
        <f>IF(ISERROR(VLOOKUP($T$377,'TAR FIN'!$A$1:$O$85,15,0)),0,VLOOKUP($T$377,'TAR FIN'!$A$1:$O$85,15,0))</f>
        <v>2387.14</v>
      </c>
      <c r="X377" s="6">
        <f>IF(ISERROR(VLOOKUP($U$377,'TAR FIN'!$A$1:$O$85,15,0)),0,VLOOKUP($U$377,'TAR FIN'!$A$1:$O$85,15,0))</f>
        <v>240.29</v>
      </c>
      <c r="Y377" s="6"/>
      <c r="Z377" s="6">
        <f ca="1">('TUSD BE'!$AM$45+'TUSD BF'!$AM$45+'TUSD CVA'!$AM$45)*1</f>
        <v>2644.0927517273367</v>
      </c>
      <c r="AA377" s="6">
        <f>('TE BE'!$AA$36+'TE BF'!$AA$36+'TE CVA'!$AA$36)*1</f>
        <v>330.73086315618451</v>
      </c>
      <c r="AB377" s="6">
        <f>$K$377*$V$377</f>
        <v>0</v>
      </c>
      <c r="AC377" s="6">
        <f>$M$377*$W$377</f>
        <v>71.614199999999997</v>
      </c>
      <c r="AD377" s="6">
        <f>$O$377*$X$377</f>
        <v>7.2086999999999994</v>
      </c>
      <c r="AE377" s="6">
        <f>$K$377*$Y$377</f>
        <v>0</v>
      </c>
      <c r="AF377" s="6">
        <f ca="1">$M$377*$Z$377</f>
        <v>79.322782551820097</v>
      </c>
      <c r="AG377" s="6">
        <f>$O$377*$AA$377</f>
        <v>9.9219258946855344</v>
      </c>
    </row>
    <row r="378" spans="1:33" ht="11.25" customHeight="1" x14ac:dyDescent="0.3">
      <c r="A378" s="4" t="s">
        <v>21</v>
      </c>
      <c r="B378" s="4" t="s">
        <v>35</v>
      </c>
      <c r="C378" s="4" t="s">
        <v>33</v>
      </c>
      <c r="D378" s="4" t="s">
        <v>40</v>
      </c>
      <c r="E378" s="4" t="s">
        <v>25</v>
      </c>
      <c r="F378" s="4" t="s">
        <v>25</v>
      </c>
      <c r="G378" s="4" t="s">
        <v>25</v>
      </c>
      <c r="H378" s="4" t="s">
        <v>39</v>
      </c>
      <c r="I378" s="5">
        <v>44621</v>
      </c>
      <c r="J378" s="6">
        <v>0</v>
      </c>
      <c r="K378" s="6">
        <v>0</v>
      </c>
      <c r="L378" s="6">
        <v>2.9000000000000001E-2</v>
      </c>
      <c r="M378" s="6">
        <v>2.9000000000000001E-2</v>
      </c>
      <c r="N378" s="6">
        <v>2.9000000000000001E-2</v>
      </c>
      <c r="O378" s="6">
        <v>2.9000000000000001E-2</v>
      </c>
      <c r="P378" s="6">
        <v>0</v>
      </c>
      <c r="Q378" s="4" t="s">
        <v>26</v>
      </c>
      <c r="R378" s="4">
        <v>0</v>
      </c>
      <c r="S378" s="6">
        <v>0</v>
      </c>
      <c r="T378" s="6">
        <v>65</v>
      </c>
      <c r="U378" s="6">
        <v>38</v>
      </c>
      <c r="V378" s="6">
        <f>IF(ISERROR(VLOOKUP($S$378,'TAR FIN'!$A$1:$O$85,15,0)),0,VLOOKUP($S$378,'TAR FIN'!$A$1:$O$85,15,0))</f>
        <v>0</v>
      </c>
      <c r="W378" s="6">
        <f>IF(ISERROR(VLOOKUP($T$378,'TAR FIN'!$A$1:$O$85,15,0)),0,VLOOKUP($T$378,'TAR FIN'!$A$1:$O$85,15,0))</f>
        <v>2387.14</v>
      </c>
      <c r="X378" s="6">
        <f>IF(ISERROR(VLOOKUP($U$378,'TAR FIN'!$A$1:$O$85,15,0)),0,VLOOKUP($U$378,'TAR FIN'!$A$1:$O$85,15,0))</f>
        <v>240.29</v>
      </c>
      <c r="Y378" s="6"/>
      <c r="Z378" s="6">
        <f ca="1">('TUSD BE'!$AM$45+'TUSD BF'!$AM$45+'TUSD CVA'!$AM$45)*1</f>
        <v>2644.0927517273367</v>
      </c>
      <c r="AA378" s="6">
        <f>('TE BE'!$AA$36+'TE BF'!$AA$36+'TE CVA'!$AA$36)*1</f>
        <v>330.73086315618451</v>
      </c>
      <c r="AB378" s="6">
        <f>$K$378*$V$378</f>
        <v>0</v>
      </c>
      <c r="AC378" s="6">
        <f>$M$378*$W$378</f>
        <v>69.227059999999994</v>
      </c>
      <c r="AD378" s="6">
        <f>$O$378*$X$378</f>
        <v>6.9684100000000004</v>
      </c>
      <c r="AE378" s="6">
        <f>$K$378*$Y$378</f>
        <v>0</v>
      </c>
      <c r="AF378" s="6">
        <f ca="1">$M$378*$Z$378</f>
        <v>76.678689800092769</v>
      </c>
      <c r="AG378" s="6">
        <f>$O$378*$AA$378</f>
        <v>9.5911950315293506</v>
      </c>
    </row>
    <row r="379" spans="1:33" ht="11.25" customHeight="1" x14ac:dyDescent="0.3">
      <c r="A379" s="4" t="s">
        <v>21</v>
      </c>
      <c r="B379" s="4" t="s">
        <v>35</v>
      </c>
      <c r="C379" s="4" t="s">
        <v>23</v>
      </c>
      <c r="D379" s="4" t="s">
        <v>40</v>
      </c>
      <c r="E379" s="4" t="s">
        <v>25</v>
      </c>
      <c r="F379" s="4" t="s">
        <v>25</v>
      </c>
      <c r="G379" s="4" t="s">
        <v>25</v>
      </c>
      <c r="H379" s="4" t="s">
        <v>25</v>
      </c>
      <c r="I379" s="5">
        <v>44287</v>
      </c>
      <c r="J379" s="6">
        <v>0</v>
      </c>
      <c r="K379" s="6">
        <v>0</v>
      </c>
      <c r="L379" s="6">
        <v>114.044</v>
      </c>
      <c r="M379" s="6">
        <v>114.044</v>
      </c>
      <c r="N379" s="6">
        <v>114.044</v>
      </c>
      <c r="O379" s="6">
        <v>114.044</v>
      </c>
      <c r="P379" s="6">
        <v>231</v>
      </c>
      <c r="Q379" s="4" t="s">
        <v>26</v>
      </c>
      <c r="R379" s="4">
        <v>0</v>
      </c>
      <c r="S379" s="6">
        <v>0</v>
      </c>
      <c r="T379" s="6">
        <v>17</v>
      </c>
      <c r="U379" s="6">
        <v>46</v>
      </c>
      <c r="V379" s="6">
        <f>IF(ISERROR(VLOOKUP($S$379,'TAR FIN'!$A$1:$O$85,15,0)),0,VLOOKUP($S$379,'TAR FIN'!$A$1:$O$85,15,0))</f>
        <v>0</v>
      </c>
      <c r="W379" s="6">
        <f>IF(ISERROR(VLOOKUP($T$379,'TAR FIN'!$A$1:$O$85,15,0)),0,VLOOKUP($T$379,'TAR FIN'!$A$1:$O$85,15,0))</f>
        <v>867.38</v>
      </c>
      <c r="X379" s="6">
        <f>IF(ISERROR(VLOOKUP($U$379,'TAR FIN'!$A$1:$O$85,15,0)),0,VLOOKUP($U$379,'TAR FIN'!$A$1:$O$85,15,0))</f>
        <v>240.29</v>
      </c>
      <c r="Y379" s="6"/>
      <c r="Z379" s="6">
        <f ca="1">('TUSD BE'!$AM$48+'TUSD BF'!$AM$48+'TUSD CVA'!$AM$48)*1</f>
        <v>982.05733872165513</v>
      </c>
      <c r="AA379" s="6">
        <f>('TE BE'!$AA$39+'TE BF'!$AA$39+'TE CVA'!$AA$39)*1</f>
        <v>330.73086315618451</v>
      </c>
      <c r="AB379" s="6">
        <f>$K$379*$V$379</f>
        <v>0</v>
      </c>
      <c r="AC379" s="6">
        <f>$M$379*$W$379</f>
        <v>98919.484719999993</v>
      </c>
      <c r="AD379" s="6">
        <f>$O$379*$X$379</f>
        <v>27403.632759999997</v>
      </c>
      <c r="AE379" s="6">
        <f>$K$379*$Y$379</f>
        <v>0</v>
      </c>
      <c r="AF379" s="6">
        <f ca="1">$M$379*$Z$379</f>
        <v>111997.74713717244</v>
      </c>
      <c r="AG379" s="6">
        <f>$O$379*$AA$379</f>
        <v>37717.870557783906</v>
      </c>
    </row>
    <row r="380" spans="1:33" ht="11.25" customHeight="1" x14ac:dyDescent="0.3">
      <c r="A380" s="4" t="s">
        <v>28</v>
      </c>
      <c r="B380" s="4" t="s">
        <v>35</v>
      </c>
      <c r="C380" s="4" t="s">
        <v>23</v>
      </c>
      <c r="D380" s="4" t="s">
        <v>40</v>
      </c>
      <c r="E380" s="4" t="s">
        <v>25</v>
      </c>
      <c r="F380" s="4" t="s">
        <v>25</v>
      </c>
      <c r="G380" s="4" t="s">
        <v>25</v>
      </c>
      <c r="H380" s="4" t="s">
        <v>25</v>
      </c>
      <c r="I380" s="5">
        <v>44287</v>
      </c>
      <c r="J380" s="6">
        <v>0</v>
      </c>
      <c r="K380" s="6">
        <v>0</v>
      </c>
      <c r="L380" s="6">
        <v>0.55000000000000004</v>
      </c>
      <c r="M380" s="6">
        <v>0.55000000000000004</v>
      </c>
      <c r="N380" s="6">
        <v>0.55000000000000004</v>
      </c>
      <c r="O380" s="6">
        <v>0.55000000000000004</v>
      </c>
      <c r="P380" s="6">
        <v>6</v>
      </c>
      <c r="Q380" s="4" t="s">
        <v>26</v>
      </c>
      <c r="R380" s="4">
        <v>0</v>
      </c>
      <c r="S380" s="6">
        <v>0</v>
      </c>
      <c r="T380" s="6">
        <v>17</v>
      </c>
      <c r="U380" s="6">
        <v>46</v>
      </c>
      <c r="V380" s="6">
        <f>IF(ISERROR(VLOOKUP($S$380,'TAR FIN'!$A$1:$O$85,15,0)),0,VLOOKUP($S$380,'TAR FIN'!$A$1:$O$85,15,0))</f>
        <v>0</v>
      </c>
      <c r="W380" s="6">
        <f>IF(ISERROR(VLOOKUP($T$380,'TAR FIN'!$A$1:$O$85,15,0)),0,VLOOKUP($T$380,'TAR FIN'!$A$1:$O$85,15,0))</f>
        <v>867.38</v>
      </c>
      <c r="X380" s="6">
        <f>IF(ISERROR(VLOOKUP($U$380,'TAR FIN'!$A$1:$O$85,15,0)),0,VLOOKUP($U$380,'TAR FIN'!$A$1:$O$85,15,0))</f>
        <v>240.29</v>
      </c>
      <c r="Y380" s="6"/>
      <c r="Z380" s="6">
        <f ca="1">('TUSD BE'!$AM$48+'TUSD BF'!$AM$48+'TUSD CVA'!$AM$48)*1</f>
        <v>982.05733872165513</v>
      </c>
      <c r="AA380" s="6">
        <f>('TE BE'!$AA$39+'TE BF'!$AA$39+'TE CVA'!$AA$39)*1</f>
        <v>330.73086315618451</v>
      </c>
      <c r="AB380" s="6">
        <f>$K$380*$V$380</f>
        <v>0</v>
      </c>
      <c r="AC380" s="6">
        <f>$M$380*$W$380</f>
        <v>477.05900000000003</v>
      </c>
      <c r="AD380" s="6">
        <f>$O$380*$X$380</f>
        <v>132.15950000000001</v>
      </c>
      <c r="AE380" s="6">
        <f>$K$380*$Y$380</f>
        <v>0</v>
      </c>
      <c r="AF380" s="6">
        <f ca="1">$M$380*$Z$380</f>
        <v>540.13153629691033</v>
      </c>
      <c r="AG380" s="6">
        <f>$O$380*$AA$380</f>
        <v>181.90197473590149</v>
      </c>
    </row>
    <row r="381" spans="1:33" ht="11.25" customHeight="1" x14ac:dyDescent="0.3">
      <c r="A381" s="4" t="s">
        <v>21</v>
      </c>
      <c r="B381" s="4" t="s">
        <v>35</v>
      </c>
      <c r="C381" s="4" t="s">
        <v>23</v>
      </c>
      <c r="D381" s="4" t="s">
        <v>40</v>
      </c>
      <c r="E381" s="4" t="s">
        <v>25</v>
      </c>
      <c r="F381" s="4" t="s">
        <v>25</v>
      </c>
      <c r="G381" s="4" t="s">
        <v>25</v>
      </c>
      <c r="H381" s="4" t="s">
        <v>25</v>
      </c>
      <c r="I381" s="5">
        <v>44317</v>
      </c>
      <c r="J381" s="6">
        <v>0</v>
      </c>
      <c r="K381" s="6">
        <v>0</v>
      </c>
      <c r="L381" s="6">
        <v>88.447000000000003</v>
      </c>
      <c r="M381" s="6">
        <v>88.447000000000003</v>
      </c>
      <c r="N381" s="6">
        <v>88.447000000000003</v>
      </c>
      <c r="O381" s="6">
        <v>88.447000000000003</v>
      </c>
      <c r="P381" s="6">
        <v>232</v>
      </c>
      <c r="Q381" s="4" t="s">
        <v>26</v>
      </c>
      <c r="R381" s="4">
        <v>0</v>
      </c>
      <c r="S381" s="6">
        <v>0</v>
      </c>
      <c r="T381" s="6">
        <v>17</v>
      </c>
      <c r="U381" s="6">
        <v>46</v>
      </c>
      <c r="V381" s="6">
        <f>IF(ISERROR(VLOOKUP($S$381,'TAR FIN'!$A$1:$O$85,15,0)),0,VLOOKUP($S$381,'TAR FIN'!$A$1:$O$85,15,0))</f>
        <v>0</v>
      </c>
      <c r="W381" s="6">
        <f>IF(ISERROR(VLOOKUP($T$381,'TAR FIN'!$A$1:$O$85,15,0)),0,VLOOKUP($T$381,'TAR FIN'!$A$1:$O$85,15,0))</f>
        <v>867.38</v>
      </c>
      <c r="X381" s="6">
        <f>IF(ISERROR(VLOOKUP($U$381,'TAR FIN'!$A$1:$O$85,15,0)),0,VLOOKUP($U$381,'TAR FIN'!$A$1:$O$85,15,0))</f>
        <v>240.29</v>
      </c>
      <c r="Y381" s="6"/>
      <c r="Z381" s="6">
        <f ca="1">('TUSD BE'!$AM$48+'TUSD BF'!$AM$48+'TUSD CVA'!$AM$48)*1</f>
        <v>982.05733872165513</v>
      </c>
      <c r="AA381" s="6">
        <f>('TE BE'!$AA$39+'TE BF'!$AA$39+'TE CVA'!$AA$39)*1</f>
        <v>330.73086315618451</v>
      </c>
      <c r="AB381" s="6">
        <f>$K$381*$V$381</f>
        <v>0</v>
      </c>
      <c r="AC381" s="6">
        <f>$M$381*$W$381</f>
        <v>76717.158859999996</v>
      </c>
      <c r="AD381" s="6">
        <f>$O$381*$X$381</f>
        <v>21252.929629999999</v>
      </c>
      <c r="AE381" s="6">
        <f>$K$381*$Y$381</f>
        <v>0</v>
      </c>
      <c r="AF381" s="6">
        <f ca="1">$M$381*$Z$381</f>
        <v>86860.025437914228</v>
      </c>
      <c r="AG381" s="6">
        <f>$O$381*$AA$381</f>
        <v>29252.152653575053</v>
      </c>
    </row>
    <row r="382" spans="1:33" ht="11.25" customHeight="1" x14ac:dyDescent="0.3">
      <c r="A382" s="4" t="s">
        <v>28</v>
      </c>
      <c r="B382" s="4" t="s">
        <v>35</v>
      </c>
      <c r="C382" s="4" t="s">
        <v>23</v>
      </c>
      <c r="D382" s="4" t="s">
        <v>40</v>
      </c>
      <c r="E382" s="4" t="s">
        <v>25</v>
      </c>
      <c r="F382" s="4" t="s">
        <v>25</v>
      </c>
      <c r="G382" s="4" t="s">
        <v>25</v>
      </c>
      <c r="H382" s="4" t="s">
        <v>25</v>
      </c>
      <c r="I382" s="5">
        <v>44317</v>
      </c>
      <c r="J382" s="6">
        <v>0</v>
      </c>
      <c r="K382" s="6">
        <v>0</v>
      </c>
      <c r="L382" s="6">
        <v>0.68600000000000005</v>
      </c>
      <c r="M382" s="6">
        <v>0.68600000000000005</v>
      </c>
      <c r="N382" s="6">
        <v>0.68600000000000005</v>
      </c>
      <c r="O382" s="6">
        <v>0.68600000000000005</v>
      </c>
      <c r="P382" s="6">
        <v>6</v>
      </c>
      <c r="Q382" s="4" t="s">
        <v>26</v>
      </c>
      <c r="R382" s="4">
        <v>0</v>
      </c>
      <c r="S382" s="6">
        <v>0</v>
      </c>
      <c r="T382" s="6">
        <v>17</v>
      </c>
      <c r="U382" s="6">
        <v>46</v>
      </c>
      <c r="V382" s="6">
        <f>IF(ISERROR(VLOOKUP($S$382,'TAR FIN'!$A$1:$O$85,15,0)),0,VLOOKUP($S$382,'TAR FIN'!$A$1:$O$85,15,0))</f>
        <v>0</v>
      </c>
      <c r="W382" s="6">
        <f>IF(ISERROR(VLOOKUP($T$382,'TAR FIN'!$A$1:$O$85,15,0)),0,VLOOKUP($T$382,'TAR FIN'!$A$1:$O$85,15,0))</f>
        <v>867.38</v>
      </c>
      <c r="X382" s="6">
        <f>IF(ISERROR(VLOOKUP($U$382,'TAR FIN'!$A$1:$O$85,15,0)),0,VLOOKUP($U$382,'TAR FIN'!$A$1:$O$85,15,0))</f>
        <v>240.29</v>
      </c>
      <c r="Y382" s="6"/>
      <c r="Z382" s="6">
        <f ca="1">('TUSD BE'!$AM$48+'TUSD BF'!$AM$48+'TUSD CVA'!$AM$48)*1</f>
        <v>982.05733872165513</v>
      </c>
      <c r="AA382" s="6">
        <f>('TE BE'!$AA$39+'TE BF'!$AA$39+'TE CVA'!$AA$39)*1</f>
        <v>330.73086315618451</v>
      </c>
      <c r="AB382" s="6">
        <f>$K$382*$V$382</f>
        <v>0</v>
      </c>
      <c r="AC382" s="6">
        <f>$M$382*$W$382</f>
        <v>595.02268000000004</v>
      </c>
      <c r="AD382" s="6">
        <f>$O$382*$X$382</f>
        <v>164.83894000000001</v>
      </c>
      <c r="AE382" s="6">
        <f>$K$382*$Y$382</f>
        <v>0</v>
      </c>
      <c r="AF382" s="6">
        <f ca="1">$M$382*$Z$382</f>
        <v>673.69133436305549</v>
      </c>
      <c r="AG382" s="6">
        <f>$O$382*$AA$382</f>
        <v>226.8813721251426</v>
      </c>
    </row>
    <row r="383" spans="1:33" ht="11.25" customHeight="1" x14ac:dyDescent="0.3">
      <c r="A383" s="4" t="s">
        <v>21</v>
      </c>
      <c r="B383" s="4" t="s">
        <v>35</v>
      </c>
      <c r="C383" s="4" t="s">
        <v>23</v>
      </c>
      <c r="D383" s="4" t="s">
        <v>40</v>
      </c>
      <c r="E383" s="4" t="s">
        <v>25</v>
      </c>
      <c r="F383" s="4" t="s">
        <v>25</v>
      </c>
      <c r="G383" s="4" t="s">
        <v>25</v>
      </c>
      <c r="H383" s="4" t="s">
        <v>25</v>
      </c>
      <c r="I383" s="5">
        <v>44348</v>
      </c>
      <c r="J383" s="6">
        <v>0</v>
      </c>
      <c r="K383" s="6">
        <v>0</v>
      </c>
      <c r="L383" s="6">
        <v>106.11</v>
      </c>
      <c r="M383" s="6">
        <v>106.11</v>
      </c>
      <c r="N383" s="6">
        <v>106.11</v>
      </c>
      <c r="O383" s="6">
        <v>106.11</v>
      </c>
      <c r="P383" s="6">
        <v>236</v>
      </c>
      <c r="Q383" s="4" t="s">
        <v>26</v>
      </c>
      <c r="R383" s="4">
        <v>0</v>
      </c>
      <c r="S383" s="6">
        <v>0</v>
      </c>
      <c r="T383" s="6">
        <v>17</v>
      </c>
      <c r="U383" s="6">
        <v>46</v>
      </c>
      <c r="V383" s="6">
        <f>IF(ISERROR(VLOOKUP($S$383,'TAR FIN'!$A$1:$O$85,15,0)),0,VLOOKUP($S$383,'TAR FIN'!$A$1:$O$85,15,0))</f>
        <v>0</v>
      </c>
      <c r="W383" s="6">
        <f>IF(ISERROR(VLOOKUP($T$383,'TAR FIN'!$A$1:$O$85,15,0)),0,VLOOKUP($T$383,'TAR FIN'!$A$1:$O$85,15,0))</f>
        <v>867.38</v>
      </c>
      <c r="X383" s="6">
        <f>IF(ISERROR(VLOOKUP($U$383,'TAR FIN'!$A$1:$O$85,15,0)),0,VLOOKUP($U$383,'TAR FIN'!$A$1:$O$85,15,0))</f>
        <v>240.29</v>
      </c>
      <c r="Y383" s="6"/>
      <c r="Z383" s="6">
        <f ca="1">('TUSD BE'!$AM$48+'TUSD BF'!$AM$48+'TUSD CVA'!$AM$48)*1</f>
        <v>982.05733872165513</v>
      </c>
      <c r="AA383" s="6">
        <f>('TE BE'!$AA$39+'TE BF'!$AA$39+'TE CVA'!$AA$39)*1</f>
        <v>330.73086315618451</v>
      </c>
      <c r="AB383" s="6">
        <f>$K$383*$V$383</f>
        <v>0</v>
      </c>
      <c r="AC383" s="6">
        <f>$M$383*$W$383</f>
        <v>92037.691800000001</v>
      </c>
      <c r="AD383" s="6">
        <f>$O$383*$X$383</f>
        <v>25497.171899999998</v>
      </c>
      <c r="AE383" s="6">
        <f>$K$383*$Y$383</f>
        <v>0</v>
      </c>
      <c r="AF383" s="6">
        <f ca="1">$M$383*$Z$383</f>
        <v>104206.10421175482</v>
      </c>
      <c r="AG383" s="6">
        <f>$O$383*$AA$383</f>
        <v>35093.851889502737</v>
      </c>
    </row>
    <row r="384" spans="1:33" ht="11.25" customHeight="1" x14ac:dyDescent="0.3">
      <c r="A384" s="4" t="s">
        <v>28</v>
      </c>
      <c r="B384" s="4" t="s">
        <v>35</v>
      </c>
      <c r="C384" s="4" t="s">
        <v>23</v>
      </c>
      <c r="D384" s="4" t="s">
        <v>40</v>
      </c>
      <c r="E384" s="4" t="s">
        <v>25</v>
      </c>
      <c r="F384" s="4" t="s">
        <v>25</v>
      </c>
      <c r="G384" s="4" t="s">
        <v>25</v>
      </c>
      <c r="H384" s="4" t="s">
        <v>25</v>
      </c>
      <c r="I384" s="5">
        <v>44348</v>
      </c>
      <c r="J384" s="6">
        <v>0</v>
      </c>
      <c r="K384" s="6">
        <v>0</v>
      </c>
      <c r="L384" s="6">
        <v>0.82799999999999996</v>
      </c>
      <c r="M384" s="6">
        <v>0.82799999999999996</v>
      </c>
      <c r="N384" s="6">
        <v>0.82799999999999996</v>
      </c>
      <c r="O384" s="6">
        <v>0.82799999999999996</v>
      </c>
      <c r="P384" s="6">
        <v>6</v>
      </c>
      <c r="Q384" s="4" t="s">
        <v>26</v>
      </c>
      <c r="R384" s="4">
        <v>0</v>
      </c>
      <c r="S384" s="6">
        <v>0</v>
      </c>
      <c r="T384" s="6">
        <v>17</v>
      </c>
      <c r="U384" s="6">
        <v>46</v>
      </c>
      <c r="V384" s="6">
        <f>IF(ISERROR(VLOOKUP($S$384,'TAR FIN'!$A$1:$O$85,15,0)),0,VLOOKUP($S$384,'TAR FIN'!$A$1:$O$85,15,0))</f>
        <v>0</v>
      </c>
      <c r="W384" s="6">
        <f>IF(ISERROR(VLOOKUP($T$384,'TAR FIN'!$A$1:$O$85,15,0)),0,VLOOKUP($T$384,'TAR FIN'!$A$1:$O$85,15,0))</f>
        <v>867.38</v>
      </c>
      <c r="X384" s="6">
        <f>IF(ISERROR(VLOOKUP($U$384,'TAR FIN'!$A$1:$O$85,15,0)),0,VLOOKUP($U$384,'TAR FIN'!$A$1:$O$85,15,0))</f>
        <v>240.29</v>
      </c>
      <c r="Y384" s="6"/>
      <c r="Z384" s="6">
        <f ca="1">('TUSD BE'!$AM$48+'TUSD BF'!$AM$48+'TUSD CVA'!$AM$48)*1</f>
        <v>982.05733872165513</v>
      </c>
      <c r="AA384" s="6">
        <f>('TE BE'!$AA$39+'TE BF'!$AA$39+'TE CVA'!$AA$39)*1</f>
        <v>330.73086315618451</v>
      </c>
      <c r="AB384" s="6">
        <f>$K$384*$V$384</f>
        <v>0</v>
      </c>
      <c r="AC384" s="6">
        <f>$M$384*$W$384</f>
        <v>718.19063999999992</v>
      </c>
      <c r="AD384" s="6">
        <f>$O$384*$X$384</f>
        <v>198.96011999999999</v>
      </c>
      <c r="AE384" s="6">
        <f>$K$384*$Y$384</f>
        <v>0</v>
      </c>
      <c r="AF384" s="6">
        <f ca="1">$M$384*$Z$384</f>
        <v>813.14347646153044</v>
      </c>
      <c r="AG384" s="6">
        <f>$O$384*$AA$384</f>
        <v>273.84515469332075</v>
      </c>
    </row>
    <row r="385" spans="1:33" ht="11.25" customHeight="1" x14ac:dyDescent="0.3">
      <c r="A385" s="4" t="s">
        <v>21</v>
      </c>
      <c r="B385" s="4" t="s">
        <v>35</v>
      </c>
      <c r="C385" s="4" t="s">
        <v>23</v>
      </c>
      <c r="D385" s="4" t="s">
        <v>40</v>
      </c>
      <c r="E385" s="4" t="s">
        <v>25</v>
      </c>
      <c r="F385" s="4" t="s">
        <v>25</v>
      </c>
      <c r="G385" s="4" t="s">
        <v>25</v>
      </c>
      <c r="H385" s="4" t="s">
        <v>25</v>
      </c>
      <c r="I385" s="5">
        <v>44378</v>
      </c>
      <c r="J385" s="6">
        <v>0</v>
      </c>
      <c r="K385" s="6">
        <v>0</v>
      </c>
      <c r="L385" s="6">
        <v>94.671000000000006</v>
      </c>
      <c r="M385" s="6">
        <v>94.671000000000006</v>
      </c>
      <c r="N385" s="6">
        <v>94.671000000000006</v>
      </c>
      <c r="O385" s="6">
        <v>94.671000000000006</v>
      </c>
      <c r="P385" s="6">
        <v>233</v>
      </c>
      <c r="Q385" s="4" t="s">
        <v>26</v>
      </c>
      <c r="R385" s="4">
        <v>0</v>
      </c>
      <c r="S385" s="6">
        <v>0</v>
      </c>
      <c r="T385" s="6">
        <v>17</v>
      </c>
      <c r="U385" s="6">
        <v>46</v>
      </c>
      <c r="V385" s="6">
        <f>IF(ISERROR(VLOOKUP($S$385,'TAR FIN'!$A$1:$O$85,15,0)),0,VLOOKUP($S$385,'TAR FIN'!$A$1:$O$85,15,0))</f>
        <v>0</v>
      </c>
      <c r="W385" s="6">
        <f>IF(ISERROR(VLOOKUP($T$385,'TAR FIN'!$A$1:$O$85,15,0)),0,VLOOKUP($T$385,'TAR FIN'!$A$1:$O$85,15,0))</f>
        <v>867.38</v>
      </c>
      <c r="X385" s="6">
        <f>IF(ISERROR(VLOOKUP($U$385,'TAR FIN'!$A$1:$O$85,15,0)),0,VLOOKUP($U$385,'TAR FIN'!$A$1:$O$85,15,0))</f>
        <v>240.29</v>
      </c>
      <c r="Y385" s="6"/>
      <c r="Z385" s="6">
        <f ca="1">('TUSD BE'!$AM$48+'TUSD BF'!$AM$48+'TUSD CVA'!$AM$48)*1</f>
        <v>982.05733872165513</v>
      </c>
      <c r="AA385" s="6">
        <f>('TE BE'!$AA$39+'TE BF'!$AA$39+'TE CVA'!$AA$39)*1</f>
        <v>330.73086315618451</v>
      </c>
      <c r="AB385" s="6">
        <f>$K$385*$V$385</f>
        <v>0</v>
      </c>
      <c r="AC385" s="6">
        <f>$M$385*$W$385</f>
        <v>82115.731980000011</v>
      </c>
      <c r="AD385" s="6">
        <f>$O$385*$X$385</f>
        <v>22748.494590000002</v>
      </c>
      <c r="AE385" s="6">
        <f>$K$385*$Y$385</f>
        <v>0</v>
      </c>
      <c r="AF385" s="6">
        <f ca="1">$M$385*$Z$385</f>
        <v>92972.350314117823</v>
      </c>
      <c r="AG385" s="6">
        <f>$O$385*$AA$385</f>
        <v>31310.621545859147</v>
      </c>
    </row>
    <row r="386" spans="1:33" ht="11.25" customHeight="1" x14ac:dyDescent="0.3">
      <c r="A386" s="4" t="s">
        <v>28</v>
      </c>
      <c r="B386" s="4" t="s">
        <v>35</v>
      </c>
      <c r="C386" s="4" t="s">
        <v>23</v>
      </c>
      <c r="D386" s="4" t="s">
        <v>40</v>
      </c>
      <c r="E386" s="4" t="s">
        <v>25</v>
      </c>
      <c r="F386" s="4" t="s">
        <v>25</v>
      </c>
      <c r="G386" s="4" t="s">
        <v>25</v>
      </c>
      <c r="H386" s="4" t="s">
        <v>25</v>
      </c>
      <c r="I386" s="5">
        <v>44378</v>
      </c>
      <c r="J386" s="6">
        <v>0</v>
      </c>
      <c r="K386" s="6">
        <v>0</v>
      </c>
      <c r="L386" s="6">
        <v>0.69599999999999995</v>
      </c>
      <c r="M386" s="6">
        <v>0.69599999999999995</v>
      </c>
      <c r="N386" s="6">
        <v>0.69599999999999995</v>
      </c>
      <c r="O386" s="6">
        <v>0.69599999999999995</v>
      </c>
      <c r="P386" s="6">
        <v>6</v>
      </c>
      <c r="Q386" s="4" t="s">
        <v>26</v>
      </c>
      <c r="R386" s="4">
        <v>0</v>
      </c>
      <c r="S386" s="6">
        <v>0</v>
      </c>
      <c r="T386" s="6">
        <v>17</v>
      </c>
      <c r="U386" s="6">
        <v>46</v>
      </c>
      <c r="V386" s="6">
        <f>IF(ISERROR(VLOOKUP($S$386,'TAR FIN'!$A$1:$O$85,15,0)),0,VLOOKUP($S$386,'TAR FIN'!$A$1:$O$85,15,0))</f>
        <v>0</v>
      </c>
      <c r="W386" s="6">
        <f>IF(ISERROR(VLOOKUP($T$386,'TAR FIN'!$A$1:$O$85,15,0)),0,VLOOKUP($T$386,'TAR FIN'!$A$1:$O$85,15,0))</f>
        <v>867.38</v>
      </c>
      <c r="X386" s="6">
        <f>IF(ISERROR(VLOOKUP($U$386,'TAR FIN'!$A$1:$O$85,15,0)),0,VLOOKUP($U$386,'TAR FIN'!$A$1:$O$85,15,0))</f>
        <v>240.29</v>
      </c>
      <c r="Y386" s="6"/>
      <c r="Z386" s="6">
        <f ca="1">('TUSD BE'!$AM$48+'TUSD BF'!$AM$48+'TUSD CVA'!$AM$48)*1</f>
        <v>982.05733872165513</v>
      </c>
      <c r="AA386" s="6">
        <f>('TE BE'!$AA$39+'TE BF'!$AA$39+'TE CVA'!$AA$39)*1</f>
        <v>330.73086315618451</v>
      </c>
      <c r="AB386" s="6">
        <f>$K$386*$V$386</f>
        <v>0</v>
      </c>
      <c r="AC386" s="6">
        <f>$M$386*$W$386</f>
        <v>603.69647999999995</v>
      </c>
      <c r="AD386" s="6">
        <f>$O$386*$X$386</f>
        <v>167.24184</v>
      </c>
      <c r="AE386" s="6">
        <f>$K$386*$Y$386</f>
        <v>0</v>
      </c>
      <c r="AF386" s="6">
        <f ca="1">$M$386*$Z$386</f>
        <v>683.51190775027192</v>
      </c>
      <c r="AG386" s="6">
        <f>$O$386*$AA$386</f>
        <v>230.1886807567044</v>
      </c>
    </row>
    <row r="387" spans="1:33" ht="11.25" customHeight="1" x14ac:dyDescent="0.3">
      <c r="A387" s="4" t="s">
        <v>21</v>
      </c>
      <c r="B387" s="4" t="s">
        <v>35</v>
      </c>
      <c r="C387" s="4" t="s">
        <v>23</v>
      </c>
      <c r="D387" s="4" t="s">
        <v>40</v>
      </c>
      <c r="E387" s="4" t="s">
        <v>25</v>
      </c>
      <c r="F387" s="4" t="s">
        <v>25</v>
      </c>
      <c r="G387" s="4" t="s">
        <v>25</v>
      </c>
      <c r="H387" s="4" t="s">
        <v>25</v>
      </c>
      <c r="I387" s="5">
        <v>44409</v>
      </c>
      <c r="J387" s="6">
        <v>0</v>
      </c>
      <c r="K387" s="6">
        <v>0</v>
      </c>
      <c r="L387" s="6">
        <v>92.972999999999999</v>
      </c>
      <c r="M387" s="6">
        <v>92.972999999999999</v>
      </c>
      <c r="N387" s="6">
        <v>92.972999999999999</v>
      </c>
      <c r="O387" s="6">
        <v>92.972999999999999</v>
      </c>
      <c r="P387" s="6">
        <v>234</v>
      </c>
      <c r="Q387" s="4" t="s">
        <v>26</v>
      </c>
      <c r="R387" s="4">
        <v>0</v>
      </c>
      <c r="S387" s="6">
        <v>0</v>
      </c>
      <c r="T387" s="6">
        <v>17</v>
      </c>
      <c r="U387" s="6">
        <v>46</v>
      </c>
      <c r="V387" s="6">
        <f>IF(ISERROR(VLOOKUP($S$387,'TAR FIN'!$A$1:$O$85,15,0)),0,VLOOKUP($S$387,'TAR FIN'!$A$1:$O$85,15,0))</f>
        <v>0</v>
      </c>
      <c r="W387" s="6">
        <f>IF(ISERROR(VLOOKUP($T$387,'TAR FIN'!$A$1:$O$85,15,0)),0,VLOOKUP($T$387,'TAR FIN'!$A$1:$O$85,15,0))</f>
        <v>867.38</v>
      </c>
      <c r="X387" s="6">
        <f>IF(ISERROR(VLOOKUP($U$387,'TAR FIN'!$A$1:$O$85,15,0)),0,VLOOKUP($U$387,'TAR FIN'!$A$1:$O$85,15,0))</f>
        <v>240.29</v>
      </c>
      <c r="Y387" s="6"/>
      <c r="Z387" s="6">
        <f ca="1">('TUSD BE'!$AM$48+'TUSD BF'!$AM$48+'TUSD CVA'!$AM$48)*1</f>
        <v>982.05733872165513</v>
      </c>
      <c r="AA387" s="6">
        <f>('TE BE'!$AA$39+'TE BF'!$AA$39+'TE CVA'!$AA$39)*1</f>
        <v>330.73086315618451</v>
      </c>
      <c r="AB387" s="6">
        <f>$K$387*$V$387</f>
        <v>0</v>
      </c>
      <c r="AC387" s="6">
        <f>$M$387*$W$387</f>
        <v>80642.920740000001</v>
      </c>
      <c r="AD387" s="6">
        <f>$O$387*$X$387</f>
        <v>22340.482169999999</v>
      </c>
      <c r="AE387" s="6">
        <f>$K$387*$Y$387</f>
        <v>0</v>
      </c>
      <c r="AF387" s="6">
        <f ca="1">$M$387*$Z$387</f>
        <v>91304.816952968438</v>
      </c>
      <c r="AG387" s="6">
        <f>$O$387*$AA$387</f>
        <v>30749.040540219943</v>
      </c>
    </row>
    <row r="388" spans="1:33" ht="11.25" customHeight="1" x14ac:dyDescent="0.3">
      <c r="A388" s="4" t="s">
        <v>28</v>
      </c>
      <c r="B388" s="4" t="s">
        <v>35</v>
      </c>
      <c r="C388" s="4" t="s">
        <v>23</v>
      </c>
      <c r="D388" s="4" t="s">
        <v>40</v>
      </c>
      <c r="E388" s="4" t="s">
        <v>25</v>
      </c>
      <c r="F388" s="4" t="s">
        <v>25</v>
      </c>
      <c r="G388" s="4" t="s">
        <v>25</v>
      </c>
      <c r="H388" s="4" t="s">
        <v>25</v>
      </c>
      <c r="I388" s="5">
        <v>44409</v>
      </c>
      <c r="J388" s="6">
        <v>0</v>
      </c>
      <c r="K388" s="6">
        <v>0</v>
      </c>
      <c r="L388" s="6">
        <v>0.66</v>
      </c>
      <c r="M388" s="6">
        <v>0.66</v>
      </c>
      <c r="N388" s="6">
        <v>0.66</v>
      </c>
      <c r="O388" s="6">
        <v>0.66</v>
      </c>
      <c r="P388" s="6">
        <v>6</v>
      </c>
      <c r="Q388" s="4" t="s">
        <v>26</v>
      </c>
      <c r="R388" s="4">
        <v>0</v>
      </c>
      <c r="S388" s="6">
        <v>0</v>
      </c>
      <c r="T388" s="6">
        <v>17</v>
      </c>
      <c r="U388" s="6">
        <v>46</v>
      </c>
      <c r="V388" s="6">
        <f>IF(ISERROR(VLOOKUP($S$388,'TAR FIN'!$A$1:$O$85,15,0)),0,VLOOKUP($S$388,'TAR FIN'!$A$1:$O$85,15,0))</f>
        <v>0</v>
      </c>
      <c r="W388" s="6">
        <f>IF(ISERROR(VLOOKUP($T$388,'TAR FIN'!$A$1:$O$85,15,0)),0,VLOOKUP($T$388,'TAR FIN'!$A$1:$O$85,15,0))</f>
        <v>867.38</v>
      </c>
      <c r="X388" s="6">
        <f>IF(ISERROR(VLOOKUP($U$388,'TAR FIN'!$A$1:$O$85,15,0)),0,VLOOKUP($U$388,'TAR FIN'!$A$1:$O$85,15,0))</f>
        <v>240.29</v>
      </c>
      <c r="Y388" s="6"/>
      <c r="Z388" s="6">
        <f ca="1">('TUSD BE'!$AM$48+'TUSD BF'!$AM$48+'TUSD CVA'!$AM$48)*1</f>
        <v>982.05733872165513</v>
      </c>
      <c r="AA388" s="6">
        <f>('TE BE'!$AA$39+'TE BF'!$AA$39+'TE CVA'!$AA$39)*1</f>
        <v>330.73086315618451</v>
      </c>
      <c r="AB388" s="6">
        <f>$K$388*$V$388</f>
        <v>0</v>
      </c>
      <c r="AC388" s="6">
        <f>$M$388*$W$388</f>
        <v>572.47080000000005</v>
      </c>
      <c r="AD388" s="6">
        <f>$O$388*$X$388</f>
        <v>158.59139999999999</v>
      </c>
      <c r="AE388" s="6">
        <f>$K$388*$Y$388</f>
        <v>0</v>
      </c>
      <c r="AF388" s="6">
        <f ca="1">$M$388*$Z$388</f>
        <v>648.15784355629239</v>
      </c>
      <c r="AG388" s="6">
        <f>$O$388*$AA$388</f>
        <v>218.28236968308178</v>
      </c>
    </row>
    <row r="389" spans="1:33" ht="11.25" customHeight="1" x14ac:dyDescent="0.3">
      <c r="A389" s="4" t="s">
        <v>21</v>
      </c>
      <c r="B389" s="4" t="s">
        <v>35</v>
      </c>
      <c r="C389" s="4" t="s">
        <v>23</v>
      </c>
      <c r="D389" s="4" t="s">
        <v>40</v>
      </c>
      <c r="E389" s="4" t="s">
        <v>25</v>
      </c>
      <c r="F389" s="4" t="s">
        <v>25</v>
      </c>
      <c r="G389" s="4" t="s">
        <v>25</v>
      </c>
      <c r="H389" s="4" t="s">
        <v>25</v>
      </c>
      <c r="I389" s="5">
        <v>44440</v>
      </c>
      <c r="J389" s="6">
        <v>0</v>
      </c>
      <c r="K389" s="6">
        <v>0</v>
      </c>
      <c r="L389" s="6">
        <v>97.465000000000003</v>
      </c>
      <c r="M389" s="6">
        <v>97.465000000000003</v>
      </c>
      <c r="N389" s="6">
        <v>97.465000000000003</v>
      </c>
      <c r="O389" s="6">
        <v>97.465000000000003</v>
      </c>
      <c r="P389" s="6">
        <v>236</v>
      </c>
      <c r="Q389" s="4" t="s">
        <v>26</v>
      </c>
      <c r="R389" s="4">
        <v>0</v>
      </c>
      <c r="S389" s="6">
        <v>0</v>
      </c>
      <c r="T389" s="6">
        <v>17</v>
      </c>
      <c r="U389" s="6">
        <v>46</v>
      </c>
      <c r="V389" s="6">
        <f>IF(ISERROR(VLOOKUP($S$389,'TAR FIN'!$A$1:$O$85,15,0)),0,VLOOKUP($S$389,'TAR FIN'!$A$1:$O$85,15,0))</f>
        <v>0</v>
      </c>
      <c r="W389" s="6">
        <f>IF(ISERROR(VLOOKUP($T$389,'TAR FIN'!$A$1:$O$85,15,0)),0,VLOOKUP($T$389,'TAR FIN'!$A$1:$O$85,15,0))</f>
        <v>867.38</v>
      </c>
      <c r="X389" s="6">
        <f>IF(ISERROR(VLOOKUP($U$389,'TAR FIN'!$A$1:$O$85,15,0)),0,VLOOKUP($U$389,'TAR FIN'!$A$1:$O$85,15,0))</f>
        <v>240.29</v>
      </c>
      <c r="Y389" s="6"/>
      <c r="Z389" s="6">
        <f ca="1">('TUSD BE'!$AM$48+'TUSD BF'!$AM$48+'TUSD CVA'!$AM$48)*1</f>
        <v>982.05733872165513</v>
      </c>
      <c r="AA389" s="6">
        <f>('TE BE'!$AA$39+'TE BF'!$AA$39+'TE CVA'!$AA$39)*1</f>
        <v>330.73086315618451</v>
      </c>
      <c r="AB389" s="6">
        <f>$K$389*$V$389</f>
        <v>0</v>
      </c>
      <c r="AC389" s="6">
        <f>$M$389*$W$389</f>
        <v>84539.191699999996</v>
      </c>
      <c r="AD389" s="6">
        <f>$O$389*$X$389</f>
        <v>23419.864850000002</v>
      </c>
      <c r="AE389" s="6">
        <f>$K$389*$Y$389</f>
        <v>0</v>
      </c>
      <c r="AF389" s="6">
        <f ca="1">$M$389*$Z$389</f>
        <v>95716.218518506124</v>
      </c>
      <c r="AG389" s="6">
        <f>$O$389*$AA$389</f>
        <v>32234.683577517524</v>
      </c>
    </row>
    <row r="390" spans="1:33" ht="11.25" customHeight="1" x14ac:dyDescent="0.3">
      <c r="A390" s="4" t="s">
        <v>28</v>
      </c>
      <c r="B390" s="4" t="s">
        <v>35</v>
      </c>
      <c r="C390" s="4" t="s">
        <v>23</v>
      </c>
      <c r="D390" s="4" t="s">
        <v>40</v>
      </c>
      <c r="E390" s="4" t="s">
        <v>25</v>
      </c>
      <c r="F390" s="4" t="s">
        <v>25</v>
      </c>
      <c r="G390" s="4" t="s">
        <v>25</v>
      </c>
      <c r="H390" s="4" t="s">
        <v>25</v>
      </c>
      <c r="I390" s="5">
        <v>44440</v>
      </c>
      <c r="J390" s="6">
        <v>0</v>
      </c>
      <c r="K390" s="6">
        <v>0</v>
      </c>
      <c r="L390" s="6">
        <v>1.004</v>
      </c>
      <c r="M390" s="6">
        <v>1.004</v>
      </c>
      <c r="N390" s="6">
        <v>1.004</v>
      </c>
      <c r="O390" s="6">
        <v>1.004</v>
      </c>
      <c r="P390" s="6">
        <v>7</v>
      </c>
      <c r="Q390" s="4" t="s">
        <v>26</v>
      </c>
      <c r="R390" s="4">
        <v>0</v>
      </c>
      <c r="S390" s="6">
        <v>0</v>
      </c>
      <c r="T390" s="6">
        <v>17</v>
      </c>
      <c r="U390" s="6">
        <v>46</v>
      </c>
      <c r="V390" s="6">
        <f>IF(ISERROR(VLOOKUP($S$390,'TAR FIN'!$A$1:$O$85,15,0)),0,VLOOKUP($S$390,'TAR FIN'!$A$1:$O$85,15,0))</f>
        <v>0</v>
      </c>
      <c r="W390" s="6">
        <f>IF(ISERROR(VLOOKUP($T$390,'TAR FIN'!$A$1:$O$85,15,0)),0,VLOOKUP($T$390,'TAR FIN'!$A$1:$O$85,15,0))</f>
        <v>867.38</v>
      </c>
      <c r="X390" s="6">
        <f>IF(ISERROR(VLOOKUP($U$390,'TAR FIN'!$A$1:$O$85,15,0)),0,VLOOKUP($U$390,'TAR FIN'!$A$1:$O$85,15,0))</f>
        <v>240.29</v>
      </c>
      <c r="Y390" s="6"/>
      <c r="Z390" s="6">
        <f ca="1">('TUSD BE'!$AM$48+'TUSD BF'!$AM$48+'TUSD CVA'!$AM$48)*1</f>
        <v>982.05733872165513</v>
      </c>
      <c r="AA390" s="6">
        <f>('TE BE'!$AA$39+'TE BF'!$AA$39+'TE CVA'!$AA$39)*1</f>
        <v>330.73086315618451</v>
      </c>
      <c r="AB390" s="6">
        <f>$K$390*$V$390</f>
        <v>0</v>
      </c>
      <c r="AC390" s="6">
        <f>$M$390*$W$390</f>
        <v>870.84951999999998</v>
      </c>
      <c r="AD390" s="6">
        <f>$O$390*$X$390</f>
        <v>241.25116</v>
      </c>
      <c r="AE390" s="6">
        <f>$K$390*$Y$390</f>
        <v>0</v>
      </c>
      <c r="AF390" s="6">
        <f ca="1">$M$390*$Z$390</f>
        <v>985.98556807654177</v>
      </c>
      <c r="AG390" s="6">
        <f>$O$390*$AA$390</f>
        <v>332.05378660880928</v>
      </c>
    </row>
    <row r="391" spans="1:33" ht="11.25" customHeight="1" x14ac:dyDescent="0.3">
      <c r="A391" s="4" t="s">
        <v>21</v>
      </c>
      <c r="B391" s="4" t="s">
        <v>35</v>
      </c>
      <c r="C391" s="4" t="s">
        <v>23</v>
      </c>
      <c r="D391" s="4" t="s">
        <v>40</v>
      </c>
      <c r="E391" s="4" t="s">
        <v>25</v>
      </c>
      <c r="F391" s="4" t="s">
        <v>25</v>
      </c>
      <c r="G391" s="4" t="s">
        <v>25</v>
      </c>
      <c r="H391" s="4" t="s">
        <v>25</v>
      </c>
      <c r="I391" s="5">
        <v>44470</v>
      </c>
      <c r="J391" s="6">
        <v>0</v>
      </c>
      <c r="K391" s="6">
        <v>0</v>
      </c>
      <c r="L391" s="6">
        <v>102.13800000000001</v>
      </c>
      <c r="M391" s="6">
        <v>102.13800000000001</v>
      </c>
      <c r="N391" s="6">
        <v>102.13800000000001</v>
      </c>
      <c r="O391" s="6">
        <v>102.13800000000001</v>
      </c>
      <c r="P391" s="6">
        <v>237</v>
      </c>
      <c r="Q391" s="4" t="s">
        <v>26</v>
      </c>
      <c r="R391" s="4">
        <v>0</v>
      </c>
      <c r="S391" s="6">
        <v>0</v>
      </c>
      <c r="T391" s="6">
        <v>17</v>
      </c>
      <c r="U391" s="6">
        <v>46</v>
      </c>
      <c r="V391" s="6">
        <f>IF(ISERROR(VLOOKUP($S$391,'TAR FIN'!$A$1:$O$85,15,0)),0,VLOOKUP($S$391,'TAR FIN'!$A$1:$O$85,15,0))</f>
        <v>0</v>
      </c>
      <c r="W391" s="6">
        <f>IF(ISERROR(VLOOKUP($T$391,'TAR FIN'!$A$1:$O$85,15,0)),0,VLOOKUP($T$391,'TAR FIN'!$A$1:$O$85,15,0))</f>
        <v>867.38</v>
      </c>
      <c r="X391" s="6">
        <f>IF(ISERROR(VLOOKUP($U$391,'TAR FIN'!$A$1:$O$85,15,0)),0,VLOOKUP($U$391,'TAR FIN'!$A$1:$O$85,15,0))</f>
        <v>240.29</v>
      </c>
      <c r="Y391" s="6"/>
      <c r="Z391" s="6">
        <f ca="1">('TUSD BE'!$AM$48+'TUSD BF'!$AM$48+'TUSD CVA'!$AM$48)*1</f>
        <v>982.05733872165513</v>
      </c>
      <c r="AA391" s="6">
        <f>('TE BE'!$AA$39+'TE BF'!$AA$39+'TE CVA'!$AA$39)*1</f>
        <v>330.73086315618451</v>
      </c>
      <c r="AB391" s="6">
        <f>$K$391*$V$391</f>
        <v>0</v>
      </c>
      <c r="AC391" s="6">
        <f>$M$391*$W$391</f>
        <v>88592.458440000002</v>
      </c>
      <c r="AD391" s="6">
        <f>$O$391*$X$391</f>
        <v>24542.740020000001</v>
      </c>
      <c r="AE391" s="6">
        <f>$K$391*$Y$391</f>
        <v>0</v>
      </c>
      <c r="AF391" s="6">
        <f ca="1">$M$391*$Z$391</f>
        <v>100305.37246235242</v>
      </c>
      <c r="AG391" s="6">
        <f>$O$391*$AA$391</f>
        <v>33780.188901046378</v>
      </c>
    </row>
    <row r="392" spans="1:33" ht="11.25" customHeight="1" x14ac:dyDescent="0.3">
      <c r="A392" s="4" t="s">
        <v>28</v>
      </c>
      <c r="B392" s="4" t="s">
        <v>35</v>
      </c>
      <c r="C392" s="4" t="s">
        <v>23</v>
      </c>
      <c r="D392" s="4" t="s">
        <v>40</v>
      </c>
      <c r="E392" s="4" t="s">
        <v>25</v>
      </c>
      <c r="F392" s="4" t="s">
        <v>25</v>
      </c>
      <c r="G392" s="4" t="s">
        <v>25</v>
      </c>
      <c r="H392" s="4" t="s">
        <v>25</v>
      </c>
      <c r="I392" s="5">
        <v>44470</v>
      </c>
      <c r="J392" s="6">
        <v>0</v>
      </c>
      <c r="K392" s="6">
        <v>0</v>
      </c>
      <c r="L392" s="6">
        <v>0.91300000000000003</v>
      </c>
      <c r="M392" s="6">
        <v>0.91300000000000003</v>
      </c>
      <c r="N392" s="6">
        <v>0.91300000000000003</v>
      </c>
      <c r="O392" s="6">
        <v>0.91300000000000003</v>
      </c>
      <c r="P392" s="6">
        <v>7</v>
      </c>
      <c r="Q392" s="4" t="s">
        <v>26</v>
      </c>
      <c r="R392" s="4">
        <v>0</v>
      </c>
      <c r="S392" s="6">
        <v>0</v>
      </c>
      <c r="T392" s="6">
        <v>17</v>
      </c>
      <c r="U392" s="6">
        <v>46</v>
      </c>
      <c r="V392" s="6">
        <f>IF(ISERROR(VLOOKUP($S$392,'TAR FIN'!$A$1:$O$85,15,0)),0,VLOOKUP($S$392,'TAR FIN'!$A$1:$O$85,15,0))</f>
        <v>0</v>
      </c>
      <c r="W392" s="6">
        <f>IF(ISERROR(VLOOKUP($T$392,'TAR FIN'!$A$1:$O$85,15,0)),0,VLOOKUP($T$392,'TAR FIN'!$A$1:$O$85,15,0))</f>
        <v>867.38</v>
      </c>
      <c r="X392" s="6">
        <f>IF(ISERROR(VLOOKUP($U$392,'TAR FIN'!$A$1:$O$85,15,0)),0,VLOOKUP($U$392,'TAR FIN'!$A$1:$O$85,15,0))</f>
        <v>240.29</v>
      </c>
      <c r="Y392" s="6"/>
      <c r="Z392" s="6">
        <f ca="1">('TUSD BE'!$AM$48+'TUSD BF'!$AM$48+'TUSD CVA'!$AM$48)*1</f>
        <v>982.05733872165513</v>
      </c>
      <c r="AA392" s="6">
        <f>('TE BE'!$AA$39+'TE BF'!$AA$39+'TE CVA'!$AA$39)*1</f>
        <v>330.73086315618451</v>
      </c>
      <c r="AB392" s="6">
        <f>$K$392*$V$392</f>
        <v>0</v>
      </c>
      <c r="AC392" s="6">
        <f>$M$392*$W$392</f>
        <v>791.91794000000004</v>
      </c>
      <c r="AD392" s="6">
        <f>$O$392*$X$392</f>
        <v>219.38477</v>
      </c>
      <c r="AE392" s="6">
        <f>$K$392*$Y$392</f>
        <v>0</v>
      </c>
      <c r="AF392" s="6">
        <f ca="1">$M$392*$Z$392</f>
        <v>896.61835025287121</v>
      </c>
      <c r="AG392" s="6">
        <f>$O$392*$AA$392</f>
        <v>301.95727806159647</v>
      </c>
    </row>
    <row r="393" spans="1:33" ht="11.25" customHeight="1" x14ac:dyDescent="0.3">
      <c r="A393" s="4" t="s">
        <v>21</v>
      </c>
      <c r="B393" s="4" t="s">
        <v>35</v>
      </c>
      <c r="C393" s="4" t="s">
        <v>23</v>
      </c>
      <c r="D393" s="4" t="s">
        <v>40</v>
      </c>
      <c r="E393" s="4" t="s">
        <v>25</v>
      </c>
      <c r="F393" s="4" t="s">
        <v>25</v>
      </c>
      <c r="G393" s="4" t="s">
        <v>25</v>
      </c>
      <c r="H393" s="4" t="s">
        <v>25</v>
      </c>
      <c r="I393" s="5">
        <v>44501</v>
      </c>
      <c r="J393" s="6">
        <v>0</v>
      </c>
      <c r="K393" s="6">
        <v>0</v>
      </c>
      <c r="L393" s="6">
        <v>98.225999999999999</v>
      </c>
      <c r="M393" s="6">
        <v>98.225999999999999</v>
      </c>
      <c r="N393" s="6">
        <v>98.225999999999999</v>
      </c>
      <c r="O393" s="6">
        <v>98.225999999999999</v>
      </c>
      <c r="P393" s="6">
        <v>238</v>
      </c>
      <c r="Q393" s="4" t="s">
        <v>26</v>
      </c>
      <c r="R393" s="4">
        <v>0</v>
      </c>
      <c r="S393" s="6">
        <v>0</v>
      </c>
      <c r="T393" s="6">
        <v>17</v>
      </c>
      <c r="U393" s="6">
        <v>46</v>
      </c>
      <c r="V393" s="6">
        <f>IF(ISERROR(VLOOKUP($S$393,'TAR FIN'!$A$1:$O$85,15,0)),0,VLOOKUP($S$393,'TAR FIN'!$A$1:$O$85,15,0))</f>
        <v>0</v>
      </c>
      <c r="W393" s="6">
        <f>IF(ISERROR(VLOOKUP($T$393,'TAR FIN'!$A$1:$O$85,15,0)),0,VLOOKUP($T$393,'TAR FIN'!$A$1:$O$85,15,0))</f>
        <v>867.38</v>
      </c>
      <c r="X393" s="6">
        <f>IF(ISERROR(VLOOKUP($U$393,'TAR FIN'!$A$1:$O$85,15,0)),0,VLOOKUP($U$393,'TAR FIN'!$A$1:$O$85,15,0))</f>
        <v>240.29</v>
      </c>
      <c r="Y393" s="6"/>
      <c r="Z393" s="6">
        <f ca="1">('TUSD BE'!$AM$48+'TUSD BF'!$AM$48+'TUSD CVA'!$AM$48)*1</f>
        <v>982.05733872165513</v>
      </c>
      <c r="AA393" s="6">
        <f>('TE BE'!$AA$39+'TE BF'!$AA$39+'TE CVA'!$AA$39)*1</f>
        <v>330.73086315618451</v>
      </c>
      <c r="AB393" s="6">
        <f>$K$393*$V$393</f>
        <v>0</v>
      </c>
      <c r="AC393" s="6">
        <f>$M$393*$W$393</f>
        <v>85199.267879999999</v>
      </c>
      <c r="AD393" s="6">
        <f>$O$393*$X$393</f>
        <v>23602.725539999999</v>
      </c>
      <c r="AE393" s="6">
        <f>$K$393*$Y$393</f>
        <v>0</v>
      </c>
      <c r="AF393" s="6">
        <f ca="1">$M$393*$Z$393</f>
        <v>96463.564153273299</v>
      </c>
      <c r="AG393" s="6">
        <f>$O$393*$AA$393</f>
        <v>32486.369764379378</v>
      </c>
    </row>
    <row r="394" spans="1:33" ht="11.25" customHeight="1" x14ac:dyDescent="0.3">
      <c r="A394" s="4" t="s">
        <v>28</v>
      </c>
      <c r="B394" s="4" t="s">
        <v>35</v>
      </c>
      <c r="C394" s="4" t="s">
        <v>23</v>
      </c>
      <c r="D394" s="4" t="s">
        <v>40</v>
      </c>
      <c r="E394" s="4" t="s">
        <v>25</v>
      </c>
      <c r="F394" s="4" t="s">
        <v>25</v>
      </c>
      <c r="G394" s="4" t="s">
        <v>25</v>
      </c>
      <c r="H394" s="4" t="s">
        <v>25</v>
      </c>
      <c r="I394" s="5">
        <v>44501</v>
      </c>
      <c r="J394" s="6">
        <v>0</v>
      </c>
      <c r="K394" s="6">
        <v>0</v>
      </c>
      <c r="L394" s="6">
        <v>0.94199999999999995</v>
      </c>
      <c r="M394" s="6">
        <v>0.94199999999999995</v>
      </c>
      <c r="N394" s="6">
        <v>0.94199999999999995</v>
      </c>
      <c r="O394" s="6">
        <v>0.94199999999999995</v>
      </c>
      <c r="P394" s="6">
        <v>7</v>
      </c>
      <c r="Q394" s="4" t="s">
        <v>26</v>
      </c>
      <c r="R394" s="4">
        <v>0</v>
      </c>
      <c r="S394" s="6">
        <v>0</v>
      </c>
      <c r="T394" s="6">
        <v>17</v>
      </c>
      <c r="U394" s="6">
        <v>46</v>
      </c>
      <c r="V394" s="6">
        <f>IF(ISERROR(VLOOKUP($S$394,'TAR FIN'!$A$1:$O$85,15,0)),0,VLOOKUP($S$394,'TAR FIN'!$A$1:$O$85,15,0))</f>
        <v>0</v>
      </c>
      <c r="W394" s="6">
        <f>IF(ISERROR(VLOOKUP($T$394,'TAR FIN'!$A$1:$O$85,15,0)),0,VLOOKUP($T$394,'TAR FIN'!$A$1:$O$85,15,0))</f>
        <v>867.38</v>
      </c>
      <c r="X394" s="6">
        <f>IF(ISERROR(VLOOKUP($U$394,'TAR FIN'!$A$1:$O$85,15,0)),0,VLOOKUP($U$394,'TAR FIN'!$A$1:$O$85,15,0))</f>
        <v>240.29</v>
      </c>
      <c r="Y394" s="6"/>
      <c r="Z394" s="6">
        <f ca="1">('TUSD BE'!$AM$48+'TUSD BF'!$AM$48+'TUSD CVA'!$AM$48)*1</f>
        <v>982.05733872165513</v>
      </c>
      <c r="AA394" s="6">
        <f>('TE BE'!$AA$39+'TE BF'!$AA$39+'TE CVA'!$AA$39)*1</f>
        <v>330.73086315618451</v>
      </c>
      <c r="AB394" s="6">
        <f>$K$394*$V$394</f>
        <v>0</v>
      </c>
      <c r="AC394" s="6">
        <f>$M$394*$W$394</f>
        <v>817.07195999999999</v>
      </c>
      <c r="AD394" s="6">
        <f>$O$394*$X$394</f>
        <v>226.35317999999998</v>
      </c>
      <c r="AE394" s="6">
        <f>$K$394*$Y$394</f>
        <v>0</v>
      </c>
      <c r="AF394" s="6">
        <f ca="1">$M$394*$Z$394</f>
        <v>925.09801307579903</v>
      </c>
      <c r="AG394" s="6">
        <f>$O$394*$AA$394</f>
        <v>311.54847309312578</v>
      </c>
    </row>
    <row r="395" spans="1:33" ht="11.25" customHeight="1" x14ac:dyDescent="0.3">
      <c r="A395" s="4" t="s">
        <v>21</v>
      </c>
      <c r="B395" s="4" t="s">
        <v>35</v>
      </c>
      <c r="C395" s="4" t="s">
        <v>23</v>
      </c>
      <c r="D395" s="4" t="s">
        <v>40</v>
      </c>
      <c r="E395" s="4" t="s">
        <v>25</v>
      </c>
      <c r="F395" s="4" t="s">
        <v>25</v>
      </c>
      <c r="G395" s="4" t="s">
        <v>25</v>
      </c>
      <c r="H395" s="4" t="s">
        <v>25</v>
      </c>
      <c r="I395" s="5">
        <v>44531</v>
      </c>
      <c r="J395" s="6">
        <v>0</v>
      </c>
      <c r="K395" s="6">
        <v>0</v>
      </c>
      <c r="L395" s="6">
        <v>108.366</v>
      </c>
      <c r="M395" s="6">
        <v>108.366</v>
      </c>
      <c r="N395" s="6">
        <v>108.366</v>
      </c>
      <c r="O395" s="6">
        <v>108.366</v>
      </c>
      <c r="P395" s="6">
        <v>237</v>
      </c>
      <c r="Q395" s="4" t="s">
        <v>26</v>
      </c>
      <c r="R395" s="4">
        <v>0</v>
      </c>
      <c r="S395" s="6">
        <v>0</v>
      </c>
      <c r="T395" s="6">
        <v>17</v>
      </c>
      <c r="U395" s="6">
        <v>46</v>
      </c>
      <c r="V395" s="6">
        <f>IF(ISERROR(VLOOKUP($S$395,'TAR FIN'!$A$1:$O$85,15,0)),0,VLOOKUP($S$395,'TAR FIN'!$A$1:$O$85,15,0))</f>
        <v>0</v>
      </c>
      <c r="W395" s="6">
        <f>IF(ISERROR(VLOOKUP($T$395,'TAR FIN'!$A$1:$O$85,15,0)),0,VLOOKUP($T$395,'TAR FIN'!$A$1:$O$85,15,0))</f>
        <v>867.38</v>
      </c>
      <c r="X395" s="6">
        <f>IF(ISERROR(VLOOKUP($U$395,'TAR FIN'!$A$1:$O$85,15,0)),0,VLOOKUP($U$395,'TAR FIN'!$A$1:$O$85,15,0))</f>
        <v>240.29</v>
      </c>
      <c r="Y395" s="6"/>
      <c r="Z395" s="6">
        <f ca="1">('TUSD BE'!$AM$48+'TUSD BF'!$AM$48+'TUSD CVA'!$AM$48)*1</f>
        <v>982.05733872165513</v>
      </c>
      <c r="AA395" s="6">
        <f>('TE BE'!$AA$39+'TE BF'!$AA$39+'TE CVA'!$AA$39)*1</f>
        <v>330.73086315618451</v>
      </c>
      <c r="AB395" s="6">
        <f>$K$395*$V$395</f>
        <v>0</v>
      </c>
      <c r="AC395" s="6">
        <f>$M$395*$W$395</f>
        <v>93994.501080000002</v>
      </c>
      <c r="AD395" s="6">
        <f>$O$395*$X$395</f>
        <v>26039.26614</v>
      </c>
      <c r="AE395" s="6">
        <f>$K$395*$Y$395</f>
        <v>0</v>
      </c>
      <c r="AF395" s="6">
        <f ca="1">$M$395*$Z$395</f>
        <v>106421.62556791087</v>
      </c>
      <c r="AG395" s="6">
        <f>$O$395*$AA$395</f>
        <v>35839.980716783088</v>
      </c>
    </row>
    <row r="396" spans="1:33" ht="11.25" customHeight="1" x14ac:dyDescent="0.3">
      <c r="A396" s="4" t="s">
        <v>28</v>
      </c>
      <c r="B396" s="4" t="s">
        <v>35</v>
      </c>
      <c r="C396" s="4" t="s">
        <v>23</v>
      </c>
      <c r="D396" s="4" t="s">
        <v>40</v>
      </c>
      <c r="E396" s="4" t="s">
        <v>25</v>
      </c>
      <c r="F396" s="4" t="s">
        <v>25</v>
      </c>
      <c r="G396" s="4" t="s">
        <v>25</v>
      </c>
      <c r="H396" s="4" t="s">
        <v>25</v>
      </c>
      <c r="I396" s="5">
        <v>44531</v>
      </c>
      <c r="J396" s="6">
        <v>0</v>
      </c>
      <c r="K396" s="6">
        <v>0</v>
      </c>
      <c r="L396" s="6">
        <v>1.165</v>
      </c>
      <c r="M396" s="6">
        <v>1.165</v>
      </c>
      <c r="N396" s="6">
        <v>1.165</v>
      </c>
      <c r="O396" s="6">
        <v>1.165</v>
      </c>
      <c r="P396" s="6">
        <v>7</v>
      </c>
      <c r="Q396" s="4" t="s">
        <v>26</v>
      </c>
      <c r="R396" s="4">
        <v>0</v>
      </c>
      <c r="S396" s="6">
        <v>0</v>
      </c>
      <c r="T396" s="6">
        <v>17</v>
      </c>
      <c r="U396" s="6">
        <v>46</v>
      </c>
      <c r="V396" s="6">
        <f>IF(ISERROR(VLOOKUP($S$396,'TAR FIN'!$A$1:$O$85,15,0)),0,VLOOKUP($S$396,'TAR FIN'!$A$1:$O$85,15,0))</f>
        <v>0</v>
      </c>
      <c r="W396" s="6">
        <f>IF(ISERROR(VLOOKUP($T$396,'TAR FIN'!$A$1:$O$85,15,0)),0,VLOOKUP($T$396,'TAR FIN'!$A$1:$O$85,15,0))</f>
        <v>867.38</v>
      </c>
      <c r="X396" s="6">
        <f>IF(ISERROR(VLOOKUP($U$396,'TAR FIN'!$A$1:$O$85,15,0)),0,VLOOKUP($U$396,'TAR FIN'!$A$1:$O$85,15,0))</f>
        <v>240.29</v>
      </c>
      <c r="Y396" s="6"/>
      <c r="Z396" s="6">
        <f ca="1">('TUSD BE'!$AM$48+'TUSD BF'!$AM$48+'TUSD CVA'!$AM$48)*1</f>
        <v>982.05733872165513</v>
      </c>
      <c r="AA396" s="6">
        <f>('TE BE'!$AA$39+'TE BF'!$AA$39+'TE CVA'!$AA$39)*1</f>
        <v>330.73086315618451</v>
      </c>
      <c r="AB396" s="6">
        <f>$K$396*$V$396</f>
        <v>0</v>
      </c>
      <c r="AC396" s="6">
        <f>$M$396*$W$396</f>
        <v>1010.4977</v>
      </c>
      <c r="AD396" s="6">
        <f>$O$396*$X$396</f>
        <v>279.93785000000003</v>
      </c>
      <c r="AE396" s="6">
        <f>$K$396*$Y$396</f>
        <v>0</v>
      </c>
      <c r="AF396" s="6">
        <f ca="1">$M$396*$Z$396</f>
        <v>1144.0967996107283</v>
      </c>
      <c r="AG396" s="6">
        <f>$O$396*$AA$396</f>
        <v>385.30145557695499</v>
      </c>
    </row>
    <row r="397" spans="1:33" ht="11.25" customHeight="1" x14ac:dyDescent="0.3">
      <c r="A397" s="4" t="s">
        <v>21</v>
      </c>
      <c r="B397" s="4" t="s">
        <v>35</v>
      </c>
      <c r="C397" s="4" t="s">
        <v>23</v>
      </c>
      <c r="D397" s="4" t="s">
        <v>40</v>
      </c>
      <c r="E397" s="4" t="s">
        <v>25</v>
      </c>
      <c r="F397" s="4" t="s">
        <v>25</v>
      </c>
      <c r="G397" s="4" t="s">
        <v>25</v>
      </c>
      <c r="H397" s="4" t="s">
        <v>25</v>
      </c>
      <c r="I397" s="5">
        <v>44562</v>
      </c>
      <c r="J397" s="6">
        <v>0</v>
      </c>
      <c r="K397" s="6">
        <v>0</v>
      </c>
      <c r="L397" s="6">
        <v>130.41300000000001</v>
      </c>
      <c r="M397" s="6">
        <v>130.41300000000001</v>
      </c>
      <c r="N397" s="6">
        <v>130.41300000000001</v>
      </c>
      <c r="O397" s="6">
        <v>130.41300000000001</v>
      </c>
      <c r="P397" s="6">
        <v>239</v>
      </c>
      <c r="Q397" s="4" t="s">
        <v>26</v>
      </c>
      <c r="R397" s="4">
        <v>0</v>
      </c>
      <c r="S397" s="6">
        <v>0</v>
      </c>
      <c r="T397" s="6">
        <v>17</v>
      </c>
      <c r="U397" s="6">
        <v>46</v>
      </c>
      <c r="V397" s="6">
        <f>IF(ISERROR(VLOOKUP($S$397,'TAR FIN'!$A$1:$O$85,15,0)),0,VLOOKUP($S$397,'TAR FIN'!$A$1:$O$85,15,0))</f>
        <v>0</v>
      </c>
      <c r="W397" s="6">
        <f>IF(ISERROR(VLOOKUP($T$397,'TAR FIN'!$A$1:$O$85,15,0)),0,VLOOKUP($T$397,'TAR FIN'!$A$1:$O$85,15,0))</f>
        <v>867.38</v>
      </c>
      <c r="X397" s="6">
        <f>IF(ISERROR(VLOOKUP($U$397,'TAR FIN'!$A$1:$O$85,15,0)),0,VLOOKUP($U$397,'TAR FIN'!$A$1:$O$85,15,0))</f>
        <v>240.29</v>
      </c>
      <c r="Y397" s="6"/>
      <c r="Z397" s="6">
        <f ca="1">('TUSD BE'!$AM$48+'TUSD BF'!$AM$48+'TUSD CVA'!$AM$48)*1</f>
        <v>982.05733872165513</v>
      </c>
      <c r="AA397" s="6">
        <f>('TE BE'!$AA$39+'TE BF'!$AA$39+'TE CVA'!$AA$39)*1</f>
        <v>330.73086315618451</v>
      </c>
      <c r="AB397" s="6">
        <f>$K$397*$V$397</f>
        <v>0</v>
      </c>
      <c r="AC397" s="6">
        <f>$M$397*$W$397</f>
        <v>113117.62794000001</v>
      </c>
      <c r="AD397" s="6">
        <f>$O$397*$X$397</f>
        <v>31336.939770000001</v>
      </c>
      <c r="AE397" s="6">
        <f>$K$397*$Y$397</f>
        <v>0</v>
      </c>
      <c r="AF397" s="6">
        <f ca="1">$M$397*$Z$397</f>
        <v>128073.04371470722</v>
      </c>
      <c r="AG397" s="6">
        <f>$O$397*$AA$397</f>
        <v>43131.604056787495</v>
      </c>
    </row>
    <row r="398" spans="1:33" ht="11.25" customHeight="1" x14ac:dyDescent="0.3">
      <c r="A398" s="4" t="s">
        <v>27</v>
      </c>
      <c r="B398" s="4" t="s">
        <v>35</v>
      </c>
      <c r="C398" s="4" t="s">
        <v>23</v>
      </c>
      <c r="D398" s="4" t="s">
        <v>40</v>
      </c>
      <c r="E398" s="4" t="s">
        <v>25</v>
      </c>
      <c r="F398" s="4" t="s">
        <v>25</v>
      </c>
      <c r="G398" s="4" t="s">
        <v>25</v>
      </c>
      <c r="H398" s="4" t="s">
        <v>25</v>
      </c>
      <c r="I398" s="5">
        <v>44562</v>
      </c>
      <c r="J398" s="6">
        <v>0</v>
      </c>
      <c r="K398" s="6">
        <v>0</v>
      </c>
      <c r="L398" s="6">
        <v>-0.35799999999999998</v>
      </c>
      <c r="M398" s="6">
        <v>-0.35799999999999998</v>
      </c>
      <c r="N398" s="6">
        <v>-0.35799999999999998</v>
      </c>
      <c r="O398" s="6">
        <v>-0.35799999999999998</v>
      </c>
      <c r="P398" s="6">
        <v>0</v>
      </c>
      <c r="Q398" s="4" t="s">
        <v>26</v>
      </c>
      <c r="R398" s="4">
        <v>0</v>
      </c>
      <c r="S398" s="6">
        <v>0</v>
      </c>
      <c r="T398" s="6">
        <v>17</v>
      </c>
      <c r="U398" s="6">
        <v>46</v>
      </c>
      <c r="V398" s="6">
        <f>IF(ISERROR(VLOOKUP($S$398,'TAR FIN'!$A$1:$O$85,15,0)),0,VLOOKUP($S$398,'TAR FIN'!$A$1:$O$85,15,0))</f>
        <v>0</v>
      </c>
      <c r="W398" s="6">
        <f>IF(ISERROR(VLOOKUP($T$398,'TAR FIN'!$A$1:$O$85,15,0)),0,VLOOKUP($T$398,'TAR FIN'!$A$1:$O$85,15,0))</f>
        <v>867.38</v>
      </c>
      <c r="X398" s="6">
        <f>IF(ISERROR(VLOOKUP($U$398,'TAR FIN'!$A$1:$O$85,15,0)),0,VLOOKUP($U$398,'TAR FIN'!$A$1:$O$85,15,0))</f>
        <v>240.29</v>
      </c>
      <c r="Y398" s="6"/>
      <c r="Z398" s="6">
        <f ca="1">('TUSD BE'!$AM$48+'TUSD BF'!$AM$48+'TUSD CVA'!$AM$48)*1</f>
        <v>982.05733872165513</v>
      </c>
      <c r="AA398" s="6">
        <f>('TE BE'!$AA$39+'TE BF'!$AA$39+'TE CVA'!$AA$39)*1</f>
        <v>330.73086315618451</v>
      </c>
      <c r="AB398" s="6">
        <f>$K$398*$V$398</f>
        <v>0</v>
      </c>
      <c r="AC398" s="6">
        <f>$M$398*$W$398</f>
        <v>-310.52204</v>
      </c>
      <c r="AD398" s="6">
        <f>$O$398*$X$398</f>
        <v>-86.023820000000001</v>
      </c>
      <c r="AE398" s="6">
        <f>$K$398*$Y$398</f>
        <v>0</v>
      </c>
      <c r="AF398" s="6">
        <f ca="1">$M$398*$Z$398</f>
        <v>-351.5765272623525</v>
      </c>
      <c r="AG398" s="6">
        <f>$O$398*$AA$398</f>
        <v>-118.40164900991405</v>
      </c>
    </row>
    <row r="399" spans="1:33" ht="11.25" customHeight="1" x14ac:dyDescent="0.3">
      <c r="A399" s="4" t="s">
        <v>28</v>
      </c>
      <c r="B399" s="4" t="s">
        <v>35</v>
      </c>
      <c r="C399" s="4" t="s">
        <v>23</v>
      </c>
      <c r="D399" s="4" t="s">
        <v>40</v>
      </c>
      <c r="E399" s="4" t="s">
        <v>25</v>
      </c>
      <c r="F399" s="4" t="s">
        <v>25</v>
      </c>
      <c r="G399" s="4" t="s">
        <v>25</v>
      </c>
      <c r="H399" s="4" t="s">
        <v>25</v>
      </c>
      <c r="I399" s="5">
        <v>44562</v>
      </c>
      <c r="J399" s="6">
        <v>0</v>
      </c>
      <c r="K399" s="6">
        <v>0</v>
      </c>
      <c r="L399" s="6">
        <v>1.49</v>
      </c>
      <c r="M399" s="6">
        <v>1.49</v>
      </c>
      <c r="N399" s="6">
        <v>1.49</v>
      </c>
      <c r="O399" s="6">
        <v>1.49</v>
      </c>
      <c r="P399" s="6">
        <v>7</v>
      </c>
      <c r="Q399" s="4" t="s">
        <v>26</v>
      </c>
      <c r="R399" s="4">
        <v>0</v>
      </c>
      <c r="S399" s="6">
        <v>0</v>
      </c>
      <c r="T399" s="6">
        <v>17</v>
      </c>
      <c r="U399" s="6">
        <v>46</v>
      </c>
      <c r="V399" s="6">
        <f>IF(ISERROR(VLOOKUP($S$399,'TAR FIN'!$A$1:$O$85,15,0)),0,VLOOKUP($S$399,'TAR FIN'!$A$1:$O$85,15,0))</f>
        <v>0</v>
      </c>
      <c r="W399" s="6">
        <f>IF(ISERROR(VLOOKUP($T$399,'TAR FIN'!$A$1:$O$85,15,0)),0,VLOOKUP($T$399,'TAR FIN'!$A$1:$O$85,15,0))</f>
        <v>867.38</v>
      </c>
      <c r="X399" s="6">
        <f>IF(ISERROR(VLOOKUP($U$399,'TAR FIN'!$A$1:$O$85,15,0)),0,VLOOKUP($U$399,'TAR FIN'!$A$1:$O$85,15,0))</f>
        <v>240.29</v>
      </c>
      <c r="Y399" s="6"/>
      <c r="Z399" s="6">
        <f ca="1">('TUSD BE'!$AM$48+'TUSD BF'!$AM$48+'TUSD CVA'!$AM$48)*1</f>
        <v>982.05733872165513</v>
      </c>
      <c r="AA399" s="6">
        <f>('TE BE'!$AA$39+'TE BF'!$AA$39+'TE CVA'!$AA$39)*1</f>
        <v>330.73086315618451</v>
      </c>
      <c r="AB399" s="6">
        <f>$K$399*$V$399</f>
        <v>0</v>
      </c>
      <c r="AC399" s="6">
        <f>$M$399*$W$399</f>
        <v>1292.3961999999999</v>
      </c>
      <c r="AD399" s="6">
        <f>$O$399*$X$399</f>
        <v>358.03210000000001</v>
      </c>
      <c r="AE399" s="6">
        <f>$K$399*$Y$399</f>
        <v>0</v>
      </c>
      <c r="AF399" s="6">
        <f ca="1">$M$399*$Z$399</f>
        <v>1463.2654346952661</v>
      </c>
      <c r="AG399" s="6">
        <f>$O$399*$AA$399</f>
        <v>492.78898610271494</v>
      </c>
    </row>
    <row r="400" spans="1:33" ht="11.25" customHeight="1" x14ac:dyDescent="0.3">
      <c r="A400" s="4" t="s">
        <v>21</v>
      </c>
      <c r="B400" s="4" t="s">
        <v>35</v>
      </c>
      <c r="C400" s="4" t="s">
        <v>23</v>
      </c>
      <c r="D400" s="4" t="s">
        <v>40</v>
      </c>
      <c r="E400" s="4" t="s">
        <v>25</v>
      </c>
      <c r="F400" s="4" t="s">
        <v>25</v>
      </c>
      <c r="G400" s="4" t="s">
        <v>25</v>
      </c>
      <c r="H400" s="4" t="s">
        <v>25</v>
      </c>
      <c r="I400" s="5">
        <v>44593</v>
      </c>
      <c r="J400" s="6">
        <v>0</v>
      </c>
      <c r="K400" s="6">
        <v>0</v>
      </c>
      <c r="L400" s="6">
        <v>119.22199999999999</v>
      </c>
      <c r="M400" s="6">
        <v>119.22199999999999</v>
      </c>
      <c r="N400" s="6">
        <v>119.22199999999999</v>
      </c>
      <c r="O400" s="6">
        <v>119.22199999999999</v>
      </c>
      <c r="P400" s="6">
        <v>239</v>
      </c>
      <c r="Q400" s="4" t="s">
        <v>26</v>
      </c>
      <c r="R400" s="4">
        <v>0</v>
      </c>
      <c r="S400" s="6">
        <v>0</v>
      </c>
      <c r="T400" s="6">
        <v>17</v>
      </c>
      <c r="U400" s="6">
        <v>46</v>
      </c>
      <c r="V400" s="6">
        <f>IF(ISERROR(VLOOKUP($S$400,'TAR FIN'!$A$1:$O$85,15,0)),0,VLOOKUP($S$400,'TAR FIN'!$A$1:$O$85,15,0))</f>
        <v>0</v>
      </c>
      <c r="W400" s="6">
        <f>IF(ISERROR(VLOOKUP($T$400,'TAR FIN'!$A$1:$O$85,15,0)),0,VLOOKUP($T$400,'TAR FIN'!$A$1:$O$85,15,0))</f>
        <v>867.38</v>
      </c>
      <c r="X400" s="6">
        <f>IF(ISERROR(VLOOKUP($U$400,'TAR FIN'!$A$1:$O$85,15,0)),0,VLOOKUP($U$400,'TAR FIN'!$A$1:$O$85,15,0))</f>
        <v>240.29</v>
      </c>
      <c r="Y400" s="6"/>
      <c r="Z400" s="6">
        <f ca="1">('TUSD BE'!$AM$48+'TUSD BF'!$AM$48+'TUSD CVA'!$AM$48)*1</f>
        <v>982.05733872165513</v>
      </c>
      <c r="AA400" s="6">
        <f>('TE BE'!$AA$39+'TE BF'!$AA$39+'TE CVA'!$AA$39)*1</f>
        <v>330.73086315618451</v>
      </c>
      <c r="AB400" s="6">
        <f>$K$400*$V$400</f>
        <v>0</v>
      </c>
      <c r="AC400" s="6">
        <f>$M$400*$W$400</f>
        <v>103410.77836</v>
      </c>
      <c r="AD400" s="6">
        <f>$O$400*$X$400</f>
        <v>28647.854379999997</v>
      </c>
      <c r="AE400" s="6">
        <f>$K$400*$Y$400</f>
        <v>0</v>
      </c>
      <c r="AF400" s="6">
        <f ca="1">$M$400*$Z$400</f>
        <v>117082.84003707317</v>
      </c>
      <c r="AG400" s="6">
        <f>$O$400*$AA$400</f>
        <v>39430.39496720663</v>
      </c>
    </row>
    <row r="401" spans="1:33" ht="11.25" customHeight="1" x14ac:dyDescent="0.3">
      <c r="A401" s="4" t="s">
        <v>28</v>
      </c>
      <c r="B401" s="4" t="s">
        <v>35</v>
      </c>
      <c r="C401" s="4" t="s">
        <v>23</v>
      </c>
      <c r="D401" s="4" t="s">
        <v>40</v>
      </c>
      <c r="E401" s="4" t="s">
        <v>25</v>
      </c>
      <c r="F401" s="4" t="s">
        <v>25</v>
      </c>
      <c r="G401" s="4" t="s">
        <v>25</v>
      </c>
      <c r="H401" s="4" t="s">
        <v>25</v>
      </c>
      <c r="I401" s="5">
        <v>44593</v>
      </c>
      <c r="J401" s="6">
        <v>0</v>
      </c>
      <c r="K401" s="6">
        <v>0</v>
      </c>
      <c r="L401" s="6">
        <v>2.5470000000000002</v>
      </c>
      <c r="M401" s="6">
        <v>2.5470000000000002</v>
      </c>
      <c r="N401" s="6">
        <v>2.5470000000000002</v>
      </c>
      <c r="O401" s="6">
        <v>2.5470000000000002</v>
      </c>
      <c r="P401" s="6">
        <v>7</v>
      </c>
      <c r="Q401" s="4" t="s">
        <v>26</v>
      </c>
      <c r="R401" s="4">
        <v>0</v>
      </c>
      <c r="S401" s="6">
        <v>0</v>
      </c>
      <c r="T401" s="6">
        <v>17</v>
      </c>
      <c r="U401" s="6">
        <v>46</v>
      </c>
      <c r="V401" s="6">
        <f>IF(ISERROR(VLOOKUP($S$401,'TAR FIN'!$A$1:$O$85,15,0)),0,VLOOKUP($S$401,'TAR FIN'!$A$1:$O$85,15,0))</f>
        <v>0</v>
      </c>
      <c r="W401" s="6">
        <f>IF(ISERROR(VLOOKUP($T$401,'TAR FIN'!$A$1:$O$85,15,0)),0,VLOOKUP($T$401,'TAR FIN'!$A$1:$O$85,15,0))</f>
        <v>867.38</v>
      </c>
      <c r="X401" s="6">
        <f>IF(ISERROR(VLOOKUP($U$401,'TAR FIN'!$A$1:$O$85,15,0)),0,VLOOKUP($U$401,'TAR FIN'!$A$1:$O$85,15,0))</f>
        <v>240.29</v>
      </c>
      <c r="Y401" s="6"/>
      <c r="Z401" s="6">
        <f ca="1">('TUSD BE'!$AM$48+'TUSD BF'!$AM$48+'TUSD CVA'!$AM$48)*1</f>
        <v>982.05733872165513</v>
      </c>
      <c r="AA401" s="6">
        <f>('TE BE'!$AA$39+'TE BF'!$AA$39+'TE CVA'!$AA$39)*1</f>
        <v>330.73086315618451</v>
      </c>
      <c r="AB401" s="6">
        <f>$K$401*$V$401</f>
        <v>0</v>
      </c>
      <c r="AC401" s="6">
        <f>$M$401*$W$401</f>
        <v>2209.21686</v>
      </c>
      <c r="AD401" s="6">
        <f>$O$401*$X$401</f>
        <v>612.01863000000003</v>
      </c>
      <c r="AE401" s="6">
        <f>$K$401*$Y$401</f>
        <v>0</v>
      </c>
      <c r="AF401" s="6">
        <f ca="1">$M$401*$Z$401</f>
        <v>2501.300041724056</v>
      </c>
      <c r="AG401" s="6">
        <f>$O$401*$AA$401</f>
        <v>842.37150845880205</v>
      </c>
    </row>
    <row r="402" spans="1:33" ht="11.25" customHeight="1" x14ac:dyDescent="0.3">
      <c r="A402" s="4" t="s">
        <v>21</v>
      </c>
      <c r="B402" s="4" t="s">
        <v>35</v>
      </c>
      <c r="C402" s="4" t="s">
        <v>23</v>
      </c>
      <c r="D402" s="4" t="s">
        <v>40</v>
      </c>
      <c r="E402" s="4" t="s">
        <v>25</v>
      </c>
      <c r="F402" s="4" t="s">
        <v>25</v>
      </c>
      <c r="G402" s="4" t="s">
        <v>25</v>
      </c>
      <c r="H402" s="4" t="s">
        <v>25</v>
      </c>
      <c r="I402" s="5">
        <v>44621</v>
      </c>
      <c r="J402" s="6">
        <v>0</v>
      </c>
      <c r="K402" s="6">
        <v>0</v>
      </c>
      <c r="L402" s="6">
        <v>124.955</v>
      </c>
      <c r="M402" s="6">
        <v>124.955</v>
      </c>
      <c r="N402" s="6">
        <v>124.955</v>
      </c>
      <c r="O402" s="6">
        <v>124.955</v>
      </c>
      <c r="P402" s="6">
        <v>238</v>
      </c>
      <c r="Q402" s="4" t="s">
        <v>26</v>
      </c>
      <c r="R402" s="4">
        <v>0</v>
      </c>
      <c r="S402" s="6">
        <v>0</v>
      </c>
      <c r="T402" s="6">
        <v>17</v>
      </c>
      <c r="U402" s="6">
        <v>46</v>
      </c>
      <c r="V402" s="6">
        <f>IF(ISERROR(VLOOKUP($S$402,'TAR FIN'!$A$1:$O$85,15,0)),0,VLOOKUP($S$402,'TAR FIN'!$A$1:$O$85,15,0))</f>
        <v>0</v>
      </c>
      <c r="W402" s="6">
        <f>IF(ISERROR(VLOOKUP($T$402,'TAR FIN'!$A$1:$O$85,15,0)),0,VLOOKUP($T$402,'TAR FIN'!$A$1:$O$85,15,0))</f>
        <v>867.38</v>
      </c>
      <c r="X402" s="6">
        <f>IF(ISERROR(VLOOKUP($U$402,'TAR FIN'!$A$1:$O$85,15,0)),0,VLOOKUP($U$402,'TAR FIN'!$A$1:$O$85,15,0))</f>
        <v>240.29</v>
      </c>
      <c r="Y402" s="6"/>
      <c r="Z402" s="6">
        <f ca="1">('TUSD BE'!$AM$48+'TUSD BF'!$AM$48+'TUSD CVA'!$AM$48)*1</f>
        <v>982.05733872165513</v>
      </c>
      <c r="AA402" s="6">
        <f>('TE BE'!$AA$39+'TE BF'!$AA$39+'TE CVA'!$AA$39)*1</f>
        <v>330.73086315618451</v>
      </c>
      <c r="AB402" s="6">
        <f>$K$402*$V$402</f>
        <v>0</v>
      </c>
      <c r="AC402" s="6">
        <f>$M$402*$W$402</f>
        <v>108383.4679</v>
      </c>
      <c r="AD402" s="6">
        <f>$O$402*$X$402</f>
        <v>30025.436949999999</v>
      </c>
      <c r="AE402" s="6">
        <f>$K$402*$Y$402</f>
        <v>0</v>
      </c>
      <c r="AF402" s="6">
        <f ca="1">$M$402*$Z$402</f>
        <v>122712.97475996442</v>
      </c>
      <c r="AG402" s="6">
        <f>$O$402*$AA$402</f>
        <v>41326.475005681037</v>
      </c>
    </row>
    <row r="403" spans="1:33" ht="11.25" customHeight="1" x14ac:dyDescent="0.3">
      <c r="A403" s="4" t="s">
        <v>28</v>
      </c>
      <c r="B403" s="4" t="s">
        <v>35</v>
      </c>
      <c r="C403" s="4" t="s">
        <v>23</v>
      </c>
      <c r="D403" s="4" t="s">
        <v>40</v>
      </c>
      <c r="E403" s="4" t="s">
        <v>25</v>
      </c>
      <c r="F403" s="4" t="s">
        <v>25</v>
      </c>
      <c r="G403" s="4" t="s">
        <v>25</v>
      </c>
      <c r="H403" s="4" t="s">
        <v>25</v>
      </c>
      <c r="I403" s="5">
        <v>44621</v>
      </c>
      <c r="J403" s="6">
        <v>0</v>
      </c>
      <c r="K403" s="6">
        <v>0</v>
      </c>
      <c r="L403" s="6">
        <v>3.899</v>
      </c>
      <c r="M403" s="6">
        <v>3.899</v>
      </c>
      <c r="N403" s="6">
        <v>3.899</v>
      </c>
      <c r="O403" s="6">
        <v>3.899</v>
      </c>
      <c r="P403" s="6">
        <v>7</v>
      </c>
      <c r="Q403" s="4" t="s">
        <v>26</v>
      </c>
      <c r="R403" s="4">
        <v>0</v>
      </c>
      <c r="S403" s="6">
        <v>0</v>
      </c>
      <c r="T403" s="6">
        <v>17</v>
      </c>
      <c r="U403" s="6">
        <v>46</v>
      </c>
      <c r="V403" s="6">
        <f>IF(ISERROR(VLOOKUP($S$403,'TAR FIN'!$A$1:$O$85,15,0)),0,VLOOKUP($S$403,'TAR FIN'!$A$1:$O$85,15,0))</f>
        <v>0</v>
      </c>
      <c r="W403" s="6">
        <f>IF(ISERROR(VLOOKUP($T$403,'TAR FIN'!$A$1:$O$85,15,0)),0,VLOOKUP($T$403,'TAR FIN'!$A$1:$O$85,15,0))</f>
        <v>867.38</v>
      </c>
      <c r="X403" s="6">
        <f>IF(ISERROR(VLOOKUP($U$403,'TAR FIN'!$A$1:$O$85,15,0)),0,VLOOKUP($U$403,'TAR FIN'!$A$1:$O$85,15,0))</f>
        <v>240.29</v>
      </c>
      <c r="Y403" s="6"/>
      <c r="Z403" s="6">
        <f ca="1">('TUSD BE'!$AM$48+'TUSD BF'!$AM$48+'TUSD CVA'!$AM$48)*1</f>
        <v>982.05733872165513</v>
      </c>
      <c r="AA403" s="6">
        <f>('TE BE'!$AA$39+'TE BF'!$AA$39+'TE CVA'!$AA$39)*1</f>
        <v>330.73086315618451</v>
      </c>
      <c r="AB403" s="6">
        <f>$K$403*$V$403</f>
        <v>0</v>
      </c>
      <c r="AC403" s="6">
        <f>$M$403*$W$403</f>
        <v>3381.91462</v>
      </c>
      <c r="AD403" s="6">
        <f>$O$403*$X$403</f>
        <v>936.89071000000001</v>
      </c>
      <c r="AE403" s="6">
        <f>$K$403*$Y$403</f>
        <v>0</v>
      </c>
      <c r="AF403" s="6">
        <f ca="1">$M$403*$Z$403</f>
        <v>3829.0415636757334</v>
      </c>
      <c r="AG403" s="6">
        <f>$O$403*$AA$403</f>
        <v>1289.5196354459633</v>
      </c>
    </row>
    <row r="404" spans="1:33" ht="11.25" customHeight="1" x14ac:dyDescent="0.3">
      <c r="A404" s="4" t="s">
        <v>21</v>
      </c>
      <c r="B404" s="4" t="s">
        <v>35</v>
      </c>
      <c r="C404" s="4" t="s">
        <v>23</v>
      </c>
      <c r="D404" s="4" t="s">
        <v>51</v>
      </c>
      <c r="E404" s="4" t="s">
        <v>25</v>
      </c>
      <c r="F404" s="4" t="s">
        <v>25</v>
      </c>
      <c r="G404" s="4" t="s">
        <v>25</v>
      </c>
      <c r="H404" s="4" t="s">
        <v>25</v>
      </c>
      <c r="I404" s="5">
        <v>44287</v>
      </c>
      <c r="J404" s="6">
        <v>0</v>
      </c>
      <c r="K404" s="6">
        <v>0</v>
      </c>
      <c r="L404" s="6">
        <v>3.5999999999999997E-2</v>
      </c>
      <c r="M404" s="6">
        <v>3.5999999999999997E-2</v>
      </c>
      <c r="N404" s="6">
        <v>3.5999999999999997E-2</v>
      </c>
      <c r="O404" s="6">
        <v>3.5999999999999997E-2</v>
      </c>
      <c r="P404" s="6">
        <v>1</v>
      </c>
      <c r="Q404" s="4" t="s">
        <v>26</v>
      </c>
      <c r="R404" s="4">
        <v>0</v>
      </c>
      <c r="S404" s="6">
        <v>0</v>
      </c>
      <c r="T404" s="6">
        <v>17</v>
      </c>
      <c r="U404" s="6">
        <v>46</v>
      </c>
      <c r="V404" s="6">
        <f>IF(ISERROR(VLOOKUP($S$404,'TAR FIN'!$A$1:$O$85,15,0)),0,VLOOKUP($S$404,'TAR FIN'!$A$1:$O$85,15,0))</f>
        <v>0</v>
      </c>
      <c r="W404" s="6">
        <f>IF(ISERROR(VLOOKUP($T$404,'TAR FIN'!$A$1:$O$85,15,0)),0,VLOOKUP($T$404,'TAR FIN'!$A$1:$O$85,15,0))</f>
        <v>867.38</v>
      </c>
      <c r="X404" s="6">
        <f>IF(ISERROR(VLOOKUP($U$404,'TAR FIN'!$A$1:$O$85,15,0)),0,VLOOKUP($U$404,'TAR FIN'!$A$1:$O$85,15,0))</f>
        <v>240.29</v>
      </c>
      <c r="Y404" s="6"/>
      <c r="Z404" s="6">
        <f ca="1">('TUSD BE'!$AM$48+'TUSD BF'!$AM$48+'TUSD CVA'!$AM$48)*1</f>
        <v>982.05733872165513</v>
      </c>
      <c r="AA404" s="6">
        <f>('TE BE'!$AA$39+'TE BF'!$AA$39+'TE CVA'!$AA$39)*1</f>
        <v>330.73086315618451</v>
      </c>
      <c r="AB404" s="6">
        <f>$K$404*$V$404</f>
        <v>0</v>
      </c>
      <c r="AC404" s="6">
        <f>$M$404*$W$404</f>
        <v>31.225679999999997</v>
      </c>
      <c r="AD404" s="6">
        <f>$O$404*$X$404</f>
        <v>8.6504399999999997</v>
      </c>
      <c r="AE404" s="6">
        <f>$K$404*$Y$404</f>
        <v>0</v>
      </c>
      <c r="AF404" s="6">
        <f ca="1">$M$404*$Z$404</f>
        <v>35.354064193979582</v>
      </c>
      <c r="AG404" s="6">
        <f>$O$404*$AA$404</f>
        <v>11.906311073622641</v>
      </c>
    </row>
    <row r="405" spans="1:33" ht="11.25" customHeight="1" x14ac:dyDescent="0.3">
      <c r="A405" s="4" t="s">
        <v>21</v>
      </c>
      <c r="B405" s="4" t="s">
        <v>35</v>
      </c>
      <c r="C405" s="4" t="s">
        <v>23</v>
      </c>
      <c r="D405" s="4" t="s">
        <v>51</v>
      </c>
      <c r="E405" s="4" t="s">
        <v>25</v>
      </c>
      <c r="F405" s="4" t="s">
        <v>25</v>
      </c>
      <c r="G405" s="4" t="s">
        <v>25</v>
      </c>
      <c r="H405" s="4" t="s">
        <v>25</v>
      </c>
      <c r="I405" s="5">
        <v>44317</v>
      </c>
      <c r="J405" s="6">
        <v>0</v>
      </c>
      <c r="K405" s="6">
        <v>0</v>
      </c>
      <c r="L405" s="6">
        <v>3.1E-2</v>
      </c>
      <c r="M405" s="6">
        <v>3.1E-2</v>
      </c>
      <c r="N405" s="6">
        <v>3.1E-2</v>
      </c>
      <c r="O405" s="6">
        <v>3.1E-2</v>
      </c>
      <c r="P405" s="6">
        <v>1</v>
      </c>
      <c r="Q405" s="4" t="s">
        <v>26</v>
      </c>
      <c r="R405" s="4">
        <v>0</v>
      </c>
      <c r="S405" s="6">
        <v>0</v>
      </c>
      <c r="T405" s="6">
        <v>17</v>
      </c>
      <c r="U405" s="6">
        <v>46</v>
      </c>
      <c r="V405" s="6">
        <f>IF(ISERROR(VLOOKUP($S$405,'TAR FIN'!$A$1:$O$85,15,0)),0,VLOOKUP($S$405,'TAR FIN'!$A$1:$O$85,15,0))</f>
        <v>0</v>
      </c>
      <c r="W405" s="6">
        <f>IF(ISERROR(VLOOKUP($T$405,'TAR FIN'!$A$1:$O$85,15,0)),0,VLOOKUP($T$405,'TAR FIN'!$A$1:$O$85,15,0))</f>
        <v>867.38</v>
      </c>
      <c r="X405" s="6">
        <f>IF(ISERROR(VLOOKUP($U$405,'TAR FIN'!$A$1:$O$85,15,0)),0,VLOOKUP($U$405,'TAR FIN'!$A$1:$O$85,15,0))</f>
        <v>240.29</v>
      </c>
      <c r="Y405" s="6"/>
      <c r="Z405" s="6">
        <f ca="1">('TUSD BE'!$AM$48+'TUSD BF'!$AM$48+'TUSD CVA'!$AM$48)*1</f>
        <v>982.05733872165513</v>
      </c>
      <c r="AA405" s="6">
        <f>('TE BE'!$AA$39+'TE BF'!$AA$39+'TE CVA'!$AA$39)*1</f>
        <v>330.73086315618451</v>
      </c>
      <c r="AB405" s="6">
        <f>$K$405*$V$405</f>
        <v>0</v>
      </c>
      <c r="AC405" s="6">
        <f>$M$405*$W$405</f>
        <v>26.888780000000001</v>
      </c>
      <c r="AD405" s="6">
        <f>$O$405*$X$405</f>
        <v>7.4489899999999993</v>
      </c>
      <c r="AE405" s="6">
        <f>$K$405*$Y$405</f>
        <v>0</v>
      </c>
      <c r="AF405" s="6">
        <f ca="1">$M$405*$Z$405</f>
        <v>30.443777500371308</v>
      </c>
      <c r="AG405" s="6">
        <f>$O$405*$AA$405</f>
        <v>10.25265675784172</v>
      </c>
    </row>
    <row r="406" spans="1:33" ht="11.25" customHeight="1" x14ac:dyDescent="0.3">
      <c r="A406" s="4" t="s">
        <v>21</v>
      </c>
      <c r="B406" s="4" t="s">
        <v>35</v>
      </c>
      <c r="C406" s="4" t="s">
        <v>23</v>
      </c>
      <c r="D406" s="4" t="s">
        <v>51</v>
      </c>
      <c r="E406" s="4" t="s">
        <v>25</v>
      </c>
      <c r="F406" s="4" t="s">
        <v>25</v>
      </c>
      <c r="G406" s="4" t="s">
        <v>25</v>
      </c>
      <c r="H406" s="4" t="s">
        <v>25</v>
      </c>
      <c r="I406" s="5">
        <v>44348</v>
      </c>
      <c r="J406" s="6">
        <v>0</v>
      </c>
      <c r="K406" s="6">
        <v>0</v>
      </c>
      <c r="L406" s="6">
        <v>3.5000000000000003E-2</v>
      </c>
      <c r="M406" s="6">
        <v>3.5000000000000003E-2</v>
      </c>
      <c r="N406" s="6">
        <v>3.5000000000000003E-2</v>
      </c>
      <c r="O406" s="6">
        <v>3.5000000000000003E-2</v>
      </c>
      <c r="P406" s="6">
        <v>1</v>
      </c>
      <c r="Q406" s="4" t="s">
        <v>26</v>
      </c>
      <c r="R406" s="4">
        <v>0</v>
      </c>
      <c r="S406" s="6">
        <v>0</v>
      </c>
      <c r="T406" s="6">
        <v>17</v>
      </c>
      <c r="U406" s="6">
        <v>46</v>
      </c>
      <c r="V406" s="6">
        <f>IF(ISERROR(VLOOKUP($S$406,'TAR FIN'!$A$1:$O$85,15,0)),0,VLOOKUP($S$406,'TAR FIN'!$A$1:$O$85,15,0))</f>
        <v>0</v>
      </c>
      <c r="W406" s="6">
        <f>IF(ISERROR(VLOOKUP($T$406,'TAR FIN'!$A$1:$O$85,15,0)),0,VLOOKUP($T$406,'TAR FIN'!$A$1:$O$85,15,0))</f>
        <v>867.38</v>
      </c>
      <c r="X406" s="6">
        <f>IF(ISERROR(VLOOKUP($U$406,'TAR FIN'!$A$1:$O$85,15,0)),0,VLOOKUP($U$406,'TAR FIN'!$A$1:$O$85,15,0))</f>
        <v>240.29</v>
      </c>
      <c r="Y406" s="6"/>
      <c r="Z406" s="6">
        <f ca="1">('TUSD BE'!$AM$48+'TUSD BF'!$AM$48+'TUSD CVA'!$AM$48)*1</f>
        <v>982.05733872165513</v>
      </c>
      <c r="AA406" s="6">
        <f>('TE BE'!$AA$39+'TE BF'!$AA$39+'TE CVA'!$AA$39)*1</f>
        <v>330.73086315618451</v>
      </c>
      <c r="AB406" s="6">
        <f>$K$406*$V$406</f>
        <v>0</v>
      </c>
      <c r="AC406" s="6">
        <f>$M$406*$W$406</f>
        <v>30.358300000000003</v>
      </c>
      <c r="AD406" s="6">
        <f>$O$406*$X$406</f>
        <v>8.4101499999999998</v>
      </c>
      <c r="AE406" s="6">
        <f>$K$406*$Y$406</f>
        <v>0</v>
      </c>
      <c r="AF406" s="6">
        <f ca="1">$M$406*$Z$406</f>
        <v>34.372006855257936</v>
      </c>
      <c r="AG406" s="6">
        <f>$O$406*$AA$406</f>
        <v>11.575580210466459</v>
      </c>
    </row>
    <row r="407" spans="1:33" ht="11.25" customHeight="1" x14ac:dyDescent="0.3">
      <c r="A407" s="4" t="s">
        <v>21</v>
      </c>
      <c r="B407" s="4" t="s">
        <v>35</v>
      </c>
      <c r="C407" s="4" t="s">
        <v>23</v>
      </c>
      <c r="D407" s="4" t="s">
        <v>51</v>
      </c>
      <c r="E407" s="4" t="s">
        <v>25</v>
      </c>
      <c r="F407" s="4" t="s">
        <v>25</v>
      </c>
      <c r="G407" s="4" t="s">
        <v>25</v>
      </c>
      <c r="H407" s="4" t="s">
        <v>25</v>
      </c>
      <c r="I407" s="5">
        <v>44378</v>
      </c>
      <c r="J407" s="6">
        <v>0</v>
      </c>
      <c r="K407" s="6">
        <v>0</v>
      </c>
      <c r="L407" s="6">
        <v>0.03</v>
      </c>
      <c r="M407" s="6">
        <v>0.03</v>
      </c>
      <c r="N407" s="6">
        <v>0.03</v>
      </c>
      <c r="O407" s="6">
        <v>0.03</v>
      </c>
      <c r="P407" s="6">
        <v>1</v>
      </c>
      <c r="Q407" s="4" t="s">
        <v>26</v>
      </c>
      <c r="R407" s="4">
        <v>0</v>
      </c>
      <c r="S407" s="6">
        <v>0</v>
      </c>
      <c r="T407" s="6">
        <v>17</v>
      </c>
      <c r="U407" s="6">
        <v>46</v>
      </c>
      <c r="V407" s="6">
        <f>IF(ISERROR(VLOOKUP($S$407,'TAR FIN'!$A$1:$O$85,15,0)),0,VLOOKUP($S$407,'TAR FIN'!$A$1:$O$85,15,0))</f>
        <v>0</v>
      </c>
      <c r="W407" s="6">
        <f>IF(ISERROR(VLOOKUP($T$407,'TAR FIN'!$A$1:$O$85,15,0)),0,VLOOKUP($T$407,'TAR FIN'!$A$1:$O$85,15,0))</f>
        <v>867.38</v>
      </c>
      <c r="X407" s="6">
        <f>IF(ISERROR(VLOOKUP($U$407,'TAR FIN'!$A$1:$O$85,15,0)),0,VLOOKUP($U$407,'TAR FIN'!$A$1:$O$85,15,0))</f>
        <v>240.29</v>
      </c>
      <c r="Y407" s="6"/>
      <c r="Z407" s="6">
        <f ca="1">('TUSD BE'!$AM$48+'TUSD BF'!$AM$48+'TUSD CVA'!$AM$48)*1</f>
        <v>982.05733872165513</v>
      </c>
      <c r="AA407" s="6">
        <f>('TE BE'!$AA$39+'TE BF'!$AA$39+'TE CVA'!$AA$39)*1</f>
        <v>330.73086315618451</v>
      </c>
      <c r="AB407" s="6">
        <f>$K$407*$V$407</f>
        <v>0</v>
      </c>
      <c r="AC407" s="6">
        <f>$M$407*$W$407</f>
        <v>26.0214</v>
      </c>
      <c r="AD407" s="6">
        <f>$O$407*$X$407</f>
        <v>7.2086999999999994</v>
      </c>
      <c r="AE407" s="6">
        <f>$K$407*$Y$407</f>
        <v>0</v>
      </c>
      <c r="AF407" s="6">
        <f ca="1">$M$407*$Z$407</f>
        <v>29.461720161649652</v>
      </c>
      <c r="AG407" s="6">
        <f>$O$407*$AA$407</f>
        <v>9.9219258946855344</v>
      </c>
    </row>
    <row r="408" spans="1:33" ht="11.25" customHeight="1" x14ac:dyDescent="0.3">
      <c r="A408" s="4" t="s">
        <v>21</v>
      </c>
      <c r="B408" s="4" t="s">
        <v>35</v>
      </c>
      <c r="C408" s="4" t="s">
        <v>23</v>
      </c>
      <c r="D408" s="4" t="s">
        <v>51</v>
      </c>
      <c r="E408" s="4" t="s">
        <v>25</v>
      </c>
      <c r="F408" s="4" t="s">
        <v>25</v>
      </c>
      <c r="G408" s="4" t="s">
        <v>25</v>
      </c>
      <c r="H408" s="4" t="s">
        <v>25</v>
      </c>
      <c r="I408" s="5">
        <v>44409</v>
      </c>
      <c r="J408" s="6">
        <v>0</v>
      </c>
      <c r="K408" s="6">
        <v>0</v>
      </c>
      <c r="L408" s="6">
        <v>3.2000000000000001E-2</v>
      </c>
      <c r="M408" s="6">
        <v>3.2000000000000001E-2</v>
      </c>
      <c r="N408" s="6">
        <v>3.2000000000000001E-2</v>
      </c>
      <c r="O408" s="6">
        <v>3.2000000000000001E-2</v>
      </c>
      <c r="P408" s="6">
        <v>1</v>
      </c>
      <c r="Q408" s="4" t="s">
        <v>26</v>
      </c>
      <c r="R408" s="4">
        <v>0</v>
      </c>
      <c r="S408" s="6">
        <v>0</v>
      </c>
      <c r="T408" s="6">
        <v>17</v>
      </c>
      <c r="U408" s="6">
        <v>46</v>
      </c>
      <c r="V408" s="6">
        <f>IF(ISERROR(VLOOKUP($S$408,'TAR FIN'!$A$1:$O$85,15,0)),0,VLOOKUP($S$408,'TAR FIN'!$A$1:$O$85,15,0))</f>
        <v>0</v>
      </c>
      <c r="W408" s="6">
        <f>IF(ISERROR(VLOOKUP($T$408,'TAR FIN'!$A$1:$O$85,15,0)),0,VLOOKUP($T$408,'TAR FIN'!$A$1:$O$85,15,0))</f>
        <v>867.38</v>
      </c>
      <c r="X408" s="6">
        <f>IF(ISERROR(VLOOKUP($U$408,'TAR FIN'!$A$1:$O$85,15,0)),0,VLOOKUP($U$408,'TAR FIN'!$A$1:$O$85,15,0))</f>
        <v>240.29</v>
      </c>
      <c r="Y408" s="6"/>
      <c r="Z408" s="6">
        <f ca="1">('TUSD BE'!$AM$48+'TUSD BF'!$AM$48+'TUSD CVA'!$AM$48)*1</f>
        <v>982.05733872165513</v>
      </c>
      <c r="AA408" s="6">
        <f>('TE BE'!$AA$39+'TE BF'!$AA$39+'TE CVA'!$AA$39)*1</f>
        <v>330.73086315618451</v>
      </c>
      <c r="AB408" s="6">
        <f>$K$408*$V$408</f>
        <v>0</v>
      </c>
      <c r="AC408" s="6">
        <f>$M$408*$W$408</f>
        <v>27.756160000000001</v>
      </c>
      <c r="AD408" s="6">
        <f>$O$408*$X$408</f>
        <v>7.6892800000000001</v>
      </c>
      <c r="AE408" s="6">
        <f>$K$408*$Y$408</f>
        <v>0</v>
      </c>
      <c r="AF408" s="6">
        <f ca="1">$M$408*$Z$408</f>
        <v>31.425834839092964</v>
      </c>
      <c r="AG408" s="6">
        <f>$O$408*$AA$408</f>
        <v>10.583387620997904</v>
      </c>
    </row>
    <row r="409" spans="1:33" ht="11.25" customHeight="1" x14ac:dyDescent="0.3">
      <c r="A409" s="4" t="s">
        <v>21</v>
      </c>
      <c r="B409" s="4" t="s">
        <v>35</v>
      </c>
      <c r="C409" s="4" t="s">
        <v>23</v>
      </c>
      <c r="D409" s="4" t="s">
        <v>51</v>
      </c>
      <c r="E409" s="4" t="s">
        <v>25</v>
      </c>
      <c r="F409" s="4" t="s">
        <v>25</v>
      </c>
      <c r="G409" s="4" t="s">
        <v>25</v>
      </c>
      <c r="H409" s="4" t="s">
        <v>25</v>
      </c>
      <c r="I409" s="5">
        <v>44440</v>
      </c>
      <c r="J409" s="6">
        <v>0</v>
      </c>
      <c r="K409" s="6">
        <v>0</v>
      </c>
      <c r="L409" s="6">
        <v>3.3000000000000002E-2</v>
      </c>
      <c r="M409" s="6">
        <v>3.3000000000000002E-2</v>
      </c>
      <c r="N409" s="6">
        <v>3.3000000000000002E-2</v>
      </c>
      <c r="O409" s="6">
        <v>3.3000000000000002E-2</v>
      </c>
      <c r="P409" s="6">
        <v>1</v>
      </c>
      <c r="Q409" s="4" t="s">
        <v>26</v>
      </c>
      <c r="R409" s="4">
        <v>0</v>
      </c>
      <c r="S409" s="6">
        <v>0</v>
      </c>
      <c r="T409" s="6">
        <v>17</v>
      </c>
      <c r="U409" s="6">
        <v>46</v>
      </c>
      <c r="V409" s="6">
        <f>IF(ISERROR(VLOOKUP($S$409,'TAR FIN'!$A$1:$O$85,15,0)),0,VLOOKUP($S$409,'TAR FIN'!$A$1:$O$85,15,0))</f>
        <v>0</v>
      </c>
      <c r="W409" s="6">
        <f>IF(ISERROR(VLOOKUP($T$409,'TAR FIN'!$A$1:$O$85,15,0)),0,VLOOKUP($T$409,'TAR FIN'!$A$1:$O$85,15,0))</f>
        <v>867.38</v>
      </c>
      <c r="X409" s="6">
        <f>IF(ISERROR(VLOOKUP($U$409,'TAR FIN'!$A$1:$O$85,15,0)),0,VLOOKUP($U$409,'TAR FIN'!$A$1:$O$85,15,0))</f>
        <v>240.29</v>
      </c>
      <c r="Y409" s="6"/>
      <c r="Z409" s="6">
        <f ca="1">('TUSD BE'!$AM$48+'TUSD BF'!$AM$48+'TUSD CVA'!$AM$48)*1</f>
        <v>982.05733872165513</v>
      </c>
      <c r="AA409" s="6">
        <f>('TE BE'!$AA$39+'TE BF'!$AA$39+'TE CVA'!$AA$39)*1</f>
        <v>330.73086315618451</v>
      </c>
      <c r="AB409" s="6">
        <f>$K$409*$V$409</f>
        <v>0</v>
      </c>
      <c r="AC409" s="6">
        <f>$M$409*$W$409</f>
        <v>28.623540000000002</v>
      </c>
      <c r="AD409" s="6">
        <f>$O$409*$X$409</f>
        <v>7.92957</v>
      </c>
      <c r="AE409" s="6">
        <f>$K$409*$Y$409</f>
        <v>0</v>
      </c>
      <c r="AF409" s="6">
        <f ca="1">$M$409*$Z$409</f>
        <v>32.407892177814624</v>
      </c>
      <c r="AG409" s="6">
        <f>$O$409*$AA$409</f>
        <v>10.914118484154089</v>
      </c>
    </row>
    <row r="410" spans="1:33" ht="11.25" customHeight="1" x14ac:dyDescent="0.3">
      <c r="A410" s="4" t="s">
        <v>21</v>
      </c>
      <c r="B410" s="4" t="s">
        <v>35</v>
      </c>
      <c r="C410" s="4" t="s">
        <v>23</v>
      </c>
      <c r="D410" s="4" t="s">
        <v>51</v>
      </c>
      <c r="E410" s="4" t="s">
        <v>25</v>
      </c>
      <c r="F410" s="4" t="s">
        <v>25</v>
      </c>
      <c r="G410" s="4" t="s">
        <v>25</v>
      </c>
      <c r="H410" s="4" t="s">
        <v>25</v>
      </c>
      <c r="I410" s="5">
        <v>44470</v>
      </c>
      <c r="J410" s="6">
        <v>0</v>
      </c>
      <c r="K410" s="6">
        <v>0</v>
      </c>
      <c r="L410" s="6">
        <v>3.1E-2</v>
      </c>
      <c r="M410" s="6">
        <v>3.1E-2</v>
      </c>
      <c r="N410" s="6">
        <v>3.1E-2</v>
      </c>
      <c r="O410" s="6">
        <v>3.1E-2</v>
      </c>
      <c r="P410" s="6">
        <v>1</v>
      </c>
      <c r="Q410" s="4" t="s">
        <v>26</v>
      </c>
      <c r="R410" s="4">
        <v>0</v>
      </c>
      <c r="S410" s="6">
        <v>0</v>
      </c>
      <c r="T410" s="6">
        <v>17</v>
      </c>
      <c r="U410" s="6">
        <v>46</v>
      </c>
      <c r="V410" s="6">
        <f>IF(ISERROR(VLOOKUP($S$410,'TAR FIN'!$A$1:$O$85,15,0)),0,VLOOKUP($S$410,'TAR FIN'!$A$1:$O$85,15,0))</f>
        <v>0</v>
      </c>
      <c r="W410" s="6">
        <f>IF(ISERROR(VLOOKUP($T$410,'TAR FIN'!$A$1:$O$85,15,0)),0,VLOOKUP($T$410,'TAR FIN'!$A$1:$O$85,15,0))</f>
        <v>867.38</v>
      </c>
      <c r="X410" s="6">
        <f>IF(ISERROR(VLOOKUP($U$410,'TAR FIN'!$A$1:$O$85,15,0)),0,VLOOKUP($U$410,'TAR FIN'!$A$1:$O$85,15,0))</f>
        <v>240.29</v>
      </c>
      <c r="Y410" s="6"/>
      <c r="Z410" s="6">
        <f ca="1">('TUSD BE'!$AM$48+'TUSD BF'!$AM$48+'TUSD CVA'!$AM$48)*1</f>
        <v>982.05733872165513</v>
      </c>
      <c r="AA410" s="6">
        <f>('TE BE'!$AA$39+'TE BF'!$AA$39+'TE CVA'!$AA$39)*1</f>
        <v>330.73086315618451</v>
      </c>
      <c r="AB410" s="6">
        <f>$K$410*$V$410</f>
        <v>0</v>
      </c>
      <c r="AC410" s="6">
        <f>$M$410*$W$410</f>
        <v>26.888780000000001</v>
      </c>
      <c r="AD410" s="6">
        <f>$O$410*$X$410</f>
        <v>7.4489899999999993</v>
      </c>
      <c r="AE410" s="6">
        <f>$K$410*$Y$410</f>
        <v>0</v>
      </c>
      <c r="AF410" s="6">
        <f ca="1">$M$410*$Z$410</f>
        <v>30.443777500371308</v>
      </c>
      <c r="AG410" s="6">
        <f>$O$410*$AA$410</f>
        <v>10.25265675784172</v>
      </c>
    </row>
    <row r="411" spans="1:33" ht="11.25" customHeight="1" x14ac:dyDescent="0.3">
      <c r="A411" s="4" t="s">
        <v>21</v>
      </c>
      <c r="B411" s="4" t="s">
        <v>35</v>
      </c>
      <c r="C411" s="4" t="s">
        <v>23</v>
      </c>
      <c r="D411" s="4" t="s">
        <v>51</v>
      </c>
      <c r="E411" s="4" t="s">
        <v>25</v>
      </c>
      <c r="F411" s="4" t="s">
        <v>25</v>
      </c>
      <c r="G411" s="4" t="s">
        <v>25</v>
      </c>
      <c r="H411" s="4" t="s">
        <v>25</v>
      </c>
      <c r="I411" s="5">
        <v>44501</v>
      </c>
      <c r="J411" s="6">
        <v>0</v>
      </c>
      <c r="K411" s="6">
        <v>0</v>
      </c>
      <c r="L411" s="6">
        <v>0.03</v>
      </c>
      <c r="M411" s="6">
        <v>0.03</v>
      </c>
      <c r="N411" s="6">
        <v>0.03</v>
      </c>
      <c r="O411" s="6">
        <v>0.03</v>
      </c>
      <c r="P411" s="6">
        <v>1</v>
      </c>
      <c r="Q411" s="4" t="s">
        <v>26</v>
      </c>
      <c r="R411" s="4">
        <v>0</v>
      </c>
      <c r="S411" s="6">
        <v>0</v>
      </c>
      <c r="T411" s="6">
        <v>17</v>
      </c>
      <c r="U411" s="6">
        <v>46</v>
      </c>
      <c r="V411" s="6">
        <f>IF(ISERROR(VLOOKUP($S$411,'TAR FIN'!$A$1:$O$85,15,0)),0,VLOOKUP($S$411,'TAR FIN'!$A$1:$O$85,15,0))</f>
        <v>0</v>
      </c>
      <c r="W411" s="6">
        <f>IF(ISERROR(VLOOKUP($T$411,'TAR FIN'!$A$1:$O$85,15,0)),0,VLOOKUP($T$411,'TAR FIN'!$A$1:$O$85,15,0))</f>
        <v>867.38</v>
      </c>
      <c r="X411" s="6">
        <f>IF(ISERROR(VLOOKUP($U$411,'TAR FIN'!$A$1:$O$85,15,0)),0,VLOOKUP($U$411,'TAR FIN'!$A$1:$O$85,15,0))</f>
        <v>240.29</v>
      </c>
      <c r="Y411" s="6"/>
      <c r="Z411" s="6">
        <f ca="1">('TUSD BE'!$AM$48+'TUSD BF'!$AM$48+'TUSD CVA'!$AM$48)*1</f>
        <v>982.05733872165513</v>
      </c>
      <c r="AA411" s="6">
        <f>('TE BE'!$AA$39+'TE BF'!$AA$39+'TE CVA'!$AA$39)*1</f>
        <v>330.73086315618451</v>
      </c>
      <c r="AB411" s="6">
        <f>$K$411*$V$411</f>
        <v>0</v>
      </c>
      <c r="AC411" s="6">
        <f>$M$411*$W$411</f>
        <v>26.0214</v>
      </c>
      <c r="AD411" s="6">
        <f>$O$411*$X$411</f>
        <v>7.2086999999999994</v>
      </c>
      <c r="AE411" s="6">
        <f>$K$411*$Y$411</f>
        <v>0</v>
      </c>
      <c r="AF411" s="6">
        <f ca="1">$M$411*$Z$411</f>
        <v>29.461720161649652</v>
      </c>
      <c r="AG411" s="6">
        <f>$O$411*$AA$411</f>
        <v>9.9219258946855344</v>
      </c>
    </row>
    <row r="412" spans="1:33" ht="11.25" customHeight="1" x14ac:dyDescent="0.3">
      <c r="A412" s="4" t="s">
        <v>21</v>
      </c>
      <c r="B412" s="4" t="s">
        <v>35</v>
      </c>
      <c r="C412" s="4" t="s">
        <v>23</v>
      </c>
      <c r="D412" s="4" t="s">
        <v>51</v>
      </c>
      <c r="E412" s="4" t="s">
        <v>25</v>
      </c>
      <c r="F412" s="4" t="s">
        <v>25</v>
      </c>
      <c r="G412" s="4" t="s">
        <v>25</v>
      </c>
      <c r="H412" s="4" t="s">
        <v>25</v>
      </c>
      <c r="I412" s="5">
        <v>44531</v>
      </c>
      <c r="J412" s="6">
        <v>0</v>
      </c>
      <c r="K412" s="6">
        <v>0</v>
      </c>
      <c r="L412" s="6">
        <v>0.03</v>
      </c>
      <c r="M412" s="6">
        <v>0.03</v>
      </c>
      <c r="N412" s="6">
        <v>0.03</v>
      </c>
      <c r="O412" s="6">
        <v>0.03</v>
      </c>
      <c r="P412" s="6">
        <v>1</v>
      </c>
      <c r="Q412" s="4" t="s">
        <v>26</v>
      </c>
      <c r="R412" s="4">
        <v>0</v>
      </c>
      <c r="S412" s="6">
        <v>0</v>
      </c>
      <c r="T412" s="6">
        <v>17</v>
      </c>
      <c r="U412" s="6">
        <v>46</v>
      </c>
      <c r="V412" s="6">
        <f>IF(ISERROR(VLOOKUP($S$412,'TAR FIN'!$A$1:$O$85,15,0)),0,VLOOKUP($S$412,'TAR FIN'!$A$1:$O$85,15,0))</f>
        <v>0</v>
      </c>
      <c r="W412" s="6">
        <f>IF(ISERROR(VLOOKUP($T$412,'TAR FIN'!$A$1:$O$85,15,0)),0,VLOOKUP($T$412,'TAR FIN'!$A$1:$O$85,15,0))</f>
        <v>867.38</v>
      </c>
      <c r="X412" s="6">
        <f>IF(ISERROR(VLOOKUP($U$412,'TAR FIN'!$A$1:$O$85,15,0)),0,VLOOKUP($U$412,'TAR FIN'!$A$1:$O$85,15,0))</f>
        <v>240.29</v>
      </c>
      <c r="Y412" s="6"/>
      <c r="Z412" s="6">
        <f ca="1">('TUSD BE'!$AM$48+'TUSD BF'!$AM$48+'TUSD CVA'!$AM$48)*1</f>
        <v>982.05733872165513</v>
      </c>
      <c r="AA412" s="6">
        <f>('TE BE'!$AA$39+'TE BF'!$AA$39+'TE CVA'!$AA$39)*1</f>
        <v>330.73086315618451</v>
      </c>
      <c r="AB412" s="6">
        <f>$K$412*$V$412</f>
        <v>0</v>
      </c>
      <c r="AC412" s="6">
        <f>$M$412*$W$412</f>
        <v>26.0214</v>
      </c>
      <c r="AD412" s="6">
        <f>$O$412*$X$412</f>
        <v>7.2086999999999994</v>
      </c>
      <c r="AE412" s="6">
        <f>$K$412*$Y$412</f>
        <v>0</v>
      </c>
      <c r="AF412" s="6">
        <f ca="1">$M$412*$Z$412</f>
        <v>29.461720161649652</v>
      </c>
      <c r="AG412" s="6">
        <f>$O$412*$AA$412</f>
        <v>9.9219258946855344</v>
      </c>
    </row>
    <row r="413" spans="1:33" ht="11.25" customHeight="1" x14ac:dyDescent="0.3">
      <c r="A413" s="4" t="s">
        <v>21</v>
      </c>
      <c r="B413" s="4" t="s">
        <v>35</v>
      </c>
      <c r="C413" s="4" t="s">
        <v>23</v>
      </c>
      <c r="D413" s="4" t="s">
        <v>51</v>
      </c>
      <c r="E413" s="4" t="s">
        <v>25</v>
      </c>
      <c r="F413" s="4" t="s">
        <v>25</v>
      </c>
      <c r="G413" s="4" t="s">
        <v>25</v>
      </c>
      <c r="H413" s="4" t="s">
        <v>25</v>
      </c>
      <c r="I413" s="5">
        <v>44562</v>
      </c>
      <c r="J413" s="6">
        <v>0</v>
      </c>
      <c r="K413" s="6">
        <v>0</v>
      </c>
      <c r="L413" s="6">
        <v>0.03</v>
      </c>
      <c r="M413" s="6">
        <v>0.03</v>
      </c>
      <c r="N413" s="6">
        <v>0.03</v>
      </c>
      <c r="O413" s="6">
        <v>0.03</v>
      </c>
      <c r="P413" s="6">
        <v>1</v>
      </c>
      <c r="Q413" s="4" t="s">
        <v>26</v>
      </c>
      <c r="R413" s="4">
        <v>0</v>
      </c>
      <c r="S413" s="6">
        <v>0</v>
      </c>
      <c r="T413" s="6">
        <v>17</v>
      </c>
      <c r="U413" s="6">
        <v>46</v>
      </c>
      <c r="V413" s="6">
        <f>IF(ISERROR(VLOOKUP($S$413,'TAR FIN'!$A$1:$O$85,15,0)),0,VLOOKUP($S$413,'TAR FIN'!$A$1:$O$85,15,0))</f>
        <v>0</v>
      </c>
      <c r="W413" s="6">
        <f>IF(ISERROR(VLOOKUP($T$413,'TAR FIN'!$A$1:$O$85,15,0)),0,VLOOKUP($T$413,'TAR FIN'!$A$1:$O$85,15,0))</f>
        <v>867.38</v>
      </c>
      <c r="X413" s="6">
        <f>IF(ISERROR(VLOOKUP($U$413,'TAR FIN'!$A$1:$O$85,15,0)),0,VLOOKUP($U$413,'TAR FIN'!$A$1:$O$85,15,0))</f>
        <v>240.29</v>
      </c>
      <c r="Y413" s="6"/>
      <c r="Z413" s="6">
        <f ca="1">('TUSD BE'!$AM$48+'TUSD BF'!$AM$48+'TUSD CVA'!$AM$48)*1</f>
        <v>982.05733872165513</v>
      </c>
      <c r="AA413" s="6">
        <f>('TE BE'!$AA$39+'TE BF'!$AA$39+'TE CVA'!$AA$39)*1</f>
        <v>330.73086315618451</v>
      </c>
      <c r="AB413" s="6">
        <f>$K$413*$V$413</f>
        <v>0</v>
      </c>
      <c r="AC413" s="6">
        <f>$M$413*$W$413</f>
        <v>26.0214</v>
      </c>
      <c r="AD413" s="6">
        <f>$O$413*$X$413</f>
        <v>7.2086999999999994</v>
      </c>
      <c r="AE413" s="6">
        <f>$K$413*$Y$413</f>
        <v>0</v>
      </c>
      <c r="AF413" s="6">
        <f ca="1">$M$413*$Z$413</f>
        <v>29.461720161649652</v>
      </c>
      <c r="AG413" s="6">
        <f>$O$413*$AA$413</f>
        <v>9.9219258946855344</v>
      </c>
    </row>
    <row r="414" spans="1:33" ht="11.25" customHeight="1" x14ac:dyDescent="0.3">
      <c r="A414" s="4" t="s">
        <v>21</v>
      </c>
      <c r="B414" s="4" t="s">
        <v>35</v>
      </c>
      <c r="C414" s="4" t="s">
        <v>23</v>
      </c>
      <c r="D414" s="4" t="s">
        <v>51</v>
      </c>
      <c r="E414" s="4" t="s">
        <v>25</v>
      </c>
      <c r="F414" s="4" t="s">
        <v>25</v>
      </c>
      <c r="G414" s="4" t="s">
        <v>25</v>
      </c>
      <c r="H414" s="4" t="s">
        <v>25</v>
      </c>
      <c r="I414" s="5">
        <v>44593</v>
      </c>
      <c r="J414" s="6">
        <v>0</v>
      </c>
      <c r="K414" s="6">
        <v>0</v>
      </c>
      <c r="L414" s="6">
        <v>0.03</v>
      </c>
      <c r="M414" s="6">
        <v>0.03</v>
      </c>
      <c r="N414" s="6">
        <v>0.03</v>
      </c>
      <c r="O414" s="6">
        <v>0.03</v>
      </c>
      <c r="P414" s="6">
        <v>1</v>
      </c>
      <c r="Q414" s="4" t="s">
        <v>26</v>
      </c>
      <c r="R414" s="4">
        <v>0</v>
      </c>
      <c r="S414" s="6">
        <v>0</v>
      </c>
      <c r="T414" s="6">
        <v>17</v>
      </c>
      <c r="U414" s="6">
        <v>46</v>
      </c>
      <c r="V414" s="6">
        <f>IF(ISERROR(VLOOKUP($S$414,'TAR FIN'!$A$1:$O$85,15,0)),0,VLOOKUP($S$414,'TAR FIN'!$A$1:$O$85,15,0))</f>
        <v>0</v>
      </c>
      <c r="W414" s="6">
        <f>IF(ISERROR(VLOOKUP($T$414,'TAR FIN'!$A$1:$O$85,15,0)),0,VLOOKUP($T$414,'TAR FIN'!$A$1:$O$85,15,0))</f>
        <v>867.38</v>
      </c>
      <c r="X414" s="6">
        <f>IF(ISERROR(VLOOKUP($U$414,'TAR FIN'!$A$1:$O$85,15,0)),0,VLOOKUP($U$414,'TAR FIN'!$A$1:$O$85,15,0))</f>
        <v>240.29</v>
      </c>
      <c r="Y414" s="6"/>
      <c r="Z414" s="6">
        <f ca="1">('TUSD BE'!$AM$48+'TUSD BF'!$AM$48+'TUSD CVA'!$AM$48)*1</f>
        <v>982.05733872165513</v>
      </c>
      <c r="AA414" s="6">
        <f>('TE BE'!$AA$39+'TE BF'!$AA$39+'TE CVA'!$AA$39)*1</f>
        <v>330.73086315618451</v>
      </c>
      <c r="AB414" s="6">
        <f>$K$414*$V$414</f>
        <v>0</v>
      </c>
      <c r="AC414" s="6">
        <f>$M$414*$W$414</f>
        <v>26.0214</v>
      </c>
      <c r="AD414" s="6">
        <f>$O$414*$X$414</f>
        <v>7.2086999999999994</v>
      </c>
      <c r="AE414" s="6">
        <f>$K$414*$Y$414</f>
        <v>0</v>
      </c>
      <c r="AF414" s="6">
        <f ca="1">$M$414*$Z$414</f>
        <v>29.461720161649652</v>
      </c>
      <c r="AG414" s="6">
        <f>$O$414*$AA$414</f>
        <v>9.9219258946855344</v>
      </c>
    </row>
    <row r="415" spans="1:33" ht="11.25" customHeight="1" x14ac:dyDescent="0.3">
      <c r="A415" s="4" t="s">
        <v>21</v>
      </c>
      <c r="B415" s="4" t="s">
        <v>35</v>
      </c>
      <c r="C415" s="4" t="s">
        <v>23</v>
      </c>
      <c r="D415" s="4" t="s">
        <v>51</v>
      </c>
      <c r="E415" s="4" t="s">
        <v>25</v>
      </c>
      <c r="F415" s="4" t="s">
        <v>25</v>
      </c>
      <c r="G415" s="4" t="s">
        <v>25</v>
      </c>
      <c r="H415" s="4" t="s">
        <v>25</v>
      </c>
      <c r="I415" s="5">
        <v>44621</v>
      </c>
      <c r="J415" s="6">
        <v>0</v>
      </c>
      <c r="K415" s="6">
        <v>0</v>
      </c>
      <c r="L415" s="6">
        <v>0.03</v>
      </c>
      <c r="M415" s="6">
        <v>0.03</v>
      </c>
      <c r="N415" s="6">
        <v>0.03</v>
      </c>
      <c r="O415" s="6">
        <v>0.03</v>
      </c>
      <c r="P415" s="6">
        <v>1</v>
      </c>
      <c r="Q415" s="4" t="s">
        <v>26</v>
      </c>
      <c r="R415" s="4">
        <v>0</v>
      </c>
      <c r="S415" s="6">
        <v>0</v>
      </c>
      <c r="T415" s="6">
        <v>17</v>
      </c>
      <c r="U415" s="6">
        <v>46</v>
      </c>
      <c r="V415" s="6">
        <f>IF(ISERROR(VLOOKUP($S$415,'TAR FIN'!$A$1:$O$85,15,0)),0,VLOOKUP($S$415,'TAR FIN'!$A$1:$O$85,15,0))</f>
        <v>0</v>
      </c>
      <c r="W415" s="6">
        <f>IF(ISERROR(VLOOKUP($T$415,'TAR FIN'!$A$1:$O$85,15,0)),0,VLOOKUP($T$415,'TAR FIN'!$A$1:$O$85,15,0))</f>
        <v>867.38</v>
      </c>
      <c r="X415" s="6">
        <f>IF(ISERROR(VLOOKUP($U$415,'TAR FIN'!$A$1:$O$85,15,0)),0,VLOOKUP($U$415,'TAR FIN'!$A$1:$O$85,15,0))</f>
        <v>240.29</v>
      </c>
      <c r="Y415" s="6"/>
      <c r="Z415" s="6">
        <f ca="1">('TUSD BE'!$AM$48+'TUSD BF'!$AM$48+'TUSD CVA'!$AM$48)*1</f>
        <v>982.05733872165513</v>
      </c>
      <c r="AA415" s="6">
        <f>('TE BE'!$AA$39+'TE BF'!$AA$39+'TE CVA'!$AA$39)*1</f>
        <v>330.73086315618451</v>
      </c>
      <c r="AB415" s="6">
        <f>$K$415*$V$415</f>
        <v>0</v>
      </c>
      <c r="AC415" s="6">
        <f>$M$415*$W$415</f>
        <v>26.0214</v>
      </c>
      <c r="AD415" s="6">
        <f>$O$415*$X$415</f>
        <v>7.2086999999999994</v>
      </c>
      <c r="AE415" s="6">
        <f>$K$415*$Y$415</f>
        <v>0</v>
      </c>
      <c r="AF415" s="6">
        <f ca="1">$M$415*$Z$415</f>
        <v>29.461720161649652</v>
      </c>
      <c r="AG415" s="6">
        <f>$O$415*$AA$415</f>
        <v>9.9219258946855344</v>
      </c>
    </row>
    <row r="416" spans="1:33" ht="11.25" customHeight="1" x14ac:dyDescent="0.3">
      <c r="A416" s="4" t="s">
        <v>21</v>
      </c>
      <c r="B416" s="4" t="s">
        <v>35</v>
      </c>
      <c r="C416" s="4" t="s">
        <v>23</v>
      </c>
      <c r="D416" s="4" t="s">
        <v>36</v>
      </c>
      <c r="E416" s="4" t="s">
        <v>25</v>
      </c>
      <c r="F416" s="4" t="s">
        <v>25</v>
      </c>
      <c r="G416" s="4" t="s">
        <v>25</v>
      </c>
      <c r="H416" s="4" t="s">
        <v>25</v>
      </c>
      <c r="I416" s="5">
        <v>44287</v>
      </c>
      <c r="J416" s="6">
        <v>0</v>
      </c>
      <c r="K416" s="6">
        <v>0</v>
      </c>
      <c r="L416" s="6">
        <v>6.56</v>
      </c>
      <c r="M416" s="6">
        <v>6.56</v>
      </c>
      <c r="N416" s="6">
        <v>6.56</v>
      </c>
      <c r="O416" s="6">
        <v>6.56</v>
      </c>
      <c r="P416" s="6">
        <v>9</v>
      </c>
      <c r="Q416" s="4" t="s">
        <v>26</v>
      </c>
      <c r="R416" s="4">
        <v>0</v>
      </c>
      <c r="S416" s="6">
        <v>0</v>
      </c>
      <c r="T416" s="6">
        <v>17</v>
      </c>
      <c r="U416" s="6">
        <v>46</v>
      </c>
      <c r="V416" s="6">
        <f>IF(ISERROR(VLOOKUP($S$416,'TAR FIN'!$A$1:$O$85,15,0)),0,VLOOKUP($S$416,'TAR FIN'!$A$1:$O$85,15,0))</f>
        <v>0</v>
      </c>
      <c r="W416" s="6">
        <f>IF(ISERROR(VLOOKUP($T$416,'TAR FIN'!$A$1:$O$85,15,0)),0,VLOOKUP($T$416,'TAR FIN'!$A$1:$O$85,15,0))</f>
        <v>867.38</v>
      </c>
      <c r="X416" s="6">
        <f>IF(ISERROR(VLOOKUP($U$416,'TAR FIN'!$A$1:$O$85,15,0)),0,VLOOKUP($U$416,'TAR FIN'!$A$1:$O$85,15,0))</f>
        <v>240.29</v>
      </c>
      <c r="Y416" s="6"/>
      <c r="Z416" s="6">
        <f ca="1">('TUSD BE'!$AM$48+'TUSD BF'!$AM$48+'TUSD CVA'!$AM$48)*1</f>
        <v>982.05733872165513</v>
      </c>
      <c r="AA416" s="6">
        <f>('TE BE'!$AA$39+'TE BF'!$AA$39+'TE CVA'!$AA$39)*1</f>
        <v>330.73086315618451</v>
      </c>
      <c r="AB416" s="6">
        <f>$K$416*$V$416</f>
        <v>0</v>
      </c>
      <c r="AC416" s="6">
        <f>$M$416*$W$416</f>
        <v>5690.0127999999995</v>
      </c>
      <c r="AD416" s="6">
        <f>$O$416*$X$416</f>
        <v>1576.3023999999998</v>
      </c>
      <c r="AE416" s="6">
        <f>$K$416*$Y$416</f>
        <v>0</v>
      </c>
      <c r="AF416" s="6">
        <f ca="1">$M$416*$Z$416</f>
        <v>6442.2961420140573</v>
      </c>
      <c r="AG416" s="6">
        <f>$O$416*$AA$416</f>
        <v>2169.5944623045702</v>
      </c>
    </row>
    <row r="417" spans="1:33" ht="11.25" customHeight="1" x14ac:dyDescent="0.3">
      <c r="A417" s="4" t="s">
        <v>28</v>
      </c>
      <c r="B417" s="4" t="s">
        <v>35</v>
      </c>
      <c r="C417" s="4" t="s">
        <v>23</v>
      </c>
      <c r="D417" s="4" t="s">
        <v>36</v>
      </c>
      <c r="E417" s="4" t="s">
        <v>25</v>
      </c>
      <c r="F417" s="4" t="s">
        <v>25</v>
      </c>
      <c r="G417" s="4" t="s">
        <v>25</v>
      </c>
      <c r="H417" s="4" t="s">
        <v>25</v>
      </c>
      <c r="I417" s="5">
        <v>44287</v>
      </c>
      <c r="J417" s="6">
        <v>0</v>
      </c>
      <c r="K417" s="6">
        <v>0</v>
      </c>
      <c r="L417" s="6">
        <v>0.1</v>
      </c>
      <c r="M417" s="6">
        <v>0.1</v>
      </c>
      <c r="N417" s="6">
        <v>0.1</v>
      </c>
      <c r="O417" s="6">
        <v>0.1</v>
      </c>
      <c r="P417" s="6">
        <v>1</v>
      </c>
      <c r="Q417" s="4" t="s">
        <v>26</v>
      </c>
      <c r="R417" s="4">
        <v>0</v>
      </c>
      <c r="S417" s="6">
        <v>0</v>
      </c>
      <c r="T417" s="6">
        <v>17</v>
      </c>
      <c r="U417" s="6">
        <v>46</v>
      </c>
      <c r="V417" s="6">
        <f>IF(ISERROR(VLOOKUP($S$417,'TAR FIN'!$A$1:$O$85,15,0)),0,VLOOKUP($S$417,'TAR FIN'!$A$1:$O$85,15,0))</f>
        <v>0</v>
      </c>
      <c r="W417" s="6">
        <f>IF(ISERROR(VLOOKUP($T$417,'TAR FIN'!$A$1:$O$85,15,0)),0,VLOOKUP($T$417,'TAR FIN'!$A$1:$O$85,15,0))</f>
        <v>867.38</v>
      </c>
      <c r="X417" s="6">
        <f>IF(ISERROR(VLOOKUP($U$417,'TAR FIN'!$A$1:$O$85,15,0)),0,VLOOKUP($U$417,'TAR FIN'!$A$1:$O$85,15,0))</f>
        <v>240.29</v>
      </c>
      <c r="Y417" s="6"/>
      <c r="Z417" s="6">
        <f ca="1">('TUSD BE'!$AM$48+'TUSD BF'!$AM$48+'TUSD CVA'!$AM$48)*1</f>
        <v>982.05733872165513</v>
      </c>
      <c r="AA417" s="6">
        <f>('TE BE'!$AA$39+'TE BF'!$AA$39+'TE CVA'!$AA$39)*1</f>
        <v>330.73086315618451</v>
      </c>
      <c r="AB417" s="6">
        <f>$K$417*$V$417</f>
        <v>0</v>
      </c>
      <c r="AC417" s="6">
        <f>$M$417*$W$417</f>
        <v>86.738</v>
      </c>
      <c r="AD417" s="6">
        <f>$O$417*$X$417</f>
        <v>24.029</v>
      </c>
      <c r="AE417" s="6">
        <f>$K$417*$Y$417</f>
        <v>0</v>
      </c>
      <c r="AF417" s="6">
        <f ca="1">$M$417*$Z$417</f>
        <v>98.205733872165524</v>
      </c>
      <c r="AG417" s="6">
        <f>$O$417*$AA$417</f>
        <v>33.073086315618454</v>
      </c>
    </row>
    <row r="418" spans="1:33" ht="11.25" customHeight="1" x14ac:dyDescent="0.3">
      <c r="A418" s="4" t="s">
        <v>21</v>
      </c>
      <c r="B418" s="4" t="s">
        <v>35</v>
      </c>
      <c r="C418" s="4" t="s">
        <v>23</v>
      </c>
      <c r="D418" s="4" t="s">
        <v>36</v>
      </c>
      <c r="E418" s="4" t="s">
        <v>25</v>
      </c>
      <c r="F418" s="4" t="s">
        <v>25</v>
      </c>
      <c r="G418" s="4" t="s">
        <v>25</v>
      </c>
      <c r="H418" s="4" t="s">
        <v>25</v>
      </c>
      <c r="I418" s="5">
        <v>44317</v>
      </c>
      <c r="J418" s="6">
        <v>0</v>
      </c>
      <c r="K418" s="6">
        <v>0</v>
      </c>
      <c r="L418" s="6">
        <v>4.6980000000000004</v>
      </c>
      <c r="M418" s="6">
        <v>4.6980000000000004</v>
      </c>
      <c r="N418" s="6">
        <v>4.6980000000000004</v>
      </c>
      <c r="O418" s="6">
        <v>4.6980000000000004</v>
      </c>
      <c r="P418" s="6">
        <v>9</v>
      </c>
      <c r="Q418" s="4" t="s">
        <v>26</v>
      </c>
      <c r="R418" s="4">
        <v>0</v>
      </c>
      <c r="S418" s="6">
        <v>0</v>
      </c>
      <c r="T418" s="6">
        <v>17</v>
      </c>
      <c r="U418" s="6">
        <v>46</v>
      </c>
      <c r="V418" s="6">
        <f>IF(ISERROR(VLOOKUP($S$418,'TAR FIN'!$A$1:$O$85,15,0)),0,VLOOKUP($S$418,'TAR FIN'!$A$1:$O$85,15,0))</f>
        <v>0</v>
      </c>
      <c r="W418" s="6">
        <f>IF(ISERROR(VLOOKUP($T$418,'TAR FIN'!$A$1:$O$85,15,0)),0,VLOOKUP($T$418,'TAR FIN'!$A$1:$O$85,15,0))</f>
        <v>867.38</v>
      </c>
      <c r="X418" s="6">
        <f>IF(ISERROR(VLOOKUP($U$418,'TAR FIN'!$A$1:$O$85,15,0)),0,VLOOKUP($U$418,'TAR FIN'!$A$1:$O$85,15,0))</f>
        <v>240.29</v>
      </c>
      <c r="Y418" s="6"/>
      <c r="Z418" s="6">
        <f ca="1">('TUSD BE'!$AM$48+'TUSD BF'!$AM$48+'TUSD CVA'!$AM$48)*1</f>
        <v>982.05733872165513</v>
      </c>
      <c r="AA418" s="6">
        <f>('TE BE'!$AA$39+'TE BF'!$AA$39+'TE CVA'!$AA$39)*1</f>
        <v>330.73086315618451</v>
      </c>
      <c r="AB418" s="6">
        <f>$K$418*$V$418</f>
        <v>0</v>
      </c>
      <c r="AC418" s="6">
        <f>$M$418*$W$418</f>
        <v>4074.9512400000003</v>
      </c>
      <c r="AD418" s="6">
        <f>$O$418*$X$418</f>
        <v>1128.8824200000001</v>
      </c>
      <c r="AE418" s="6">
        <f>$K$418*$Y$418</f>
        <v>0</v>
      </c>
      <c r="AF418" s="6">
        <f ca="1">$M$418*$Z$418</f>
        <v>4613.7053773143361</v>
      </c>
      <c r="AG418" s="6">
        <f>$O$418*$AA$418</f>
        <v>1553.773595107755</v>
      </c>
    </row>
    <row r="419" spans="1:33" ht="11.25" customHeight="1" x14ac:dyDescent="0.3">
      <c r="A419" s="4" t="s">
        <v>28</v>
      </c>
      <c r="B419" s="4" t="s">
        <v>35</v>
      </c>
      <c r="C419" s="4" t="s">
        <v>23</v>
      </c>
      <c r="D419" s="4" t="s">
        <v>36</v>
      </c>
      <c r="E419" s="4" t="s">
        <v>25</v>
      </c>
      <c r="F419" s="4" t="s">
        <v>25</v>
      </c>
      <c r="G419" s="4" t="s">
        <v>25</v>
      </c>
      <c r="H419" s="4" t="s">
        <v>25</v>
      </c>
      <c r="I419" s="5">
        <v>44317</v>
      </c>
      <c r="J419" s="6">
        <v>0</v>
      </c>
      <c r="K419" s="6">
        <v>0</v>
      </c>
      <c r="L419" s="6">
        <v>0.65300000000000002</v>
      </c>
      <c r="M419" s="6">
        <v>0.65300000000000002</v>
      </c>
      <c r="N419" s="6">
        <v>0.65300000000000002</v>
      </c>
      <c r="O419" s="6">
        <v>0.65300000000000002</v>
      </c>
      <c r="P419" s="6">
        <v>1</v>
      </c>
      <c r="Q419" s="4" t="s">
        <v>26</v>
      </c>
      <c r="R419" s="4">
        <v>0</v>
      </c>
      <c r="S419" s="6">
        <v>0</v>
      </c>
      <c r="T419" s="6">
        <v>17</v>
      </c>
      <c r="U419" s="6">
        <v>46</v>
      </c>
      <c r="V419" s="6">
        <f>IF(ISERROR(VLOOKUP($S$419,'TAR FIN'!$A$1:$O$85,15,0)),0,VLOOKUP($S$419,'TAR FIN'!$A$1:$O$85,15,0))</f>
        <v>0</v>
      </c>
      <c r="W419" s="6">
        <f>IF(ISERROR(VLOOKUP($T$419,'TAR FIN'!$A$1:$O$85,15,0)),0,VLOOKUP($T$419,'TAR FIN'!$A$1:$O$85,15,0))</f>
        <v>867.38</v>
      </c>
      <c r="X419" s="6">
        <f>IF(ISERROR(VLOOKUP($U$419,'TAR FIN'!$A$1:$O$85,15,0)),0,VLOOKUP($U$419,'TAR FIN'!$A$1:$O$85,15,0))</f>
        <v>240.29</v>
      </c>
      <c r="Y419" s="6"/>
      <c r="Z419" s="6">
        <f ca="1">('TUSD BE'!$AM$48+'TUSD BF'!$AM$48+'TUSD CVA'!$AM$48)*1</f>
        <v>982.05733872165513</v>
      </c>
      <c r="AA419" s="6">
        <f>('TE BE'!$AA$39+'TE BF'!$AA$39+'TE CVA'!$AA$39)*1</f>
        <v>330.73086315618451</v>
      </c>
      <c r="AB419" s="6">
        <f>$K$419*$V$419</f>
        <v>0</v>
      </c>
      <c r="AC419" s="6">
        <f>$M$419*$W$419</f>
        <v>566.39913999999999</v>
      </c>
      <c r="AD419" s="6">
        <f>$O$419*$X$419</f>
        <v>156.90937</v>
      </c>
      <c r="AE419" s="6">
        <f>$K$419*$Y$419</f>
        <v>0</v>
      </c>
      <c r="AF419" s="6">
        <f ca="1">$M$419*$Z$419</f>
        <v>641.2834421852408</v>
      </c>
      <c r="AG419" s="6">
        <f>$O$419*$AA$419</f>
        <v>215.9672536409885</v>
      </c>
    </row>
    <row r="420" spans="1:33" ht="11.25" customHeight="1" x14ac:dyDescent="0.3">
      <c r="A420" s="4" t="s">
        <v>21</v>
      </c>
      <c r="B420" s="4" t="s">
        <v>35</v>
      </c>
      <c r="C420" s="4" t="s">
        <v>23</v>
      </c>
      <c r="D420" s="4" t="s">
        <v>36</v>
      </c>
      <c r="E420" s="4" t="s">
        <v>25</v>
      </c>
      <c r="F420" s="4" t="s">
        <v>25</v>
      </c>
      <c r="G420" s="4" t="s">
        <v>25</v>
      </c>
      <c r="H420" s="4" t="s">
        <v>25</v>
      </c>
      <c r="I420" s="5">
        <v>44348</v>
      </c>
      <c r="J420" s="6">
        <v>0</v>
      </c>
      <c r="K420" s="6">
        <v>0</v>
      </c>
      <c r="L420" s="6">
        <v>4.03</v>
      </c>
      <c r="M420" s="6">
        <v>4.03</v>
      </c>
      <c r="N420" s="6">
        <v>4.03</v>
      </c>
      <c r="O420" s="6">
        <v>4.03</v>
      </c>
      <c r="P420" s="6">
        <v>9</v>
      </c>
      <c r="Q420" s="4" t="s">
        <v>26</v>
      </c>
      <c r="R420" s="4">
        <v>0</v>
      </c>
      <c r="S420" s="6">
        <v>0</v>
      </c>
      <c r="T420" s="6">
        <v>17</v>
      </c>
      <c r="U420" s="6">
        <v>46</v>
      </c>
      <c r="V420" s="6">
        <f>IF(ISERROR(VLOOKUP($S$420,'TAR FIN'!$A$1:$O$85,15,0)),0,VLOOKUP($S$420,'TAR FIN'!$A$1:$O$85,15,0))</f>
        <v>0</v>
      </c>
      <c r="W420" s="6">
        <f>IF(ISERROR(VLOOKUP($T$420,'TAR FIN'!$A$1:$O$85,15,0)),0,VLOOKUP($T$420,'TAR FIN'!$A$1:$O$85,15,0))</f>
        <v>867.38</v>
      </c>
      <c r="X420" s="6">
        <f>IF(ISERROR(VLOOKUP($U$420,'TAR FIN'!$A$1:$O$85,15,0)),0,VLOOKUP($U$420,'TAR FIN'!$A$1:$O$85,15,0))</f>
        <v>240.29</v>
      </c>
      <c r="Y420" s="6"/>
      <c r="Z420" s="6">
        <f ca="1">('TUSD BE'!$AM$48+'TUSD BF'!$AM$48+'TUSD CVA'!$AM$48)*1</f>
        <v>982.05733872165513</v>
      </c>
      <c r="AA420" s="6">
        <f>('TE BE'!$AA$39+'TE BF'!$AA$39+'TE CVA'!$AA$39)*1</f>
        <v>330.73086315618451</v>
      </c>
      <c r="AB420" s="6">
        <f>$K$420*$V$420</f>
        <v>0</v>
      </c>
      <c r="AC420" s="6">
        <f>$M$420*$W$420</f>
        <v>3495.5414000000001</v>
      </c>
      <c r="AD420" s="6">
        <f>$O$420*$X$420</f>
        <v>968.36869999999999</v>
      </c>
      <c r="AE420" s="6">
        <f>$K$420*$Y$420</f>
        <v>0</v>
      </c>
      <c r="AF420" s="6">
        <f ca="1">$M$420*$Z$420</f>
        <v>3957.6910750482702</v>
      </c>
      <c r="AG420" s="6">
        <f>$O$420*$AA$420</f>
        <v>1332.8453785194238</v>
      </c>
    </row>
    <row r="421" spans="1:33" ht="11.25" customHeight="1" x14ac:dyDescent="0.3">
      <c r="A421" s="4" t="s">
        <v>28</v>
      </c>
      <c r="B421" s="4" t="s">
        <v>35</v>
      </c>
      <c r="C421" s="4" t="s">
        <v>23</v>
      </c>
      <c r="D421" s="4" t="s">
        <v>36</v>
      </c>
      <c r="E421" s="4" t="s">
        <v>25</v>
      </c>
      <c r="F421" s="4" t="s">
        <v>25</v>
      </c>
      <c r="G421" s="4" t="s">
        <v>25</v>
      </c>
      <c r="H421" s="4" t="s">
        <v>25</v>
      </c>
      <c r="I421" s="5">
        <v>44348</v>
      </c>
      <c r="J421" s="6">
        <v>0</v>
      </c>
      <c r="K421" s="6">
        <v>0</v>
      </c>
      <c r="L421" s="6">
        <v>0.79400000000000004</v>
      </c>
      <c r="M421" s="6">
        <v>0.79400000000000004</v>
      </c>
      <c r="N421" s="6">
        <v>0.79400000000000004</v>
      </c>
      <c r="O421" s="6">
        <v>0.79400000000000004</v>
      </c>
      <c r="P421" s="6">
        <v>1</v>
      </c>
      <c r="Q421" s="4" t="s">
        <v>26</v>
      </c>
      <c r="R421" s="4">
        <v>0</v>
      </c>
      <c r="S421" s="6">
        <v>0</v>
      </c>
      <c r="T421" s="6">
        <v>17</v>
      </c>
      <c r="U421" s="6">
        <v>46</v>
      </c>
      <c r="V421" s="6">
        <f>IF(ISERROR(VLOOKUP($S$421,'TAR FIN'!$A$1:$O$85,15,0)),0,VLOOKUP($S$421,'TAR FIN'!$A$1:$O$85,15,0))</f>
        <v>0</v>
      </c>
      <c r="W421" s="6">
        <f>IF(ISERROR(VLOOKUP($T$421,'TAR FIN'!$A$1:$O$85,15,0)),0,VLOOKUP($T$421,'TAR FIN'!$A$1:$O$85,15,0))</f>
        <v>867.38</v>
      </c>
      <c r="X421" s="6">
        <f>IF(ISERROR(VLOOKUP($U$421,'TAR FIN'!$A$1:$O$85,15,0)),0,VLOOKUP($U$421,'TAR FIN'!$A$1:$O$85,15,0))</f>
        <v>240.29</v>
      </c>
      <c r="Y421" s="6"/>
      <c r="Z421" s="6">
        <f ca="1">('TUSD BE'!$AM$48+'TUSD BF'!$AM$48+'TUSD CVA'!$AM$48)*1</f>
        <v>982.05733872165513</v>
      </c>
      <c r="AA421" s="6">
        <f>('TE BE'!$AA$39+'TE BF'!$AA$39+'TE CVA'!$AA$39)*1</f>
        <v>330.73086315618451</v>
      </c>
      <c r="AB421" s="6">
        <f>$K$421*$V$421</f>
        <v>0</v>
      </c>
      <c r="AC421" s="6">
        <f>$M$421*$W$421</f>
        <v>688.69972000000007</v>
      </c>
      <c r="AD421" s="6">
        <f>$O$421*$X$421</f>
        <v>190.79025999999999</v>
      </c>
      <c r="AE421" s="6">
        <f>$K$421*$Y$421</f>
        <v>0</v>
      </c>
      <c r="AF421" s="6">
        <f ca="1">$M$421*$Z$421</f>
        <v>779.75352694499418</v>
      </c>
      <c r="AG421" s="6">
        <f>$O$421*$AA$421</f>
        <v>262.60030534601054</v>
      </c>
    </row>
    <row r="422" spans="1:33" ht="11.25" customHeight="1" x14ac:dyDescent="0.3">
      <c r="A422" s="4" t="s">
        <v>21</v>
      </c>
      <c r="B422" s="4" t="s">
        <v>35</v>
      </c>
      <c r="C422" s="4" t="s">
        <v>23</v>
      </c>
      <c r="D422" s="4" t="s">
        <v>36</v>
      </c>
      <c r="E422" s="4" t="s">
        <v>25</v>
      </c>
      <c r="F422" s="4" t="s">
        <v>25</v>
      </c>
      <c r="G422" s="4" t="s">
        <v>25</v>
      </c>
      <c r="H422" s="4" t="s">
        <v>25</v>
      </c>
      <c r="I422" s="5">
        <v>44378</v>
      </c>
      <c r="J422" s="6">
        <v>0</v>
      </c>
      <c r="K422" s="6">
        <v>0</v>
      </c>
      <c r="L422" s="6">
        <v>3.4969999999999999</v>
      </c>
      <c r="M422" s="6">
        <v>3.4969999999999999</v>
      </c>
      <c r="N422" s="6">
        <v>3.4969999999999999</v>
      </c>
      <c r="O422" s="6">
        <v>3.4969999999999999</v>
      </c>
      <c r="P422" s="6">
        <v>9</v>
      </c>
      <c r="Q422" s="4" t="s">
        <v>26</v>
      </c>
      <c r="R422" s="4">
        <v>0</v>
      </c>
      <c r="S422" s="6">
        <v>0</v>
      </c>
      <c r="T422" s="6">
        <v>17</v>
      </c>
      <c r="U422" s="6">
        <v>46</v>
      </c>
      <c r="V422" s="6">
        <f>IF(ISERROR(VLOOKUP($S$422,'TAR FIN'!$A$1:$O$85,15,0)),0,VLOOKUP($S$422,'TAR FIN'!$A$1:$O$85,15,0))</f>
        <v>0</v>
      </c>
      <c r="W422" s="6">
        <f>IF(ISERROR(VLOOKUP($T$422,'TAR FIN'!$A$1:$O$85,15,0)),0,VLOOKUP($T$422,'TAR FIN'!$A$1:$O$85,15,0))</f>
        <v>867.38</v>
      </c>
      <c r="X422" s="6">
        <f>IF(ISERROR(VLOOKUP($U$422,'TAR FIN'!$A$1:$O$85,15,0)),0,VLOOKUP($U$422,'TAR FIN'!$A$1:$O$85,15,0))</f>
        <v>240.29</v>
      </c>
      <c r="Y422" s="6"/>
      <c r="Z422" s="6">
        <f ca="1">('TUSD BE'!$AM$48+'TUSD BF'!$AM$48+'TUSD CVA'!$AM$48)*1</f>
        <v>982.05733872165513</v>
      </c>
      <c r="AA422" s="6">
        <f>('TE BE'!$AA$39+'TE BF'!$AA$39+'TE CVA'!$AA$39)*1</f>
        <v>330.73086315618451</v>
      </c>
      <c r="AB422" s="6">
        <f>$K$422*$V$422</f>
        <v>0</v>
      </c>
      <c r="AC422" s="6">
        <f>$M$422*$W$422</f>
        <v>3033.22786</v>
      </c>
      <c r="AD422" s="6">
        <f>$O$422*$X$422</f>
        <v>840.29413</v>
      </c>
      <c r="AE422" s="6">
        <f>$K$422*$Y$422</f>
        <v>0</v>
      </c>
      <c r="AF422" s="6">
        <f ca="1">$M$422*$Z$422</f>
        <v>3434.2545135096279</v>
      </c>
      <c r="AG422" s="6">
        <f>$O$422*$AA$422</f>
        <v>1156.5658284571773</v>
      </c>
    </row>
    <row r="423" spans="1:33" ht="11.25" customHeight="1" x14ac:dyDescent="0.3">
      <c r="A423" s="4" t="s">
        <v>28</v>
      </c>
      <c r="B423" s="4" t="s">
        <v>35</v>
      </c>
      <c r="C423" s="4" t="s">
        <v>23</v>
      </c>
      <c r="D423" s="4" t="s">
        <v>36</v>
      </c>
      <c r="E423" s="4" t="s">
        <v>25</v>
      </c>
      <c r="F423" s="4" t="s">
        <v>25</v>
      </c>
      <c r="G423" s="4" t="s">
        <v>25</v>
      </c>
      <c r="H423" s="4" t="s">
        <v>25</v>
      </c>
      <c r="I423" s="5">
        <v>44378</v>
      </c>
      <c r="J423" s="6">
        <v>0</v>
      </c>
      <c r="K423" s="6">
        <v>0</v>
      </c>
      <c r="L423" s="6">
        <v>0.55800000000000005</v>
      </c>
      <c r="M423" s="6">
        <v>0.55800000000000005</v>
      </c>
      <c r="N423" s="6">
        <v>0.55800000000000005</v>
      </c>
      <c r="O423" s="6">
        <v>0.55800000000000005</v>
      </c>
      <c r="P423" s="6">
        <v>1</v>
      </c>
      <c r="Q423" s="4" t="s">
        <v>26</v>
      </c>
      <c r="R423" s="4">
        <v>0</v>
      </c>
      <c r="S423" s="6">
        <v>0</v>
      </c>
      <c r="T423" s="6">
        <v>17</v>
      </c>
      <c r="U423" s="6">
        <v>46</v>
      </c>
      <c r="V423" s="6">
        <f>IF(ISERROR(VLOOKUP($S$423,'TAR FIN'!$A$1:$O$85,15,0)),0,VLOOKUP($S$423,'TAR FIN'!$A$1:$O$85,15,0))</f>
        <v>0</v>
      </c>
      <c r="W423" s="6">
        <f>IF(ISERROR(VLOOKUP($T$423,'TAR FIN'!$A$1:$O$85,15,0)),0,VLOOKUP($T$423,'TAR FIN'!$A$1:$O$85,15,0))</f>
        <v>867.38</v>
      </c>
      <c r="X423" s="6">
        <f>IF(ISERROR(VLOOKUP($U$423,'TAR FIN'!$A$1:$O$85,15,0)),0,VLOOKUP($U$423,'TAR FIN'!$A$1:$O$85,15,0))</f>
        <v>240.29</v>
      </c>
      <c r="Y423" s="6"/>
      <c r="Z423" s="6">
        <f ca="1">('TUSD BE'!$AM$48+'TUSD BF'!$AM$48+'TUSD CVA'!$AM$48)*1</f>
        <v>982.05733872165513</v>
      </c>
      <c r="AA423" s="6">
        <f>('TE BE'!$AA$39+'TE BF'!$AA$39+'TE CVA'!$AA$39)*1</f>
        <v>330.73086315618451</v>
      </c>
      <c r="AB423" s="6">
        <f>$K$423*$V$423</f>
        <v>0</v>
      </c>
      <c r="AC423" s="6">
        <f>$M$423*$W$423</f>
        <v>483.99804000000006</v>
      </c>
      <c r="AD423" s="6">
        <f>$O$423*$X$423</f>
        <v>134.08182000000002</v>
      </c>
      <c r="AE423" s="6">
        <f>$K$423*$Y$423</f>
        <v>0</v>
      </c>
      <c r="AF423" s="6">
        <f ca="1">$M$423*$Z$423</f>
        <v>547.9879950066836</v>
      </c>
      <c r="AG423" s="6">
        <f>$O$423*$AA$423</f>
        <v>184.54782164115096</v>
      </c>
    </row>
    <row r="424" spans="1:33" ht="11.25" customHeight="1" x14ac:dyDescent="0.3">
      <c r="A424" s="4" t="s">
        <v>21</v>
      </c>
      <c r="B424" s="4" t="s">
        <v>35</v>
      </c>
      <c r="C424" s="4" t="s">
        <v>23</v>
      </c>
      <c r="D424" s="4" t="s">
        <v>36</v>
      </c>
      <c r="E424" s="4" t="s">
        <v>25</v>
      </c>
      <c r="F424" s="4" t="s">
        <v>25</v>
      </c>
      <c r="G424" s="4" t="s">
        <v>25</v>
      </c>
      <c r="H424" s="4" t="s">
        <v>25</v>
      </c>
      <c r="I424" s="5">
        <v>44409</v>
      </c>
      <c r="J424" s="6">
        <v>0</v>
      </c>
      <c r="K424" s="6">
        <v>0</v>
      </c>
      <c r="L424" s="6">
        <v>4.8650000000000002</v>
      </c>
      <c r="M424" s="6">
        <v>4.8650000000000002</v>
      </c>
      <c r="N424" s="6">
        <v>4.8650000000000002</v>
      </c>
      <c r="O424" s="6">
        <v>4.8650000000000002</v>
      </c>
      <c r="P424" s="6">
        <v>9</v>
      </c>
      <c r="Q424" s="4" t="s">
        <v>26</v>
      </c>
      <c r="R424" s="4">
        <v>0</v>
      </c>
      <c r="S424" s="6">
        <v>0</v>
      </c>
      <c r="T424" s="6">
        <v>17</v>
      </c>
      <c r="U424" s="6">
        <v>46</v>
      </c>
      <c r="V424" s="6">
        <f>IF(ISERROR(VLOOKUP($S$424,'TAR FIN'!$A$1:$O$85,15,0)),0,VLOOKUP($S$424,'TAR FIN'!$A$1:$O$85,15,0))</f>
        <v>0</v>
      </c>
      <c r="W424" s="6">
        <f>IF(ISERROR(VLOOKUP($T$424,'TAR FIN'!$A$1:$O$85,15,0)),0,VLOOKUP($T$424,'TAR FIN'!$A$1:$O$85,15,0))</f>
        <v>867.38</v>
      </c>
      <c r="X424" s="6">
        <f>IF(ISERROR(VLOOKUP($U$424,'TAR FIN'!$A$1:$O$85,15,0)),0,VLOOKUP($U$424,'TAR FIN'!$A$1:$O$85,15,0))</f>
        <v>240.29</v>
      </c>
      <c r="Y424" s="6"/>
      <c r="Z424" s="6">
        <f ca="1">('TUSD BE'!$AM$48+'TUSD BF'!$AM$48+'TUSD CVA'!$AM$48)*1</f>
        <v>982.05733872165513</v>
      </c>
      <c r="AA424" s="6">
        <f>('TE BE'!$AA$39+'TE BF'!$AA$39+'TE CVA'!$AA$39)*1</f>
        <v>330.73086315618451</v>
      </c>
      <c r="AB424" s="6">
        <f>$K$424*$V$424</f>
        <v>0</v>
      </c>
      <c r="AC424" s="6">
        <f>$M$424*$W$424</f>
        <v>4219.8037000000004</v>
      </c>
      <c r="AD424" s="6">
        <f>$O$424*$X$424</f>
        <v>1169.0108500000001</v>
      </c>
      <c r="AE424" s="6">
        <f>$K$424*$Y$424</f>
        <v>0</v>
      </c>
      <c r="AF424" s="6">
        <f ca="1">$M$424*$Z$424</f>
        <v>4777.7089528808528</v>
      </c>
      <c r="AG424" s="6">
        <f>$O$424*$AA$424</f>
        <v>1609.0056492548376</v>
      </c>
    </row>
    <row r="425" spans="1:33" ht="11.25" customHeight="1" x14ac:dyDescent="0.3">
      <c r="A425" s="4" t="s">
        <v>28</v>
      </c>
      <c r="B425" s="4" t="s">
        <v>35</v>
      </c>
      <c r="C425" s="4" t="s">
        <v>23</v>
      </c>
      <c r="D425" s="4" t="s">
        <v>36</v>
      </c>
      <c r="E425" s="4" t="s">
        <v>25</v>
      </c>
      <c r="F425" s="4" t="s">
        <v>25</v>
      </c>
      <c r="G425" s="4" t="s">
        <v>25</v>
      </c>
      <c r="H425" s="4" t="s">
        <v>25</v>
      </c>
      <c r="I425" s="5">
        <v>44409</v>
      </c>
      <c r="J425" s="6">
        <v>0</v>
      </c>
      <c r="K425" s="6">
        <v>0</v>
      </c>
      <c r="L425" s="6">
        <v>0.13200000000000001</v>
      </c>
      <c r="M425" s="6">
        <v>0.13200000000000001</v>
      </c>
      <c r="N425" s="6">
        <v>0.13200000000000001</v>
      </c>
      <c r="O425" s="6">
        <v>0.13200000000000001</v>
      </c>
      <c r="P425" s="6">
        <v>1</v>
      </c>
      <c r="Q425" s="4" t="s">
        <v>26</v>
      </c>
      <c r="R425" s="4">
        <v>0</v>
      </c>
      <c r="S425" s="6">
        <v>0</v>
      </c>
      <c r="T425" s="6">
        <v>17</v>
      </c>
      <c r="U425" s="6">
        <v>46</v>
      </c>
      <c r="V425" s="6">
        <f>IF(ISERROR(VLOOKUP($S$425,'TAR FIN'!$A$1:$O$85,15,0)),0,VLOOKUP($S$425,'TAR FIN'!$A$1:$O$85,15,0))</f>
        <v>0</v>
      </c>
      <c r="W425" s="6">
        <f>IF(ISERROR(VLOOKUP($T$425,'TAR FIN'!$A$1:$O$85,15,0)),0,VLOOKUP($T$425,'TAR FIN'!$A$1:$O$85,15,0))</f>
        <v>867.38</v>
      </c>
      <c r="X425" s="6">
        <f>IF(ISERROR(VLOOKUP($U$425,'TAR FIN'!$A$1:$O$85,15,0)),0,VLOOKUP($U$425,'TAR FIN'!$A$1:$O$85,15,0))</f>
        <v>240.29</v>
      </c>
      <c r="Y425" s="6"/>
      <c r="Z425" s="6">
        <f ca="1">('TUSD BE'!$AM$48+'TUSD BF'!$AM$48+'TUSD CVA'!$AM$48)*1</f>
        <v>982.05733872165513</v>
      </c>
      <c r="AA425" s="6">
        <f>('TE BE'!$AA$39+'TE BF'!$AA$39+'TE CVA'!$AA$39)*1</f>
        <v>330.73086315618451</v>
      </c>
      <c r="AB425" s="6">
        <f>$K$425*$V$425</f>
        <v>0</v>
      </c>
      <c r="AC425" s="6">
        <f>$M$425*$W$425</f>
        <v>114.49416000000001</v>
      </c>
      <c r="AD425" s="6">
        <f>$O$425*$X$425</f>
        <v>31.71828</v>
      </c>
      <c r="AE425" s="6">
        <f>$K$425*$Y$425</f>
        <v>0</v>
      </c>
      <c r="AF425" s="6">
        <f ca="1">$M$425*$Z$425</f>
        <v>129.6315687112585</v>
      </c>
      <c r="AG425" s="6">
        <f>$O$425*$AA$425</f>
        <v>43.656473936616358</v>
      </c>
    </row>
    <row r="426" spans="1:33" ht="11.25" customHeight="1" x14ac:dyDescent="0.3">
      <c r="A426" s="4" t="s">
        <v>21</v>
      </c>
      <c r="B426" s="4" t="s">
        <v>35</v>
      </c>
      <c r="C426" s="4" t="s">
        <v>23</v>
      </c>
      <c r="D426" s="4" t="s">
        <v>36</v>
      </c>
      <c r="E426" s="4" t="s">
        <v>25</v>
      </c>
      <c r="F426" s="4" t="s">
        <v>25</v>
      </c>
      <c r="G426" s="4" t="s">
        <v>25</v>
      </c>
      <c r="H426" s="4" t="s">
        <v>25</v>
      </c>
      <c r="I426" s="5">
        <v>44440</v>
      </c>
      <c r="J426" s="6">
        <v>0</v>
      </c>
      <c r="K426" s="6">
        <v>0</v>
      </c>
      <c r="L426" s="6">
        <v>5.9859999999999998</v>
      </c>
      <c r="M426" s="6">
        <v>5.9859999999999998</v>
      </c>
      <c r="N426" s="6">
        <v>5.9859999999999998</v>
      </c>
      <c r="O426" s="6">
        <v>5.9859999999999998</v>
      </c>
      <c r="P426" s="6">
        <v>9</v>
      </c>
      <c r="Q426" s="4" t="s">
        <v>26</v>
      </c>
      <c r="R426" s="4">
        <v>0</v>
      </c>
      <c r="S426" s="6">
        <v>0</v>
      </c>
      <c r="T426" s="6">
        <v>17</v>
      </c>
      <c r="U426" s="6">
        <v>46</v>
      </c>
      <c r="V426" s="6">
        <f>IF(ISERROR(VLOOKUP($S$426,'TAR FIN'!$A$1:$O$85,15,0)),0,VLOOKUP($S$426,'TAR FIN'!$A$1:$O$85,15,0))</f>
        <v>0</v>
      </c>
      <c r="W426" s="6">
        <f>IF(ISERROR(VLOOKUP($T$426,'TAR FIN'!$A$1:$O$85,15,0)),0,VLOOKUP($T$426,'TAR FIN'!$A$1:$O$85,15,0))</f>
        <v>867.38</v>
      </c>
      <c r="X426" s="6">
        <f>IF(ISERROR(VLOOKUP($U$426,'TAR FIN'!$A$1:$O$85,15,0)),0,VLOOKUP($U$426,'TAR FIN'!$A$1:$O$85,15,0))</f>
        <v>240.29</v>
      </c>
      <c r="Y426" s="6"/>
      <c r="Z426" s="6">
        <f ca="1">('TUSD BE'!$AM$48+'TUSD BF'!$AM$48+'TUSD CVA'!$AM$48)*1</f>
        <v>982.05733872165513</v>
      </c>
      <c r="AA426" s="6">
        <f>('TE BE'!$AA$39+'TE BF'!$AA$39+'TE CVA'!$AA$39)*1</f>
        <v>330.73086315618451</v>
      </c>
      <c r="AB426" s="6">
        <f>$K$426*$V$426</f>
        <v>0</v>
      </c>
      <c r="AC426" s="6">
        <f>$M$426*$W$426</f>
        <v>5192.1366799999996</v>
      </c>
      <c r="AD426" s="6">
        <f>$O$426*$X$426</f>
        <v>1438.3759399999999</v>
      </c>
      <c r="AE426" s="6">
        <f>$K$426*$Y$426</f>
        <v>0</v>
      </c>
      <c r="AF426" s="6">
        <f ca="1">$M$426*$Z$426</f>
        <v>5878.5952295878278</v>
      </c>
      <c r="AG426" s="6">
        <f>$O$426*$AA$426</f>
        <v>1979.7549468529205</v>
      </c>
    </row>
    <row r="427" spans="1:33" ht="11.25" customHeight="1" x14ac:dyDescent="0.3">
      <c r="A427" s="4" t="s">
        <v>28</v>
      </c>
      <c r="B427" s="4" t="s">
        <v>35</v>
      </c>
      <c r="C427" s="4" t="s">
        <v>23</v>
      </c>
      <c r="D427" s="4" t="s">
        <v>36</v>
      </c>
      <c r="E427" s="4" t="s">
        <v>25</v>
      </c>
      <c r="F427" s="4" t="s">
        <v>25</v>
      </c>
      <c r="G427" s="4" t="s">
        <v>25</v>
      </c>
      <c r="H427" s="4" t="s">
        <v>25</v>
      </c>
      <c r="I427" s="5">
        <v>44440</v>
      </c>
      <c r="J427" s="6">
        <v>0</v>
      </c>
      <c r="K427" s="6">
        <v>0</v>
      </c>
      <c r="L427" s="6">
        <v>0.1</v>
      </c>
      <c r="M427" s="6">
        <v>0.1</v>
      </c>
      <c r="N427" s="6">
        <v>0.1</v>
      </c>
      <c r="O427" s="6">
        <v>0.1</v>
      </c>
      <c r="P427" s="6">
        <v>1</v>
      </c>
      <c r="Q427" s="4" t="s">
        <v>26</v>
      </c>
      <c r="R427" s="4">
        <v>0</v>
      </c>
      <c r="S427" s="6">
        <v>0</v>
      </c>
      <c r="T427" s="6">
        <v>17</v>
      </c>
      <c r="U427" s="6">
        <v>46</v>
      </c>
      <c r="V427" s="6">
        <f>IF(ISERROR(VLOOKUP($S$427,'TAR FIN'!$A$1:$O$85,15,0)),0,VLOOKUP($S$427,'TAR FIN'!$A$1:$O$85,15,0))</f>
        <v>0</v>
      </c>
      <c r="W427" s="6">
        <f>IF(ISERROR(VLOOKUP($T$427,'TAR FIN'!$A$1:$O$85,15,0)),0,VLOOKUP($T$427,'TAR FIN'!$A$1:$O$85,15,0))</f>
        <v>867.38</v>
      </c>
      <c r="X427" s="6">
        <f>IF(ISERROR(VLOOKUP($U$427,'TAR FIN'!$A$1:$O$85,15,0)),0,VLOOKUP($U$427,'TAR FIN'!$A$1:$O$85,15,0))</f>
        <v>240.29</v>
      </c>
      <c r="Y427" s="6"/>
      <c r="Z427" s="6">
        <f ca="1">('TUSD BE'!$AM$48+'TUSD BF'!$AM$48+'TUSD CVA'!$AM$48)*1</f>
        <v>982.05733872165513</v>
      </c>
      <c r="AA427" s="6">
        <f>('TE BE'!$AA$39+'TE BF'!$AA$39+'TE CVA'!$AA$39)*1</f>
        <v>330.73086315618451</v>
      </c>
      <c r="AB427" s="6">
        <f>$K$427*$V$427</f>
        <v>0</v>
      </c>
      <c r="AC427" s="6">
        <f>$M$427*$W$427</f>
        <v>86.738</v>
      </c>
      <c r="AD427" s="6">
        <f>$O$427*$X$427</f>
        <v>24.029</v>
      </c>
      <c r="AE427" s="6">
        <f>$K$427*$Y$427</f>
        <v>0</v>
      </c>
      <c r="AF427" s="6">
        <f ca="1">$M$427*$Z$427</f>
        <v>98.205733872165524</v>
      </c>
      <c r="AG427" s="6">
        <f>$O$427*$AA$427</f>
        <v>33.073086315618454</v>
      </c>
    </row>
    <row r="428" spans="1:33" ht="11.25" customHeight="1" x14ac:dyDescent="0.3">
      <c r="A428" s="4" t="s">
        <v>21</v>
      </c>
      <c r="B428" s="4" t="s">
        <v>35</v>
      </c>
      <c r="C428" s="4" t="s">
        <v>23</v>
      </c>
      <c r="D428" s="4" t="s">
        <v>36</v>
      </c>
      <c r="E428" s="4" t="s">
        <v>25</v>
      </c>
      <c r="F428" s="4" t="s">
        <v>25</v>
      </c>
      <c r="G428" s="4" t="s">
        <v>25</v>
      </c>
      <c r="H428" s="4" t="s">
        <v>25</v>
      </c>
      <c r="I428" s="5">
        <v>44470</v>
      </c>
      <c r="J428" s="6">
        <v>0</v>
      </c>
      <c r="K428" s="6">
        <v>0</v>
      </c>
      <c r="L428" s="6">
        <v>5.6470000000000002</v>
      </c>
      <c r="M428" s="6">
        <v>5.6470000000000002</v>
      </c>
      <c r="N428" s="6">
        <v>5.6470000000000002</v>
      </c>
      <c r="O428" s="6">
        <v>5.6470000000000002</v>
      </c>
      <c r="P428" s="6">
        <v>9</v>
      </c>
      <c r="Q428" s="4" t="s">
        <v>26</v>
      </c>
      <c r="R428" s="4">
        <v>0</v>
      </c>
      <c r="S428" s="6">
        <v>0</v>
      </c>
      <c r="T428" s="6">
        <v>17</v>
      </c>
      <c r="U428" s="6">
        <v>46</v>
      </c>
      <c r="V428" s="6">
        <f>IF(ISERROR(VLOOKUP($S$428,'TAR FIN'!$A$1:$O$85,15,0)),0,VLOOKUP($S$428,'TAR FIN'!$A$1:$O$85,15,0))</f>
        <v>0</v>
      </c>
      <c r="W428" s="6">
        <f>IF(ISERROR(VLOOKUP($T$428,'TAR FIN'!$A$1:$O$85,15,0)),0,VLOOKUP($T$428,'TAR FIN'!$A$1:$O$85,15,0))</f>
        <v>867.38</v>
      </c>
      <c r="X428" s="6">
        <f>IF(ISERROR(VLOOKUP($U$428,'TAR FIN'!$A$1:$O$85,15,0)),0,VLOOKUP($U$428,'TAR FIN'!$A$1:$O$85,15,0))</f>
        <v>240.29</v>
      </c>
      <c r="Y428" s="6"/>
      <c r="Z428" s="6">
        <f ca="1">('TUSD BE'!$AM$48+'TUSD BF'!$AM$48+'TUSD CVA'!$AM$48)*1</f>
        <v>982.05733872165513</v>
      </c>
      <c r="AA428" s="6">
        <f>('TE BE'!$AA$39+'TE BF'!$AA$39+'TE CVA'!$AA$39)*1</f>
        <v>330.73086315618451</v>
      </c>
      <c r="AB428" s="6">
        <f>$K$428*$V$428</f>
        <v>0</v>
      </c>
      <c r="AC428" s="6">
        <f>$M$428*$W$428</f>
        <v>4898.0948600000002</v>
      </c>
      <c r="AD428" s="6">
        <f>$O$428*$X$428</f>
        <v>1356.9176299999999</v>
      </c>
      <c r="AE428" s="6">
        <f>$K$428*$Y$428</f>
        <v>0</v>
      </c>
      <c r="AF428" s="6">
        <f ca="1">$M$428*$Z$428</f>
        <v>5545.6777917611871</v>
      </c>
      <c r="AG428" s="6">
        <f>$O$428*$AA$428</f>
        <v>1867.6371842429739</v>
      </c>
    </row>
    <row r="429" spans="1:33" ht="11.25" customHeight="1" x14ac:dyDescent="0.3">
      <c r="A429" s="4" t="s">
        <v>28</v>
      </c>
      <c r="B429" s="4" t="s">
        <v>35</v>
      </c>
      <c r="C429" s="4" t="s">
        <v>23</v>
      </c>
      <c r="D429" s="4" t="s">
        <v>36</v>
      </c>
      <c r="E429" s="4" t="s">
        <v>25</v>
      </c>
      <c r="F429" s="4" t="s">
        <v>25</v>
      </c>
      <c r="G429" s="4" t="s">
        <v>25</v>
      </c>
      <c r="H429" s="4" t="s">
        <v>25</v>
      </c>
      <c r="I429" s="5">
        <v>44470</v>
      </c>
      <c r="J429" s="6">
        <v>0</v>
      </c>
      <c r="K429" s="6">
        <v>0</v>
      </c>
      <c r="L429" s="6">
        <v>0.43099999999999999</v>
      </c>
      <c r="M429" s="6">
        <v>0.43099999999999999</v>
      </c>
      <c r="N429" s="6">
        <v>0.43099999999999999</v>
      </c>
      <c r="O429" s="6">
        <v>0.43099999999999999</v>
      </c>
      <c r="P429" s="6">
        <v>1</v>
      </c>
      <c r="Q429" s="4" t="s">
        <v>26</v>
      </c>
      <c r="R429" s="4">
        <v>0</v>
      </c>
      <c r="S429" s="6">
        <v>0</v>
      </c>
      <c r="T429" s="6">
        <v>17</v>
      </c>
      <c r="U429" s="6">
        <v>46</v>
      </c>
      <c r="V429" s="6">
        <f>IF(ISERROR(VLOOKUP($S$429,'TAR FIN'!$A$1:$O$85,15,0)),0,VLOOKUP($S$429,'TAR FIN'!$A$1:$O$85,15,0))</f>
        <v>0</v>
      </c>
      <c r="W429" s="6">
        <f>IF(ISERROR(VLOOKUP($T$429,'TAR FIN'!$A$1:$O$85,15,0)),0,VLOOKUP($T$429,'TAR FIN'!$A$1:$O$85,15,0))</f>
        <v>867.38</v>
      </c>
      <c r="X429" s="6">
        <f>IF(ISERROR(VLOOKUP($U$429,'TAR FIN'!$A$1:$O$85,15,0)),0,VLOOKUP($U$429,'TAR FIN'!$A$1:$O$85,15,0))</f>
        <v>240.29</v>
      </c>
      <c r="Y429" s="6"/>
      <c r="Z429" s="6">
        <f ca="1">('TUSD BE'!$AM$48+'TUSD BF'!$AM$48+'TUSD CVA'!$AM$48)*1</f>
        <v>982.05733872165513</v>
      </c>
      <c r="AA429" s="6">
        <f>('TE BE'!$AA$39+'TE BF'!$AA$39+'TE CVA'!$AA$39)*1</f>
        <v>330.73086315618451</v>
      </c>
      <c r="AB429" s="6">
        <f>$K$429*$V$429</f>
        <v>0</v>
      </c>
      <c r="AC429" s="6">
        <f>$M$429*$W$429</f>
        <v>373.84078</v>
      </c>
      <c r="AD429" s="6">
        <f>$O$429*$X$429</f>
        <v>103.56498999999999</v>
      </c>
      <c r="AE429" s="6">
        <f>$K$429*$Y$429</f>
        <v>0</v>
      </c>
      <c r="AF429" s="6">
        <f ca="1">$M$429*$Z$429</f>
        <v>423.26671298903335</v>
      </c>
      <c r="AG429" s="6">
        <f>$O$429*$AA$429</f>
        <v>142.54500202031554</v>
      </c>
    </row>
    <row r="430" spans="1:33" ht="11.25" customHeight="1" x14ac:dyDescent="0.3">
      <c r="A430" s="4" t="s">
        <v>21</v>
      </c>
      <c r="B430" s="4" t="s">
        <v>35</v>
      </c>
      <c r="C430" s="4" t="s">
        <v>23</v>
      </c>
      <c r="D430" s="4" t="s">
        <v>36</v>
      </c>
      <c r="E430" s="4" t="s">
        <v>25</v>
      </c>
      <c r="F430" s="4" t="s">
        <v>25</v>
      </c>
      <c r="G430" s="4" t="s">
        <v>25</v>
      </c>
      <c r="H430" s="4" t="s">
        <v>25</v>
      </c>
      <c r="I430" s="5">
        <v>44501</v>
      </c>
      <c r="J430" s="6">
        <v>0</v>
      </c>
      <c r="K430" s="6">
        <v>0</v>
      </c>
      <c r="L430" s="6">
        <v>5.8319999999999999</v>
      </c>
      <c r="M430" s="6">
        <v>5.8319999999999999</v>
      </c>
      <c r="N430" s="6">
        <v>5.8319999999999999</v>
      </c>
      <c r="O430" s="6">
        <v>5.8319999999999999</v>
      </c>
      <c r="P430" s="6">
        <v>9</v>
      </c>
      <c r="Q430" s="4" t="s">
        <v>26</v>
      </c>
      <c r="R430" s="4">
        <v>0</v>
      </c>
      <c r="S430" s="6">
        <v>0</v>
      </c>
      <c r="T430" s="6">
        <v>17</v>
      </c>
      <c r="U430" s="6">
        <v>46</v>
      </c>
      <c r="V430" s="6">
        <f>IF(ISERROR(VLOOKUP($S$430,'TAR FIN'!$A$1:$O$85,15,0)),0,VLOOKUP($S$430,'TAR FIN'!$A$1:$O$85,15,0))</f>
        <v>0</v>
      </c>
      <c r="W430" s="6">
        <f>IF(ISERROR(VLOOKUP($T$430,'TAR FIN'!$A$1:$O$85,15,0)),0,VLOOKUP($T$430,'TAR FIN'!$A$1:$O$85,15,0))</f>
        <v>867.38</v>
      </c>
      <c r="X430" s="6">
        <f>IF(ISERROR(VLOOKUP($U$430,'TAR FIN'!$A$1:$O$85,15,0)),0,VLOOKUP($U$430,'TAR FIN'!$A$1:$O$85,15,0))</f>
        <v>240.29</v>
      </c>
      <c r="Y430" s="6"/>
      <c r="Z430" s="6">
        <f ca="1">('TUSD BE'!$AM$48+'TUSD BF'!$AM$48+'TUSD CVA'!$AM$48)*1</f>
        <v>982.05733872165513</v>
      </c>
      <c r="AA430" s="6">
        <f>('TE BE'!$AA$39+'TE BF'!$AA$39+'TE CVA'!$AA$39)*1</f>
        <v>330.73086315618451</v>
      </c>
      <c r="AB430" s="6">
        <f>$K$430*$V$430</f>
        <v>0</v>
      </c>
      <c r="AC430" s="6">
        <f>$M$430*$W$430</f>
        <v>5058.56016</v>
      </c>
      <c r="AD430" s="6">
        <f>$O$430*$X$430</f>
        <v>1401.3712799999998</v>
      </c>
      <c r="AE430" s="6">
        <f>$K$430*$Y$430</f>
        <v>0</v>
      </c>
      <c r="AF430" s="6">
        <f ca="1">$M$430*$Z$430</f>
        <v>5727.3583994246928</v>
      </c>
      <c r="AG430" s="6">
        <f>$O$430*$AA$430</f>
        <v>1928.822393926868</v>
      </c>
    </row>
    <row r="431" spans="1:33" ht="11.25" customHeight="1" x14ac:dyDescent="0.3">
      <c r="A431" s="4" t="s">
        <v>28</v>
      </c>
      <c r="B431" s="4" t="s">
        <v>35</v>
      </c>
      <c r="C431" s="4" t="s">
        <v>23</v>
      </c>
      <c r="D431" s="4" t="s">
        <v>36</v>
      </c>
      <c r="E431" s="4" t="s">
        <v>25</v>
      </c>
      <c r="F431" s="4" t="s">
        <v>25</v>
      </c>
      <c r="G431" s="4" t="s">
        <v>25</v>
      </c>
      <c r="H431" s="4" t="s">
        <v>25</v>
      </c>
      <c r="I431" s="5">
        <v>44501</v>
      </c>
      <c r="J431" s="6">
        <v>0</v>
      </c>
      <c r="K431" s="6">
        <v>0</v>
      </c>
      <c r="L431" s="6">
        <v>0.54100000000000004</v>
      </c>
      <c r="M431" s="6">
        <v>0.54100000000000004</v>
      </c>
      <c r="N431" s="6">
        <v>0.54100000000000004</v>
      </c>
      <c r="O431" s="6">
        <v>0.54100000000000004</v>
      </c>
      <c r="P431" s="6">
        <v>1</v>
      </c>
      <c r="Q431" s="4" t="s">
        <v>26</v>
      </c>
      <c r="R431" s="4">
        <v>0</v>
      </c>
      <c r="S431" s="6">
        <v>0</v>
      </c>
      <c r="T431" s="6">
        <v>17</v>
      </c>
      <c r="U431" s="6">
        <v>46</v>
      </c>
      <c r="V431" s="6">
        <f>IF(ISERROR(VLOOKUP($S$431,'TAR FIN'!$A$1:$O$85,15,0)),0,VLOOKUP($S$431,'TAR FIN'!$A$1:$O$85,15,0))</f>
        <v>0</v>
      </c>
      <c r="W431" s="6">
        <f>IF(ISERROR(VLOOKUP($T$431,'TAR FIN'!$A$1:$O$85,15,0)),0,VLOOKUP($T$431,'TAR FIN'!$A$1:$O$85,15,0))</f>
        <v>867.38</v>
      </c>
      <c r="X431" s="6">
        <f>IF(ISERROR(VLOOKUP($U$431,'TAR FIN'!$A$1:$O$85,15,0)),0,VLOOKUP($U$431,'TAR FIN'!$A$1:$O$85,15,0))</f>
        <v>240.29</v>
      </c>
      <c r="Y431" s="6"/>
      <c r="Z431" s="6">
        <f ca="1">('TUSD BE'!$AM$48+'TUSD BF'!$AM$48+'TUSD CVA'!$AM$48)*1</f>
        <v>982.05733872165513</v>
      </c>
      <c r="AA431" s="6">
        <f>('TE BE'!$AA$39+'TE BF'!$AA$39+'TE CVA'!$AA$39)*1</f>
        <v>330.73086315618451</v>
      </c>
      <c r="AB431" s="6">
        <f>$K$431*$V$431</f>
        <v>0</v>
      </c>
      <c r="AC431" s="6">
        <f>$M$431*$W$431</f>
        <v>469.25258000000002</v>
      </c>
      <c r="AD431" s="6">
        <f>$O$431*$X$431</f>
        <v>129.99689000000001</v>
      </c>
      <c r="AE431" s="6">
        <f>$K$431*$Y$431</f>
        <v>0</v>
      </c>
      <c r="AF431" s="6">
        <f ca="1">$M$431*$Z$431</f>
        <v>531.29302024841547</v>
      </c>
      <c r="AG431" s="6">
        <f>$O$431*$AA$431</f>
        <v>178.92539696749583</v>
      </c>
    </row>
    <row r="432" spans="1:33" ht="11.25" customHeight="1" x14ac:dyDescent="0.3">
      <c r="A432" s="4" t="s">
        <v>21</v>
      </c>
      <c r="B432" s="4" t="s">
        <v>35</v>
      </c>
      <c r="C432" s="4" t="s">
        <v>23</v>
      </c>
      <c r="D432" s="4" t="s">
        <v>36</v>
      </c>
      <c r="E432" s="4" t="s">
        <v>25</v>
      </c>
      <c r="F432" s="4" t="s">
        <v>25</v>
      </c>
      <c r="G432" s="4" t="s">
        <v>25</v>
      </c>
      <c r="H432" s="4" t="s">
        <v>25</v>
      </c>
      <c r="I432" s="5">
        <v>44531</v>
      </c>
      <c r="J432" s="6">
        <v>0</v>
      </c>
      <c r="K432" s="6">
        <v>0</v>
      </c>
      <c r="L432" s="6">
        <v>7.0010000000000003</v>
      </c>
      <c r="M432" s="6">
        <v>7.0010000000000003</v>
      </c>
      <c r="N432" s="6">
        <v>7.0010000000000003</v>
      </c>
      <c r="O432" s="6">
        <v>7.0010000000000003</v>
      </c>
      <c r="P432" s="6">
        <v>10</v>
      </c>
      <c r="Q432" s="4" t="s">
        <v>26</v>
      </c>
      <c r="R432" s="4">
        <v>0</v>
      </c>
      <c r="S432" s="6">
        <v>0</v>
      </c>
      <c r="T432" s="6">
        <v>17</v>
      </c>
      <c r="U432" s="6">
        <v>46</v>
      </c>
      <c r="V432" s="6">
        <f>IF(ISERROR(VLOOKUP($S$432,'TAR FIN'!$A$1:$O$85,15,0)),0,VLOOKUP($S$432,'TAR FIN'!$A$1:$O$85,15,0))</f>
        <v>0</v>
      </c>
      <c r="W432" s="6">
        <f>IF(ISERROR(VLOOKUP($T$432,'TAR FIN'!$A$1:$O$85,15,0)),0,VLOOKUP($T$432,'TAR FIN'!$A$1:$O$85,15,0))</f>
        <v>867.38</v>
      </c>
      <c r="X432" s="6">
        <f>IF(ISERROR(VLOOKUP($U$432,'TAR FIN'!$A$1:$O$85,15,0)),0,VLOOKUP($U$432,'TAR FIN'!$A$1:$O$85,15,0))</f>
        <v>240.29</v>
      </c>
      <c r="Y432" s="6"/>
      <c r="Z432" s="6">
        <f ca="1">('TUSD BE'!$AM$48+'TUSD BF'!$AM$48+'TUSD CVA'!$AM$48)*1</f>
        <v>982.05733872165513</v>
      </c>
      <c r="AA432" s="6">
        <f>('TE BE'!$AA$39+'TE BF'!$AA$39+'TE CVA'!$AA$39)*1</f>
        <v>330.73086315618451</v>
      </c>
      <c r="AB432" s="6">
        <f>$K$432*$V$432</f>
        <v>0</v>
      </c>
      <c r="AC432" s="6">
        <f>$M$432*$W$432</f>
        <v>6072.5273800000004</v>
      </c>
      <c r="AD432" s="6">
        <f>$O$432*$X$432</f>
        <v>1682.2702899999999</v>
      </c>
      <c r="AE432" s="6">
        <f>$K$432*$Y$432</f>
        <v>0</v>
      </c>
      <c r="AF432" s="6">
        <f ca="1">$M$432*$Z$432</f>
        <v>6875.3834283903079</v>
      </c>
      <c r="AG432" s="6">
        <f>$O$432*$AA$432</f>
        <v>2315.4467729564481</v>
      </c>
    </row>
    <row r="433" spans="1:33" ht="11.25" customHeight="1" x14ac:dyDescent="0.3">
      <c r="A433" s="4" t="s">
        <v>28</v>
      </c>
      <c r="B433" s="4" t="s">
        <v>35</v>
      </c>
      <c r="C433" s="4" t="s">
        <v>23</v>
      </c>
      <c r="D433" s="4" t="s">
        <v>36</v>
      </c>
      <c r="E433" s="4" t="s">
        <v>25</v>
      </c>
      <c r="F433" s="4" t="s">
        <v>25</v>
      </c>
      <c r="G433" s="4" t="s">
        <v>25</v>
      </c>
      <c r="H433" s="4" t="s">
        <v>25</v>
      </c>
      <c r="I433" s="5">
        <v>44531</v>
      </c>
      <c r="J433" s="6">
        <v>0</v>
      </c>
      <c r="K433" s="6">
        <v>0</v>
      </c>
      <c r="L433" s="6">
        <v>0.1</v>
      </c>
      <c r="M433" s="6">
        <v>0.1</v>
      </c>
      <c r="N433" s="6">
        <v>0.1</v>
      </c>
      <c r="O433" s="6">
        <v>0.1</v>
      </c>
      <c r="P433" s="6">
        <v>1</v>
      </c>
      <c r="Q433" s="4" t="s">
        <v>26</v>
      </c>
      <c r="R433" s="4">
        <v>0</v>
      </c>
      <c r="S433" s="6">
        <v>0</v>
      </c>
      <c r="T433" s="6">
        <v>17</v>
      </c>
      <c r="U433" s="6">
        <v>46</v>
      </c>
      <c r="V433" s="6">
        <f>IF(ISERROR(VLOOKUP($S$433,'TAR FIN'!$A$1:$O$85,15,0)),0,VLOOKUP($S$433,'TAR FIN'!$A$1:$O$85,15,0))</f>
        <v>0</v>
      </c>
      <c r="W433" s="6">
        <f>IF(ISERROR(VLOOKUP($T$433,'TAR FIN'!$A$1:$O$85,15,0)),0,VLOOKUP($T$433,'TAR FIN'!$A$1:$O$85,15,0))</f>
        <v>867.38</v>
      </c>
      <c r="X433" s="6">
        <f>IF(ISERROR(VLOOKUP($U$433,'TAR FIN'!$A$1:$O$85,15,0)),0,VLOOKUP($U$433,'TAR FIN'!$A$1:$O$85,15,0))</f>
        <v>240.29</v>
      </c>
      <c r="Y433" s="6"/>
      <c r="Z433" s="6">
        <f ca="1">('TUSD BE'!$AM$48+'TUSD BF'!$AM$48+'TUSD CVA'!$AM$48)*1</f>
        <v>982.05733872165513</v>
      </c>
      <c r="AA433" s="6">
        <f>('TE BE'!$AA$39+'TE BF'!$AA$39+'TE CVA'!$AA$39)*1</f>
        <v>330.73086315618451</v>
      </c>
      <c r="AB433" s="6">
        <f>$K$433*$V$433</f>
        <v>0</v>
      </c>
      <c r="AC433" s="6">
        <f>$M$433*$W$433</f>
        <v>86.738</v>
      </c>
      <c r="AD433" s="6">
        <f>$O$433*$X$433</f>
        <v>24.029</v>
      </c>
      <c r="AE433" s="6">
        <f>$K$433*$Y$433</f>
        <v>0</v>
      </c>
      <c r="AF433" s="6">
        <f ca="1">$M$433*$Z$433</f>
        <v>98.205733872165524</v>
      </c>
      <c r="AG433" s="6">
        <f>$O$433*$AA$433</f>
        <v>33.073086315618454</v>
      </c>
    </row>
    <row r="434" spans="1:33" ht="11.25" customHeight="1" x14ac:dyDescent="0.3">
      <c r="A434" s="4" t="s">
        <v>21</v>
      </c>
      <c r="B434" s="4" t="s">
        <v>35</v>
      </c>
      <c r="C434" s="4" t="s">
        <v>23</v>
      </c>
      <c r="D434" s="4" t="s">
        <v>36</v>
      </c>
      <c r="E434" s="4" t="s">
        <v>25</v>
      </c>
      <c r="F434" s="4" t="s">
        <v>25</v>
      </c>
      <c r="G434" s="4" t="s">
        <v>25</v>
      </c>
      <c r="H434" s="4" t="s">
        <v>25</v>
      </c>
      <c r="I434" s="5">
        <v>44562</v>
      </c>
      <c r="J434" s="6">
        <v>0</v>
      </c>
      <c r="K434" s="6">
        <v>0</v>
      </c>
      <c r="L434" s="6">
        <v>8.1530000000000005</v>
      </c>
      <c r="M434" s="6">
        <v>8.1530000000000005</v>
      </c>
      <c r="N434" s="6">
        <v>8.1530000000000005</v>
      </c>
      <c r="O434" s="6">
        <v>8.1530000000000005</v>
      </c>
      <c r="P434" s="6">
        <v>10</v>
      </c>
      <c r="Q434" s="4" t="s">
        <v>26</v>
      </c>
      <c r="R434" s="4">
        <v>0</v>
      </c>
      <c r="S434" s="6">
        <v>0</v>
      </c>
      <c r="T434" s="6">
        <v>17</v>
      </c>
      <c r="U434" s="6">
        <v>46</v>
      </c>
      <c r="V434" s="6">
        <f>IF(ISERROR(VLOOKUP($S$434,'TAR FIN'!$A$1:$O$85,15,0)),0,VLOOKUP($S$434,'TAR FIN'!$A$1:$O$85,15,0))</f>
        <v>0</v>
      </c>
      <c r="W434" s="6">
        <f>IF(ISERROR(VLOOKUP($T$434,'TAR FIN'!$A$1:$O$85,15,0)),0,VLOOKUP($T$434,'TAR FIN'!$A$1:$O$85,15,0))</f>
        <v>867.38</v>
      </c>
      <c r="X434" s="6">
        <f>IF(ISERROR(VLOOKUP($U$434,'TAR FIN'!$A$1:$O$85,15,0)),0,VLOOKUP($U$434,'TAR FIN'!$A$1:$O$85,15,0))</f>
        <v>240.29</v>
      </c>
      <c r="Y434" s="6"/>
      <c r="Z434" s="6">
        <f ca="1">('TUSD BE'!$AM$48+'TUSD BF'!$AM$48+'TUSD CVA'!$AM$48)*1</f>
        <v>982.05733872165513</v>
      </c>
      <c r="AA434" s="6">
        <f>('TE BE'!$AA$39+'TE BF'!$AA$39+'TE CVA'!$AA$39)*1</f>
        <v>330.73086315618451</v>
      </c>
      <c r="AB434" s="6">
        <f>$K$434*$V$434</f>
        <v>0</v>
      </c>
      <c r="AC434" s="6">
        <f>$M$434*$W$434</f>
        <v>7071.7491400000008</v>
      </c>
      <c r="AD434" s="6">
        <f>$O$434*$X$434</f>
        <v>1959.08437</v>
      </c>
      <c r="AE434" s="6">
        <f>$K$434*$Y$434</f>
        <v>0</v>
      </c>
      <c r="AF434" s="6">
        <f ca="1">$M$434*$Z$434</f>
        <v>8006.7134825976545</v>
      </c>
      <c r="AG434" s="6">
        <f>$O$434*$AA$434</f>
        <v>2696.4487273123723</v>
      </c>
    </row>
    <row r="435" spans="1:33" ht="11.25" customHeight="1" x14ac:dyDescent="0.3">
      <c r="A435" s="4" t="s">
        <v>28</v>
      </c>
      <c r="B435" s="4" t="s">
        <v>35</v>
      </c>
      <c r="C435" s="4" t="s">
        <v>23</v>
      </c>
      <c r="D435" s="4" t="s">
        <v>36</v>
      </c>
      <c r="E435" s="4" t="s">
        <v>25</v>
      </c>
      <c r="F435" s="4" t="s">
        <v>25</v>
      </c>
      <c r="G435" s="4" t="s">
        <v>25</v>
      </c>
      <c r="H435" s="4" t="s">
        <v>25</v>
      </c>
      <c r="I435" s="5">
        <v>44562</v>
      </c>
      <c r="J435" s="6">
        <v>0</v>
      </c>
      <c r="K435" s="6">
        <v>0</v>
      </c>
      <c r="L435" s="6">
        <v>0.1</v>
      </c>
      <c r="M435" s="6">
        <v>0.1</v>
      </c>
      <c r="N435" s="6">
        <v>0.1</v>
      </c>
      <c r="O435" s="6">
        <v>0.1</v>
      </c>
      <c r="P435" s="6">
        <v>1</v>
      </c>
      <c r="Q435" s="4" t="s">
        <v>26</v>
      </c>
      <c r="R435" s="4">
        <v>0</v>
      </c>
      <c r="S435" s="6">
        <v>0</v>
      </c>
      <c r="T435" s="6">
        <v>17</v>
      </c>
      <c r="U435" s="6">
        <v>46</v>
      </c>
      <c r="V435" s="6">
        <f>IF(ISERROR(VLOOKUP($S$435,'TAR FIN'!$A$1:$O$85,15,0)),0,VLOOKUP($S$435,'TAR FIN'!$A$1:$O$85,15,0))</f>
        <v>0</v>
      </c>
      <c r="W435" s="6">
        <f>IF(ISERROR(VLOOKUP($T$435,'TAR FIN'!$A$1:$O$85,15,0)),0,VLOOKUP($T$435,'TAR FIN'!$A$1:$O$85,15,0))</f>
        <v>867.38</v>
      </c>
      <c r="X435" s="6">
        <f>IF(ISERROR(VLOOKUP($U$435,'TAR FIN'!$A$1:$O$85,15,0)),0,VLOOKUP($U$435,'TAR FIN'!$A$1:$O$85,15,0))</f>
        <v>240.29</v>
      </c>
      <c r="Y435" s="6"/>
      <c r="Z435" s="6">
        <f ca="1">('TUSD BE'!$AM$48+'TUSD BF'!$AM$48+'TUSD CVA'!$AM$48)*1</f>
        <v>982.05733872165513</v>
      </c>
      <c r="AA435" s="6">
        <f>('TE BE'!$AA$39+'TE BF'!$AA$39+'TE CVA'!$AA$39)*1</f>
        <v>330.73086315618451</v>
      </c>
      <c r="AB435" s="6">
        <f>$K$435*$V$435</f>
        <v>0</v>
      </c>
      <c r="AC435" s="6">
        <f>$M$435*$W$435</f>
        <v>86.738</v>
      </c>
      <c r="AD435" s="6">
        <f>$O$435*$X$435</f>
        <v>24.029</v>
      </c>
      <c r="AE435" s="6">
        <f>$K$435*$Y$435</f>
        <v>0</v>
      </c>
      <c r="AF435" s="6">
        <f ca="1">$M$435*$Z$435</f>
        <v>98.205733872165524</v>
      </c>
      <c r="AG435" s="6">
        <f>$O$435*$AA$435</f>
        <v>33.073086315618454</v>
      </c>
    </row>
    <row r="436" spans="1:33" ht="11.25" customHeight="1" x14ac:dyDescent="0.3">
      <c r="A436" s="4" t="s">
        <v>21</v>
      </c>
      <c r="B436" s="4" t="s">
        <v>35</v>
      </c>
      <c r="C436" s="4" t="s">
        <v>23</v>
      </c>
      <c r="D436" s="4" t="s">
        <v>36</v>
      </c>
      <c r="E436" s="4" t="s">
        <v>25</v>
      </c>
      <c r="F436" s="4" t="s">
        <v>25</v>
      </c>
      <c r="G436" s="4" t="s">
        <v>25</v>
      </c>
      <c r="H436" s="4" t="s">
        <v>25</v>
      </c>
      <c r="I436" s="5">
        <v>44593</v>
      </c>
      <c r="J436" s="6">
        <v>0</v>
      </c>
      <c r="K436" s="6">
        <v>0</v>
      </c>
      <c r="L436" s="6">
        <v>9.3239999999999998</v>
      </c>
      <c r="M436" s="6">
        <v>9.3239999999999998</v>
      </c>
      <c r="N436" s="6">
        <v>9.3239999999999998</v>
      </c>
      <c r="O436" s="6">
        <v>9.3239999999999998</v>
      </c>
      <c r="P436" s="6">
        <v>10</v>
      </c>
      <c r="Q436" s="4" t="s">
        <v>26</v>
      </c>
      <c r="R436" s="4">
        <v>0</v>
      </c>
      <c r="S436" s="6">
        <v>0</v>
      </c>
      <c r="T436" s="6">
        <v>17</v>
      </c>
      <c r="U436" s="6">
        <v>46</v>
      </c>
      <c r="V436" s="6">
        <f>IF(ISERROR(VLOOKUP($S$436,'TAR FIN'!$A$1:$O$85,15,0)),0,VLOOKUP($S$436,'TAR FIN'!$A$1:$O$85,15,0))</f>
        <v>0</v>
      </c>
      <c r="W436" s="6">
        <f>IF(ISERROR(VLOOKUP($T$436,'TAR FIN'!$A$1:$O$85,15,0)),0,VLOOKUP($T$436,'TAR FIN'!$A$1:$O$85,15,0))</f>
        <v>867.38</v>
      </c>
      <c r="X436" s="6">
        <f>IF(ISERROR(VLOOKUP($U$436,'TAR FIN'!$A$1:$O$85,15,0)),0,VLOOKUP($U$436,'TAR FIN'!$A$1:$O$85,15,0))</f>
        <v>240.29</v>
      </c>
      <c r="Y436" s="6"/>
      <c r="Z436" s="6">
        <f ca="1">('TUSD BE'!$AM$48+'TUSD BF'!$AM$48+'TUSD CVA'!$AM$48)*1</f>
        <v>982.05733872165513</v>
      </c>
      <c r="AA436" s="6">
        <f>('TE BE'!$AA$39+'TE BF'!$AA$39+'TE CVA'!$AA$39)*1</f>
        <v>330.73086315618451</v>
      </c>
      <c r="AB436" s="6">
        <f>$K$436*$V$436</f>
        <v>0</v>
      </c>
      <c r="AC436" s="6">
        <f>$M$436*$W$436</f>
        <v>8087.4511199999997</v>
      </c>
      <c r="AD436" s="6">
        <f>$O$436*$X$436</f>
        <v>2240.46396</v>
      </c>
      <c r="AE436" s="6">
        <f>$K$436*$Y$436</f>
        <v>0</v>
      </c>
      <c r="AF436" s="6">
        <f ca="1">$M$436*$Z$436</f>
        <v>9156.7026262407126</v>
      </c>
      <c r="AG436" s="6">
        <f>$O$436*$AA$436</f>
        <v>3083.7345680682643</v>
      </c>
    </row>
    <row r="437" spans="1:33" ht="11.25" customHeight="1" x14ac:dyDescent="0.3">
      <c r="A437" s="4" t="s">
        <v>28</v>
      </c>
      <c r="B437" s="4" t="s">
        <v>35</v>
      </c>
      <c r="C437" s="4" t="s">
        <v>23</v>
      </c>
      <c r="D437" s="4" t="s">
        <v>36</v>
      </c>
      <c r="E437" s="4" t="s">
        <v>25</v>
      </c>
      <c r="F437" s="4" t="s">
        <v>25</v>
      </c>
      <c r="G437" s="4" t="s">
        <v>25</v>
      </c>
      <c r="H437" s="4" t="s">
        <v>25</v>
      </c>
      <c r="I437" s="5">
        <v>44593</v>
      </c>
      <c r="J437" s="6">
        <v>0</v>
      </c>
      <c r="K437" s="6">
        <v>0</v>
      </c>
      <c r="L437" s="6">
        <v>0.1</v>
      </c>
      <c r="M437" s="6">
        <v>0.1</v>
      </c>
      <c r="N437" s="6">
        <v>0.1</v>
      </c>
      <c r="O437" s="6">
        <v>0.1</v>
      </c>
      <c r="P437" s="6">
        <v>1</v>
      </c>
      <c r="Q437" s="4" t="s">
        <v>26</v>
      </c>
      <c r="R437" s="4">
        <v>0</v>
      </c>
      <c r="S437" s="6">
        <v>0</v>
      </c>
      <c r="T437" s="6">
        <v>17</v>
      </c>
      <c r="U437" s="6">
        <v>46</v>
      </c>
      <c r="V437" s="6">
        <f>IF(ISERROR(VLOOKUP($S$437,'TAR FIN'!$A$1:$O$85,15,0)),0,VLOOKUP($S$437,'TAR FIN'!$A$1:$O$85,15,0))</f>
        <v>0</v>
      </c>
      <c r="W437" s="6">
        <f>IF(ISERROR(VLOOKUP($T$437,'TAR FIN'!$A$1:$O$85,15,0)),0,VLOOKUP($T$437,'TAR FIN'!$A$1:$O$85,15,0))</f>
        <v>867.38</v>
      </c>
      <c r="X437" s="6">
        <f>IF(ISERROR(VLOOKUP($U$437,'TAR FIN'!$A$1:$O$85,15,0)),0,VLOOKUP($U$437,'TAR FIN'!$A$1:$O$85,15,0))</f>
        <v>240.29</v>
      </c>
      <c r="Y437" s="6"/>
      <c r="Z437" s="6">
        <f ca="1">('TUSD BE'!$AM$48+'TUSD BF'!$AM$48+'TUSD CVA'!$AM$48)*1</f>
        <v>982.05733872165513</v>
      </c>
      <c r="AA437" s="6">
        <f>('TE BE'!$AA$39+'TE BF'!$AA$39+'TE CVA'!$AA$39)*1</f>
        <v>330.73086315618451</v>
      </c>
      <c r="AB437" s="6">
        <f>$K$437*$V$437</f>
        <v>0</v>
      </c>
      <c r="AC437" s="6">
        <f>$M$437*$W$437</f>
        <v>86.738</v>
      </c>
      <c r="AD437" s="6">
        <f>$O$437*$X$437</f>
        <v>24.029</v>
      </c>
      <c r="AE437" s="6">
        <f>$K$437*$Y$437</f>
        <v>0</v>
      </c>
      <c r="AF437" s="6">
        <f ca="1">$M$437*$Z$437</f>
        <v>98.205733872165524</v>
      </c>
      <c r="AG437" s="6">
        <f>$O$437*$AA$437</f>
        <v>33.073086315618454</v>
      </c>
    </row>
    <row r="438" spans="1:33" ht="11.25" customHeight="1" x14ac:dyDescent="0.3">
      <c r="A438" s="4" t="s">
        <v>21</v>
      </c>
      <c r="B438" s="4" t="s">
        <v>35</v>
      </c>
      <c r="C438" s="4" t="s">
        <v>23</v>
      </c>
      <c r="D438" s="4" t="s">
        <v>36</v>
      </c>
      <c r="E438" s="4" t="s">
        <v>25</v>
      </c>
      <c r="F438" s="4" t="s">
        <v>25</v>
      </c>
      <c r="G438" s="4" t="s">
        <v>25</v>
      </c>
      <c r="H438" s="4" t="s">
        <v>25</v>
      </c>
      <c r="I438" s="5">
        <v>44621</v>
      </c>
      <c r="J438" s="6">
        <v>0</v>
      </c>
      <c r="K438" s="6">
        <v>0</v>
      </c>
      <c r="L438" s="6">
        <v>10.563000000000001</v>
      </c>
      <c r="M438" s="6">
        <v>10.563000000000001</v>
      </c>
      <c r="N438" s="6">
        <v>10.563000000000001</v>
      </c>
      <c r="O438" s="6">
        <v>10.563000000000001</v>
      </c>
      <c r="P438" s="6">
        <v>10</v>
      </c>
      <c r="Q438" s="4" t="s">
        <v>26</v>
      </c>
      <c r="R438" s="4">
        <v>0</v>
      </c>
      <c r="S438" s="6">
        <v>0</v>
      </c>
      <c r="T438" s="6">
        <v>17</v>
      </c>
      <c r="U438" s="6">
        <v>46</v>
      </c>
      <c r="V438" s="6">
        <f>IF(ISERROR(VLOOKUP($S$438,'TAR FIN'!$A$1:$O$85,15,0)),0,VLOOKUP($S$438,'TAR FIN'!$A$1:$O$85,15,0))</f>
        <v>0</v>
      </c>
      <c r="W438" s="6">
        <f>IF(ISERROR(VLOOKUP($T$438,'TAR FIN'!$A$1:$O$85,15,0)),0,VLOOKUP($T$438,'TAR FIN'!$A$1:$O$85,15,0))</f>
        <v>867.38</v>
      </c>
      <c r="X438" s="6">
        <f>IF(ISERROR(VLOOKUP($U$438,'TAR FIN'!$A$1:$O$85,15,0)),0,VLOOKUP($U$438,'TAR FIN'!$A$1:$O$85,15,0))</f>
        <v>240.29</v>
      </c>
      <c r="Y438" s="6"/>
      <c r="Z438" s="6">
        <f ca="1">('TUSD BE'!$AM$48+'TUSD BF'!$AM$48+'TUSD CVA'!$AM$48)*1</f>
        <v>982.05733872165513</v>
      </c>
      <c r="AA438" s="6">
        <f>('TE BE'!$AA$39+'TE BF'!$AA$39+'TE CVA'!$AA$39)*1</f>
        <v>330.73086315618451</v>
      </c>
      <c r="AB438" s="6">
        <f>$K$438*$V$438</f>
        <v>0</v>
      </c>
      <c r="AC438" s="6">
        <f>$M$438*$W$438</f>
        <v>9162.1349399999999</v>
      </c>
      <c r="AD438" s="6">
        <f>$O$438*$X$438</f>
        <v>2538.18327</v>
      </c>
      <c r="AE438" s="6">
        <f>$K$438*$Y$438</f>
        <v>0</v>
      </c>
      <c r="AF438" s="6">
        <f ca="1">$M$438*$Z$438</f>
        <v>10373.471668916844</v>
      </c>
      <c r="AG438" s="6">
        <f>$O$438*$AA$438</f>
        <v>3493.5101075187772</v>
      </c>
    </row>
    <row r="439" spans="1:33" ht="11.25" customHeight="1" x14ac:dyDescent="0.3">
      <c r="A439" s="4" t="s">
        <v>28</v>
      </c>
      <c r="B439" s="4" t="s">
        <v>35</v>
      </c>
      <c r="C439" s="4" t="s">
        <v>23</v>
      </c>
      <c r="D439" s="4" t="s">
        <v>36</v>
      </c>
      <c r="E439" s="4" t="s">
        <v>25</v>
      </c>
      <c r="F439" s="4" t="s">
        <v>25</v>
      </c>
      <c r="G439" s="4" t="s">
        <v>25</v>
      </c>
      <c r="H439" s="4" t="s">
        <v>25</v>
      </c>
      <c r="I439" s="5">
        <v>44621</v>
      </c>
      <c r="J439" s="6">
        <v>0</v>
      </c>
      <c r="K439" s="6">
        <v>0</v>
      </c>
      <c r="L439" s="6">
        <v>0.1</v>
      </c>
      <c r="M439" s="6">
        <v>0.1</v>
      </c>
      <c r="N439" s="6">
        <v>0.1</v>
      </c>
      <c r="O439" s="6">
        <v>0.1</v>
      </c>
      <c r="P439" s="6">
        <v>1</v>
      </c>
      <c r="Q439" s="4" t="s">
        <v>26</v>
      </c>
      <c r="R439" s="4">
        <v>0</v>
      </c>
      <c r="S439" s="6">
        <v>0</v>
      </c>
      <c r="T439" s="6">
        <v>17</v>
      </c>
      <c r="U439" s="6">
        <v>46</v>
      </c>
      <c r="V439" s="6">
        <f>IF(ISERROR(VLOOKUP($S$439,'TAR FIN'!$A$1:$O$85,15,0)),0,VLOOKUP($S$439,'TAR FIN'!$A$1:$O$85,15,0))</f>
        <v>0</v>
      </c>
      <c r="W439" s="6">
        <f>IF(ISERROR(VLOOKUP($T$439,'TAR FIN'!$A$1:$O$85,15,0)),0,VLOOKUP($T$439,'TAR FIN'!$A$1:$O$85,15,0))</f>
        <v>867.38</v>
      </c>
      <c r="X439" s="6">
        <f>IF(ISERROR(VLOOKUP($U$439,'TAR FIN'!$A$1:$O$85,15,0)),0,VLOOKUP($U$439,'TAR FIN'!$A$1:$O$85,15,0))</f>
        <v>240.29</v>
      </c>
      <c r="Y439" s="6"/>
      <c r="Z439" s="6">
        <f ca="1">('TUSD BE'!$AM$48+'TUSD BF'!$AM$48+'TUSD CVA'!$AM$48)*1</f>
        <v>982.05733872165513</v>
      </c>
      <c r="AA439" s="6">
        <f>('TE BE'!$AA$39+'TE BF'!$AA$39+'TE CVA'!$AA$39)*1</f>
        <v>330.73086315618451</v>
      </c>
      <c r="AB439" s="6">
        <f>$K$439*$V$439</f>
        <v>0</v>
      </c>
      <c r="AC439" s="6">
        <f>$M$439*$W$439</f>
        <v>86.738</v>
      </c>
      <c r="AD439" s="6">
        <f>$O$439*$X$439</f>
        <v>24.029</v>
      </c>
      <c r="AE439" s="6">
        <f>$K$439*$Y$439</f>
        <v>0</v>
      </c>
      <c r="AF439" s="6">
        <f ca="1">$M$439*$Z$439</f>
        <v>98.205733872165524</v>
      </c>
      <c r="AG439" s="6">
        <f>$O$439*$AA$439</f>
        <v>33.073086315618454</v>
      </c>
    </row>
    <row r="440" spans="1:33" ht="11.25" customHeight="1" x14ac:dyDescent="0.3">
      <c r="A440" s="4" t="s">
        <v>21</v>
      </c>
      <c r="B440" s="4" t="s">
        <v>35</v>
      </c>
      <c r="C440" s="4" t="s">
        <v>23</v>
      </c>
      <c r="D440" s="4" t="s">
        <v>45</v>
      </c>
      <c r="E440" s="4" t="s">
        <v>25</v>
      </c>
      <c r="F440" s="4" t="s">
        <v>25</v>
      </c>
      <c r="G440" s="4" t="s">
        <v>25</v>
      </c>
      <c r="H440" s="4" t="s">
        <v>25</v>
      </c>
      <c r="I440" s="5">
        <v>44287</v>
      </c>
      <c r="J440" s="6">
        <v>0</v>
      </c>
      <c r="K440" s="6">
        <v>0</v>
      </c>
      <c r="L440" s="6">
        <v>21.123000000000001</v>
      </c>
      <c r="M440" s="6">
        <v>21.123000000000001</v>
      </c>
      <c r="N440" s="6">
        <v>21.123000000000001</v>
      </c>
      <c r="O440" s="6">
        <v>21.123000000000001</v>
      </c>
      <c r="P440" s="6">
        <v>33</v>
      </c>
      <c r="Q440" s="4" t="s">
        <v>26</v>
      </c>
      <c r="R440" s="4">
        <v>0</v>
      </c>
      <c r="S440" s="6">
        <v>0</v>
      </c>
      <c r="T440" s="6">
        <v>17</v>
      </c>
      <c r="U440" s="6">
        <v>46</v>
      </c>
      <c r="V440" s="6">
        <f>IF(ISERROR(VLOOKUP($S$440,'TAR FIN'!$A$1:$O$85,15,0)),0,VLOOKUP($S$440,'TAR FIN'!$A$1:$O$85,15,0))</f>
        <v>0</v>
      </c>
      <c r="W440" s="6">
        <f>IF(ISERROR(VLOOKUP($T$440,'TAR FIN'!$A$1:$O$85,15,0)),0,VLOOKUP($T$440,'TAR FIN'!$A$1:$O$85,15,0))</f>
        <v>867.38</v>
      </c>
      <c r="X440" s="6">
        <f>IF(ISERROR(VLOOKUP($U$440,'TAR FIN'!$A$1:$O$85,15,0)),0,VLOOKUP($U$440,'TAR FIN'!$A$1:$O$85,15,0))</f>
        <v>240.29</v>
      </c>
      <c r="Y440" s="6"/>
      <c r="Z440" s="6">
        <f ca="1">('TUSD BE'!$AM$48+'TUSD BF'!$AM$48+'TUSD CVA'!$AM$48)*1</f>
        <v>982.05733872165513</v>
      </c>
      <c r="AA440" s="6">
        <f>('TE BE'!$AA$39+'TE BF'!$AA$39+'TE CVA'!$AA$39)*1</f>
        <v>330.73086315618451</v>
      </c>
      <c r="AB440" s="6">
        <f>$K$440*$V$440</f>
        <v>0</v>
      </c>
      <c r="AC440" s="6">
        <f>$M$440*$W$440</f>
        <v>18321.667740000001</v>
      </c>
      <c r="AD440" s="6">
        <f>$O$440*$X$440</f>
        <v>5075.6456699999999</v>
      </c>
      <c r="AE440" s="6">
        <f>$K$440*$Y$440</f>
        <v>0</v>
      </c>
      <c r="AF440" s="6">
        <f ca="1">$M$440*$Z$440</f>
        <v>20743.997165817524</v>
      </c>
      <c r="AG440" s="6">
        <f>$O$440*$AA$440</f>
        <v>6986.0280224480857</v>
      </c>
    </row>
    <row r="441" spans="1:33" ht="11.25" customHeight="1" x14ac:dyDescent="0.3">
      <c r="A441" s="4" t="s">
        <v>21</v>
      </c>
      <c r="B441" s="4" t="s">
        <v>35</v>
      </c>
      <c r="C441" s="4" t="s">
        <v>23</v>
      </c>
      <c r="D441" s="4" t="s">
        <v>45</v>
      </c>
      <c r="E441" s="4" t="s">
        <v>25</v>
      </c>
      <c r="F441" s="4" t="s">
        <v>25</v>
      </c>
      <c r="G441" s="4" t="s">
        <v>25</v>
      </c>
      <c r="H441" s="4" t="s">
        <v>25</v>
      </c>
      <c r="I441" s="5">
        <v>44317</v>
      </c>
      <c r="J441" s="6">
        <v>0</v>
      </c>
      <c r="K441" s="6">
        <v>0</v>
      </c>
      <c r="L441" s="6">
        <v>16</v>
      </c>
      <c r="M441" s="6">
        <v>16</v>
      </c>
      <c r="N441" s="6">
        <v>16</v>
      </c>
      <c r="O441" s="6">
        <v>16</v>
      </c>
      <c r="P441" s="6">
        <v>33</v>
      </c>
      <c r="Q441" s="4" t="s">
        <v>26</v>
      </c>
      <c r="R441" s="4">
        <v>0</v>
      </c>
      <c r="S441" s="6">
        <v>0</v>
      </c>
      <c r="T441" s="6">
        <v>17</v>
      </c>
      <c r="U441" s="6">
        <v>46</v>
      </c>
      <c r="V441" s="6">
        <f>IF(ISERROR(VLOOKUP($S$441,'TAR FIN'!$A$1:$O$85,15,0)),0,VLOOKUP($S$441,'TAR FIN'!$A$1:$O$85,15,0))</f>
        <v>0</v>
      </c>
      <c r="W441" s="6">
        <f>IF(ISERROR(VLOOKUP($T$441,'TAR FIN'!$A$1:$O$85,15,0)),0,VLOOKUP($T$441,'TAR FIN'!$A$1:$O$85,15,0))</f>
        <v>867.38</v>
      </c>
      <c r="X441" s="6">
        <f>IF(ISERROR(VLOOKUP($U$441,'TAR FIN'!$A$1:$O$85,15,0)),0,VLOOKUP($U$441,'TAR FIN'!$A$1:$O$85,15,0))</f>
        <v>240.29</v>
      </c>
      <c r="Y441" s="6"/>
      <c r="Z441" s="6">
        <f ca="1">('TUSD BE'!$AM$48+'TUSD BF'!$AM$48+'TUSD CVA'!$AM$48)*1</f>
        <v>982.05733872165513</v>
      </c>
      <c r="AA441" s="6">
        <f>('TE BE'!$AA$39+'TE BF'!$AA$39+'TE CVA'!$AA$39)*1</f>
        <v>330.73086315618451</v>
      </c>
      <c r="AB441" s="6">
        <f>$K$441*$V$441</f>
        <v>0</v>
      </c>
      <c r="AC441" s="6">
        <f>$M$441*$W$441</f>
        <v>13878.08</v>
      </c>
      <c r="AD441" s="6">
        <f>$O$441*$X$441</f>
        <v>3844.64</v>
      </c>
      <c r="AE441" s="6">
        <f>$K$441*$Y$441</f>
        <v>0</v>
      </c>
      <c r="AF441" s="6">
        <f ca="1">$M$441*$Z$441</f>
        <v>15712.917419546482</v>
      </c>
      <c r="AG441" s="6">
        <f>$O$441*$AA$441</f>
        <v>5291.6938104989522</v>
      </c>
    </row>
    <row r="442" spans="1:33" ht="11.25" customHeight="1" x14ac:dyDescent="0.3">
      <c r="A442" s="4" t="s">
        <v>21</v>
      </c>
      <c r="B442" s="4" t="s">
        <v>35</v>
      </c>
      <c r="C442" s="4" t="s">
        <v>23</v>
      </c>
      <c r="D442" s="4" t="s">
        <v>45</v>
      </c>
      <c r="E442" s="4" t="s">
        <v>25</v>
      </c>
      <c r="F442" s="4" t="s">
        <v>25</v>
      </c>
      <c r="G442" s="4" t="s">
        <v>25</v>
      </c>
      <c r="H442" s="4" t="s">
        <v>25</v>
      </c>
      <c r="I442" s="5">
        <v>44348</v>
      </c>
      <c r="J442" s="6">
        <v>0</v>
      </c>
      <c r="K442" s="6">
        <v>0</v>
      </c>
      <c r="L442" s="6">
        <v>18.064</v>
      </c>
      <c r="M442" s="6">
        <v>18.064</v>
      </c>
      <c r="N442" s="6">
        <v>18.064</v>
      </c>
      <c r="O442" s="6">
        <v>18.064</v>
      </c>
      <c r="P442" s="6">
        <v>33</v>
      </c>
      <c r="Q442" s="4" t="s">
        <v>26</v>
      </c>
      <c r="R442" s="4">
        <v>0</v>
      </c>
      <c r="S442" s="6">
        <v>0</v>
      </c>
      <c r="T442" s="6">
        <v>17</v>
      </c>
      <c r="U442" s="6">
        <v>46</v>
      </c>
      <c r="V442" s="6">
        <f>IF(ISERROR(VLOOKUP($S$442,'TAR FIN'!$A$1:$O$85,15,0)),0,VLOOKUP($S$442,'TAR FIN'!$A$1:$O$85,15,0))</f>
        <v>0</v>
      </c>
      <c r="W442" s="6">
        <f>IF(ISERROR(VLOOKUP($T$442,'TAR FIN'!$A$1:$O$85,15,0)),0,VLOOKUP($T$442,'TAR FIN'!$A$1:$O$85,15,0))</f>
        <v>867.38</v>
      </c>
      <c r="X442" s="6">
        <f>IF(ISERROR(VLOOKUP($U$442,'TAR FIN'!$A$1:$O$85,15,0)),0,VLOOKUP($U$442,'TAR FIN'!$A$1:$O$85,15,0))</f>
        <v>240.29</v>
      </c>
      <c r="Y442" s="6"/>
      <c r="Z442" s="6">
        <f ca="1">('TUSD BE'!$AM$48+'TUSD BF'!$AM$48+'TUSD CVA'!$AM$48)*1</f>
        <v>982.05733872165513</v>
      </c>
      <c r="AA442" s="6">
        <f>('TE BE'!$AA$39+'TE BF'!$AA$39+'TE CVA'!$AA$39)*1</f>
        <v>330.73086315618451</v>
      </c>
      <c r="AB442" s="6">
        <f>$K$442*$V$442</f>
        <v>0</v>
      </c>
      <c r="AC442" s="6">
        <f>$M$442*$W$442</f>
        <v>15668.35232</v>
      </c>
      <c r="AD442" s="6">
        <f>$O$442*$X$442</f>
        <v>4340.5985599999995</v>
      </c>
      <c r="AE442" s="6">
        <f>$K$442*$Y$442</f>
        <v>0</v>
      </c>
      <c r="AF442" s="6">
        <f ca="1">$M$442*$Z$442</f>
        <v>17739.883766667979</v>
      </c>
      <c r="AG442" s="6">
        <f>$O$442*$AA$442</f>
        <v>5974.3223120533166</v>
      </c>
    </row>
    <row r="443" spans="1:33" ht="11.25" customHeight="1" x14ac:dyDescent="0.3">
      <c r="A443" s="4" t="s">
        <v>21</v>
      </c>
      <c r="B443" s="4" t="s">
        <v>35</v>
      </c>
      <c r="C443" s="4" t="s">
        <v>23</v>
      </c>
      <c r="D443" s="4" t="s">
        <v>45</v>
      </c>
      <c r="E443" s="4" t="s">
        <v>25</v>
      </c>
      <c r="F443" s="4" t="s">
        <v>25</v>
      </c>
      <c r="G443" s="4" t="s">
        <v>25</v>
      </c>
      <c r="H443" s="4" t="s">
        <v>25</v>
      </c>
      <c r="I443" s="5">
        <v>44378</v>
      </c>
      <c r="J443" s="6">
        <v>0</v>
      </c>
      <c r="K443" s="6">
        <v>0</v>
      </c>
      <c r="L443" s="6">
        <v>16.027999999999999</v>
      </c>
      <c r="M443" s="6">
        <v>16.027999999999999</v>
      </c>
      <c r="N443" s="6">
        <v>16.027999999999999</v>
      </c>
      <c r="O443" s="6">
        <v>16.027999999999999</v>
      </c>
      <c r="P443" s="6">
        <v>33</v>
      </c>
      <c r="Q443" s="4" t="s">
        <v>26</v>
      </c>
      <c r="R443" s="4">
        <v>0</v>
      </c>
      <c r="S443" s="6">
        <v>0</v>
      </c>
      <c r="T443" s="6">
        <v>17</v>
      </c>
      <c r="U443" s="6">
        <v>46</v>
      </c>
      <c r="V443" s="6">
        <f>IF(ISERROR(VLOOKUP($S$443,'TAR FIN'!$A$1:$O$85,15,0)),0,VLOOKUP($S$443,'TAR FIN'!$A$1:$O$85,15,0))</f>
        <v>0</v>
      </c>
      <c r="W443" s="6">
        <f>IF(ISERROR(VLOOKUP($T$443,'TAR FIN'!$A$1:$O$85,15,0)),0,VLOOKUP($T$443,'TAR FIN'!$A$1:$O$85,15,0))</f>
        <v>867.38</v>
      </c>
      <c r="X443" s="6">
        <f>IF(ISERROR(VLOOKUP($U$443,'TAR FIN'!$A$1:$O$85,15,0)),0,VLOOKUP($U$443,'TAR FIN'!$A$1:$O$85,15,0))</f>
        <v>240.29</v>
      </c>
      <c r="Y443" s="6"/>
      <c r="Z443" s="6">
        <f ca="1">('TUSD BE'!$AM$48+'TUSD BF'!$AM$48+'TUSD CVA'!$AM$48)*1</f>
        <v>982.05733872165513</v>
      </c>
      <c r="AA443" s="6">
        <f>('TE BE'!$AA$39+'TE BF'!$AA$39+'TE CVA'!$AA$39)*1</f>
        <v>330.73086315618451</v>
      </c>
      <c r="AB443" s="6">
        <f>$K$443*$V$443</f>
        <v>0</v>
      </c>
      <c r="AC443" s="6">
        <f>$M$443*$W$443</f>
        <v>13902.366639999998</v>
      </c>
      <c r="AD443" s="6">
        <f>$O$443*$X$443</f>
        <v>3851.3681199999996</v>
      </c>
      <c r="AE443" s="6">
        <f>$K$443*$Y$443</f>
        <v>0</v>
      </c>
      <c r="AF443" s="6">
        <f ca="1">$M$443*$Z$443</f>
        <v>15740.415025030687</v>
      </c>
      <c r="AG443" s="6">
        <f>$O$443*$AA$443</f>
        <v>5300.9542746673251</v>
      </c>
    </row>
    <row r="444" spans="1:33" ht="11.25" customHeight="1" x14ac:dyDescent="0.3">
      <c r="A444" s="4" t="s">
        <v>21</v>
      </c>
      <c r="B444" s="4" t="s">
        <v>35</v>
      </c>
      <c r="C444" s="4" t="s">
        <v>23</v>
      </c>
      <c r="D444" s="4" t="s">
        <v>45</v>
      </c>
      <c r="E444" s="4" t="s">
        <v>25</v>
      </c>
      <c r="F444" s="4" t="s">
        <v>25</v>
      </c>
      <c r="G444" s="4" t="s">
        <v>25</v>
      </c>
      <c r="H444" s="4" t="s">
        <v>25</v>
      </c>
      <c r="I444" s="5">
        <v>44409</v>
      </c>
      <c r="J444" s="6">
        <v>0</v>
      </c>
      <c r="K444" s="6">
        <v>0</v>
      </c>
      <c r="L444" s="6">
        <v>16.106000000000002</v>
      </c>
      <c r="M444" s="6">
        <v>16.106000000000002</v>
      </c>
      <c r="N444" s="6">
        <v>16.106000000000002</v>
      </c>
      <c r="O444" s="6">
        <v>16.106000000000002</v>
      </c>
      <c r="P444" s="6">
        <v>33</v>
      </c>
      <c r="Q444" s="4" t="s">
        <v>26</v>
      </c>
      <c r="R444" s="4">
        <v>0</v>
      </c>
      <c r="S444" s="6">
        <v>0</v>
      </c>
      <c r="T444" s="6">
        <v>17</v>
      </c>
      <c r="U444" s="6">
        <v>46</v>
      </c>
      <c r="V444" s="6">
        <f>IF(ISERROR(VLOOKUP($S$444,'TAR FIN'!$A$1:$O$85,15,0)),0,VLOOKUP($S$444,'TAR FIN'!$A$1:$O$85,15,0))</f>
        <v>0</v>
      </c>
      <c r="W444" s="6">
        <f>IF(ISERROR(VLOOKUP($T$444,'TAR FIN'!$A$1:$O$85,15,0)),0,VLOOKUP($T$444,'TAR FIN'!$A$1:$O$85,15,0))</f>
        <v>867.38</v>
      </c>
      <c r="X444" s="6">
        <f>IF(ISERROR(VLOOKUP($U$444,'TAR FIN'!$A$1:$O$85,15,0)),0,VLOOKUP($U$444,'TAR FIN'!$A$1:$O$85,15,0))</f>
        <v>240.29</v>
      </c>
      <c r="Y444" s="6"/>
      <c r="Z444" s="6">
        <f ca="1">('TUSD BE'!$AM$48+'TUSD BF'!$AM$48+'TUSD CVA'!$AM$48)*1</f>
        <v>982.05733872165513</v>
      </c>
      <c r="AA444" s="6">
        <f>('TE BE'!$AA$39+'TE BF'!$AA$39+'TE CVA'!$AA$39)*1</f>
        <v>330.73086315618451</v>
      </c>
      <c r="AB444" s="6">
        <f>$K$444*$V$444</f>
        <v>0</v>
      </c>
      <c r="AC444" s="6">
        <f>$M$444*$W$444</f>
        <v>13970.022280000001</v>
      </c>
      <c r="AD444" s="6">
        <f>$O$444*$X$444</f>
        <v>3870.1107400000001</v>
      </c>
      <c r="AE444" s="6">
        <f>$K$444*$Y$444</f>
        <v>0</v>
      </c>
      <c r="AF444" s="6">
        <f ca="1">$M$444*$Z$444</f>
        <v>15817.015497450979</v>
      </c>
      <c r="AG444" s="6">
        <f>$O$444*$AA$444</f>
        <v>5326.7512819935082</v>
      </c>
    </row>
    <row r="445" spans="1:33" ht="11.25" customHeight="1" x14ac:dyDescent="0.3">
      <c r="A445" s="4" t="s">
        <v>21</v>
      </c>
      <c r="B445" s="4" t="s">
        <v>35</v>
      </c>
      <c r="C445" s="4" t="s">
        <v>23</v>
      </c>
      <c r="D445" s="4" t="s">
        <v>45</v>
      </c>
      <c r="E445" s="4" t="s">
        <v>25</v>
      </c>
      <c r="F445" s="4" t="s">
        <v>25</v>
      </c>
      <c r="G445" s="4" t="s">
        <v>25</v>
      </c>
      <c r="H445" s="4" t="s">
        <v>25</v>
      </c>
      <c r="I445" s="5">
        <v>44440</v>
      </c>
      <c r="J445" s="6">
        <v>0</v>
      </c>
      <c r="K445" s="6">
        <v>0</v>
      </c>
      <c r="L445" s="6">
        <v>20.225000000000001</v>
      </c>
      <c r="M445" s="6">
        <v>20.225000000000001</v>
      </c>
      <c r="N445" s="6">
        <v>20.225000000000001</v>
      </c>
      <c r="O445" s="6">
        <v>20.225000000000001</v>
      </c>
      <c r="P445" s="6">
        <v>31</v>
      </c>
      <c r="Q445" s="4" t="s">
        <v>26</v>
      </c>
      <c r="R445" s="4">
        <v>0</v>
      </c>
      <c r="S445" s="6">
        <v>0</v>
      </c>
      <c r="T445" s="6">
        <v>17</v>
      </c>
      <c r="U445" s="6">
        <v>46</v>
      </c>
      <c r="V445" s="6">
        <f>IF(ISERROR(VLOOKUP($S$445,'TAR FIN'!$A$1:$O$85,15,0)),0,VLOOKUP($S$445,'TAR FIN'!$A$1:$O$85,15,0))</f>
        <v>0</v>
      </c>
      <c r="W445" s="6">
        <f>IF(ISERROR(VLOOKUP($T$445,'TAR FIN'!$A$1:$O$85,15,0)),0,VLOOKUP($T$445,'TAR FIN'!$A$1:$O$85,15,0))</f>
        <v>867.38</v>
      </c>
      <c r="X445" s="6">
        <f>IF(ISERROR(VLOOKUP($U$445,'TAR FIN'!$A$1:$O$85,15,0)),0,VLOOKUP($U$445,'TAR FIN'!$A$1:$O$85,15,0))</f>
        <v>240.29</v>
      </c>
      <c r="Y445" s="6"/>
      <c r="Z445" s="6">
        <f ca="1">('TUSD BE'!$AM$48+'TUSD BF'!$AM$48+'TUSD CVA'!$AM$48)*1</f>
        <v>982.05733872165513</v>
      </c>
      <c r="AA445" s="6">
        <f>('TE BE'!$AA$39+'TE BF'!$AA$39+'TE CVA'!$AA$39)*1</f>
        <v>330.73086315618451</v>
      </c>
      <c r="AB445" s="6">
        <f>$K$445*$V$445</f>
        <v>0</v>
      </c>
      <c r="AC445" s="6">
        <f>$M$445*$W$445</f>
        <v>17542.7605</v>
      </c>
      <c r="AD445" s="6">
        <f>$O$445*$X$445</f>
        <v>4859.8652499999998</v>
      </c>
      <c r="AE445" s="6">
        <f>$K$445*$Y$445</f>
        <v>0</v>
      </c>
      <c r="AF445" s="6">
        <f ca="1">$M$445*$Z$445</f>
        <v>19862.109675645475</v>
      </c>
      <c r="AG445" s="6">
        <f>$O$445*$AA$445</f>
        <v>6689.0317073338319</v>
      </c>
    </row>
    <row r="446" spans="1:33" ht="11.25" customHeight="1" x14ac:dyDescent="0.3">
      <c r="A446" s="4" t="s">
        <v>21</v>
      </c>
      <c r="B446" s="4" t="s">
        <v>35</v>
      </c>
      <c r="C446" s="4" t="s">
        <v>23</v>
      </c>
      <c r="D446" s="4" t="s">
        <v>45</v>
      </c>
      <c r="E446" s="4" t="s">
        <v>25</v>
      </c>
      <c r="F446" s="4" t="s">
        <v>25</v>
      </c>
      <c r="G446" s="4" t="s">
        <v>25</v>
      </c>
      <c r="H446" s="4" t="s">
        <v>25</v>
      </c>
      <c r="I446" s="5">
        <v>44470</v>
      </c>
      <c r="J446" s="6">
        <v>0</v>
      </c>
      <c r="K446" s="6">
        <v>0</v>
      </c>
      <c r="L446" s="6">
        <v>20.686</v>
      </c>
      <c r="M446" s="6">
        <v>20.686</v>
      </c>
      <c r="N446" s="6">
        <v>20.686</v>
      </c>
      <c r="O446" s="6">
        <v>20.686</v>
      </c>
      <c r="P446" s="6">
        <v>31</v>
      </c>
      <c r="Q446" s="4" t="s">
        <v>26</v>
      </c>
      <c r="R446" s="4">
        <v>0</v>
      </c>
      <c r="S446" s="6">
        <v>0</v>
      </c>
      <c r="T446" s="6">
        <v>17</v>
      </c>
      <c r="U446" s="6">
        <v>46</v>
      </c>
      <c r="V446" s="6">
        <f>IF(ISERROR(VLOOKUP($S$446,'TAR FIN'!$A$1:$O$85,15,0)),0,VLOOKUP($S$446,'TAR FIN'!$A$1:$O$85,15,0))</f>
        <v>0</v>
      </c>
      <c r="W446" s="6">
        <f>IF(ISERROR(VLOOKUP($T$446,'TAR FIN'!$A$1:$O$85,15,0)),0,VLOOKUP($T$446,'TAR FIN'!$A$1:$O$85,15,0))</f>
        <v>867.38</v>
      </c>
      <c r="X446" s="6">
        <f>IF(ISERROR(VLOOKUP($U$446,'TAR FIN'!$A$1:$O$85,15,0)),0,VLOOKUP($U$446,'TAR FIN'!$A$1:$O$85,15,0))</f>
        <v>240.29</v>
      </c>
      <c r="Y446" s="6"/>
      <c r="Z446" s="6">
        <f ca="1">('TUSD BE'!$AM$48+'TUSD BF'!$AM$48+'TUSD CVA'!$AM$48)*1</f>
        <v>982.05733872165513</v>
      </c>
      <c r="AA446" s="6">
        <f>('TE BE'!$AA$39+'TE BF'!$AA$39+'TE CVA'!$AA$39)*1</f>
        <v>330.73086315618451</v>
      </c>
      <c r="AB446" s="6">
        <f>$K$446*$V$446</f>
        <v>0</v>
      </c>
      <c r="AC446" s="6">
        <f>$M$446*$W$446</f>
        <v>17942.62268</v>
      </c>
      <c r="AD446" s="6">
        <f>$O$446*$X$446</f>
        <v>4970.6389399999998</v>
      </c>
      <c r="AE446" s="6">
        <f>$K$446*$Y$446</f>
        <v>0</v>
      </c>
      <c r="AF446" s="6">
        <f ca="1">$M$446*$Z$446</f>
        <v>20314.838108796157</v>
      </c>
      <c r="AG446" s="6">
        <f>$O$446*$AA$446</f>
        <v>6841.4986352488331</v>
      </c>
    </row>
    <row r="447" spans="1:33" ht="11.25" customHeight="1" x14ac:dyDescent="0.3">
      <c r="A447" s="4" t="s">
        <v>21</v>
      </c>
      <c r="B447" s="4" t="s">
        <v>35</v>
      </c>
      <c r="C447" s="4" t="s">
        <v>23</v>
      </c>
      <c r="D447" s="4" t="s">
        <v>45</v>
      </c>
      <c r="E447" s="4" t="s">
        <v>25</v>
      </c>
      <c r="F447" s="4" t="s">
        <v>25</v>
      </c>
      <c r="G447" s="4" t="s">
        <v>25</v>
      </c>
      <c r="H447" s="4" t="s">
        <v>25</v>
      </c>
      <c r="I447" s="5">
        <v>44501</v>
      </c>
      <c r="J447" s="6">
        <v>0</v>
      </c>
      <c r="K447" s="6">
        <v>0</v>
      </c>
      <c r="L447" s="6">
        <v>20.233000000000001</v>
      </c>
      <c r="M447" s="6">
        <v>20.233000000000001</v>
      </c>
      <c r="N447" s="6">
        <v>20.233000000000001</v>
      </c>
      <c r="O447" s="6">
        <v>20.233000000000001</v>
      </c>
      <c r="P447" s="6">
        <v>31</v>
      </c>
      <c r="Q447" s="4" t="s">
        <v>26</v>
      </c>
      <c r="R447" s="4">
        <v>0</v>
      </c>
      <c r="S447" s="6">
        <v>0</v>
      </c>
      <c r="T447" s="6">
        <v>17</v>
      </c>
      <c r="U447" s="6">
        <v>46</v>
      </c>
      <c r="V447" s="6">
        <f>IF(ISERROR(VLOOKUP($S$447,'TAR FIN'!$A$1:$O$85,15,0)),0,VLOOKUP($S$447,'TAR FIN'!$A$1:$O$85,15,0))</f>
        <v>0</v>
      </c>
      <c r="W447" s="6">
        <f>IF(ISERROR(VLOOKUP($T$447,'TAR FIN'!$A$1:$O$85,15,0)),0,VLOOKUP($T$447,'TAR FIN'!$A$1:$O$85,15,0))</f>
        <v>867.38</v>
      </c>
      <c r="X447" s="6">
        <f>IF(ISERROR(VLOOKUP($U$447,'TAR FIN'!$A$1:$O$85,15,0)),0,VLOOKUP($U$447,'TAR FIN'!$A$1:$O$85,15,0))</f>
        <v>240.29</v>
      </c>
      <c r="Y447" s="6"/>
      <c r="Z447" s="6">
        <f ca="1">('TUSD BE'!$AM$48+'TUSD BF'!$AM$48+'TUSD CVA'!$AM$48)*1</f>
        <v>982.05733872165513</v>
      </c>
      <c r="AA447" s="6">
        <f>('TE BE'!$AA$39+'TE BF'!$AA$39+'TE CVA'!$AA$39)*1</f>
        <v>330.73086315618451</v>
      </c>
      <c r="AB447" s="6">
        <f>$K$447*$V$447</f>
        <v>0</v>
      </c>
      <c r="AC447" s="6">
        <f>$M$447*$W$447</f>
        <v>17549.699540000001</v>
      </c>
      <c r="AD447" s="6">
        <f>$O$447*$X$447</f>
        <v>4861.7875700000004</v>
      </c>
      <c r="AE447" s="6">
        <f>$K$447*$Y$447</f>
        <v>0</v>
      </c>
      <c r="AF447" s="6">
        <f ca="1">$M$447*$Z$447</f>
        <v>19869.966134355247</v>
      </c>
      <c r="AG447" s="6">
        <f>$O$447*$AA$447</f>
        <v>6691.6775542390815</v>
      </c>
    </row>
    <row r="448" spans="1:33" ht="11.25" customHeight="1" x14ac:dyDescent="0.3">
      <c r="A448" s="4" t="s">
        <v>21</v>
      </c>
      <c r="B448" s="4" t="s">
        <v>35</v>
      </c>
      <c r="C448" s="4" t="s">
        <v>23</v>
      </c>
      <c r="D448" s="4" t="s">
        <v>45</v>
      </c>
      <c r="E448" s="4" t="s">
        <v>25</v>
      </c>
      <c r="F448" s="4" t="s">
        <v>25</v>
      </c>
      <c r="G448" s="4" t="s">
        <v>25</v>
      </c>
      <c r="H448" s="4" t="s">
        <v>25</v>
      </c>
      <c r="I448" s="5">
        <v>44531</v>
      </c>
      <c r="J448" s="6">
        <v>0</v>
      </c>
      <c r="K448" s="6">
        <v>0</v>
      </c>
      <c r="L448" s="6">
        <v>22.812999999999999</v>
      </c>
      <c r="M448" s="6">
        <v>22.812999999999999</v>
      </c>
      <c r="N448" s="6">
        <v>22.812999999999999</v>
      </c>
      <c r="O448" s="6">
        <v>22.812999999999999</v>
      </c>
      <c r="P448" s="6">
        <v>31</v>
      </c>
      <c r="Q448" s="4" t="s">
        <v>26</v>
      </c>
      <c r="R448" s="4">
        <v>0</v>
      </c>
      <c r="S448" s="6">
        <v>0</v>
      </c>
      <c r="T448" s="6">
        <v>17</v>
      </c>
      <c r="U448" s="6">
        <v>46</v>
      </c>
      <c r="V448" s="6">
        <f>IF(ISERROR(VLOOKUP($S$448,'TAR FIN'!$A$1:$O$85,15,0)),0,VLOOKUP($S$448,'TAR FIN'!$A$1:$O$85,15,0))</f>
        <v>0</v>
      </c>
      <c r="W448" s="6">
        <f>IF(ISERROR(VLOOKUP($T$448,'TAR FIN'!$A$1:$O$85,15,0)),0,VLOOKUP($T$448,'TAR FIN'!$A$1:$O$85,15,0))</f>
        <v>867.38</v>
      </c>
      <c r="X448" s="6">
        <f>IF(ISERROR(VLOOKUP($U$448,'TAR FIN'!$A$1:$O$85,15,0)),0,VLOOKUP($U$448,'TAR FIN'!$A$1:$O$85,15,0))</f>
        <v>240.29</v>
      </c>
      <c r="Y448" s="6"/>
      <c r="Z448" s="6">
        <f ca="1">('TUSD BE'!$AM$48+'TUSD BF'!$AM$48+'TUSD CVA'!$AM$48)*1</f>
        <v>982.05733872165513</v>
      </c>
      <c r="AA448" s="6">
        <f>('TE BE'!$AA$39+'TE BF'!$AA$39+'TE CVA'!$AA$39)*1</f>
        <v>330.73086315618451</v>
      </c>
      <c r="AB448" s="6">
        <f>$K$448*$V$448</f>
        <v>0</v>
      </c>
      <c r="AC448" s="6">
        <f>$M$448*$W$448</f>
        <v>19787.539939999999</v>
      </c>
      <c r="AD448" s="6">
        <f>$O$448*$X$448</f>
        <v>5481.7357699999993</v>
      </c>
      <c r="AE448" s="6">
        <f>$K$448*$Y$448</f>
        <v>0</v>
      </c>
      <c r="AF448" s="6">
        <f ca="1">$M$448*$Z$448</f>
        <v>22403.674068257118</v>
      </c>
      <c r="AG448" s="6">
        <f>$O$448*$AA$448</f>
        <v>7544.9631811820373</v>
      </c>
    </row>
    <row r="449" spans="1:33" ht="11.25" customHeight="1" x14ac:dyDescent="0.3">
      <c r="A449" s="4" t="s">
        <v>21</v>
      </c>
      <c r="B449" s="4" t="s">
        <v>35</v>
      </c>
      <c r="C449" s="4" t="s">
        <v>23</v>
      </c>
      <c r="D449" s="4" t="s">
        <v>45</v>
      </c>
      <c r="E449" s="4" t="s">
        <v>25</v>
      </c>
      <c r="F449" s="4" t="s">
        <v>25</v>
      </c>
      <c r="G449" s="4" t="s">
        <v>25</v>
      </c>
      <c r="H449" s="4" t="s">
        <v>25</v>
      </c>
      <c r="I449" s="5">
        <v>44562</v>
      </c>
      <c r="J449" s="6">
        <v>0</v>
      </c>
      <c r="K449" s="6">
        <v>0</v>
      </c>
      <c r="L449" s="6">
        <v>21.454000000000001</v>
      </c>
      <c r="M449" s="6">
        <v>21.454000000000001</v>
      </c>
      <c r="N449" s="6">
        <v>21.454000000000001</v>
      </c>
      <c r="O449" s="6">
        <v>21.454000000000001</v>
      </c>
      <c r="P449" s="6">
        <v>31</v>
      </c>
      <c r="Q449" s="4" t="s">
        <v>26</v>
      </c>
      <c r="R449" s="4">
        <v>0</v>
      </c>
      <c r="S449" s="6">
        <v>0</v>
      </c>
      <c r="T449" s="6">
        <v>17</v>
      </c>
      <c r="U449" s="6">
        <v>46</v>
      </c>
      <c r="V449" s="6">
        <f>IF(ISERROR(VLOOKUP($S$449,'TAR FIN'!$A$1:$O$85,15,0)),0,VLOOKUP($S$449,'TAR FIN'!$A$1:$O$85,15,0))</f>
        <v>0</v>
      </c>
      <c r="W449" s="6">
        <f>IF(ISERROR(VLOOKUP($T$449,'TAR FIN'!$A$1:$O$85,15,0)),0,VLOOKUP($T$449,'TAR FIN'!$A$1:$O$85,15,0))</f>
        <v>867.38</v>
      </c>
      <c r="X449" s="6">
        <f>IF(ISERROR(VLOOKUP($U$449,'TAR FIN'!$A$1:$O$85,15,0)),0,VLOOKUP($U$449,'TAR FIN'!$A$1:$O$85,15,0))</f>
        <v>240.29</v>
      </c>
      <c r="Y449" s="6"/>
      <c r="Z449" s="6">
        <f ca="1">('TUSD BE'!$AM$48+'TUSD BF'!$AM$48+'TUSD CVA'!$AM$48)*1</f>
        <v>982.05733872165513</v>
      </c>
      <c r="AA449" s="6">
        <f>('TE BE'!$AA$39+'TE BF'!$AA$39+'TE CVA'!$AA$39)*1</f>
        <v>330.73086315618451</v>
      </c>
      <c r="AB449" s="6">
        <f>$K$449*$V$449</f>
        <v>0</v>
      </c>
      <c r="AC449" s="6">
        <f>$M$449*$W$449</f>
        <v>18608.770520000002</v>
      </c>
      <c r="AD449" s="6">
        <f>$O$449*$X$449</f>
        <v>5155.1816600000002</v>
      </c>
      <c r="AE449" s="6">
        <f>$K$449*$Y$449</f>
        <v>0</v>
      </c>
      <c r="AF449" s="6">
        <f ca="1">$M$449*$Z$449</f>
        <v>21069.058144934388</v>
      </c>
      <c r="AG449" s="6">
        <f>$O$449*$AA$449</f>
        <v>7095.4999381527823</v>
      </c>
    </row>
    <row r="450" spans="1:33" ht="11.25" customHeight="1" x14ac:dyDescent="0.3">
      <c r="A450" s="4" t="s">
        <v>21</v>
      </c>
      <c r="B450" s="4" t="s">
        <v>35</v>
      </c>
      <c r="C450" s="4" t="s">
        <v>23</v>
      </c>
      <c r="D450" s="4" t="s">
        <v>45</v>
      </c>
      <c r="E450" s="4" t="s">
        <v>25</v>
      </c>
      <c r="F450" s="4" t="s">
        <v>25</v>
      </c>
      <c r="G450" s="4" t="s">
        <v>25</v>
      </c>
      <c r="H450" s="4" t="s">
        <v>25</v>
      </c>
      <c r="I450" s="5">
        <v>44593</v>
      </c>
      <c r="J450" s="6">
        <v>0</v>
      </c>
      <c r="K450" s="6">
        <v>0</v>
      </c>
      <c r="L450" s="6">
        <v>22.065000000000001</v>
      </c>
      <c r="M450" s="6">
        <v>22.065000000000001</v>
      </c>
      <c r="N450" s="6">
        <v>22.065000000000001</v>
      </c>
      <c r="O450" s="6">
        <v>22.065000000000001</v>
      </c>
      <c r="P450" s="6">
        <v>31</v>
      </c>
      <c r="Q450" s="4" t="s">
        <v>26</v>
      </c>
      <c r="R450" s="4">
        <v>0</v>
      </c>
      <c r="S450" s="6">
        <v>0</v>
      </c>
      <c r="T450" s="6">
        <v>17</v>
      </c>
      <c r="U450" s="6">
        <v>46</v>
      </c>
      <c r="V450" s="6">
        <f>IF(ISERROR(VLOOKUP($S$450,'TAR FIN'!$A$1:$O$85,15,0)),0,VLOOKUP($S$450,'TAR FIN'!$A$1:$O$85,15,0))</f>
        <v>0</v>
      </c>
      <c r="W450" s="6">
        <f>IF(ISERROR(VLOOKUP($T$450,'TAR FIN'!$A$1:$O$85,15,0)),0,VLOOKUP($T$450,'TAR FIN'!$A$1:$O$85,15,0))</f>
        <v>867.38</v>
      </c>
      <c r="X450" s="6">
        <f>IF(ISERROR(VLOOKUP($U$450,'TAR FIN'!$A$1:$O$85,15,0)),0,VLOOKUP($U$450,'TAR FIN'!$A$1:$O$85,15,0))</f>
        <v>240.29</v>
      </c>
      <c r="Y450" s="6"/>
      <c r="Z450" s="6">
        <f ca="1">('TUSD BE'!$AM$48+'TUSD BF'!$AM$48+'TUSD CVA'!$AM$48)*1</f>
        <v>982.05733872165513</v>
      </c>
      <c r="AA450" s="6">
        <f>('TE BE'!$AA$39+'TE BF'!$AA$39+'TE CVA'!$AA$39)*1</f>
        <v>330.73086315618451</v>
      </c>
      <c r="AB450" s="6">
        <f>$K$450*$V$450</f>
        <v>0</v>
      </c>
      <c r="AC450" s="6">
        <f>$M$450*$W$450</f>
        <v>19138.739700000002</v>
      </c>
      <c r="AD450" s="6">
        <f>$O$450*$X$450</f>
        <v>5301.9988499999999</v>
      </c>
      <c r="AE450" s="6">
        <f>$K$450*$Y$450</f>
        <v>0</v>
      </c>
      <c r="AF450" s="6">
        <f ca="1">$M$450*$Z$450</f>
        <v>21669.095178893323</v>
      </c>
      <c r="AG450" s="6">
        <f>$O$450*$AA$450</f>
        <v>7297.5764955412114</v>
      </c>
    </row>
    <row r="451" spans="1:33" ht="11.25" customHeight="1" x14ac:dyDescent="0.3">
      <c r="A451" s="4" t="s">
        <v>21</v>
      </c>
      <c r="B451" s="4" t="s">
        <v>35</v>
      </c>
      <c r="C451" s="4" t="s">
        <v>23</v>
      </c>
      <c r="D451" s="4" t="s">
        <v>45</v>
      </c>
      <c r="E451" s="4" t="s">
        <v>25</v>
      </c>
      <c r="F451" s="4" t="s">
        <v>25</v>
      </c>
      <c r="G451" s="4" t="s">
        <v>25</v>
      </c>
      <c r="H451" s="4" t="s">
        <v>25</v>
      </c>
      <c r="I451" s="5">
        <v>44621</v>
      </c>
      <c r="J451" s="6">
        <v>0</v>
      </c>
      <c r="K451" s="6">
        <v>0</v>
      </c>
      <c r="L451" s="6">
        <v>29.85</v>
      </c>
      <c r="M451" s="6">
        <v>29.85</v>
      </c>
      <c r="N451" s="6">
        <v>29.85</v>
      </c>
      <c r="O451" s="6">
        <v>29.85</v>
      </c>
      <c r="P451" s="6">
        <v>31</v>
      </c>
      <c r="Q451" s="4" t="s">
        <v>26</v>
      </c>
      <c r="R451" s="4">
        <v>0</v>
      </c>
      <c r="S451" s="6">
        <v>0</v>
      </c>
      <c r="T451" s="6">
        <v>17</v>
      </c>
      <c r="U451" s="6">
        <v>46</v>
      </c>
      <c r="V451" s="6">
        <f>IF(ISERROR(VLOOKUP($S$451,'TAR FIN'!$A$1:$O$85,15,0)),0,VLOOKUP($S$451,'TAR FIN'!$A$1:$O$85,15,0))</f>
        <v>0</v>
      </c>
      <c r="W451" s="6">
        <f>IF(ISERROR(VLOOKUP($T$451,'TAR FIN'!$A$1:$O$85,15,0)),0,VLOOKUP($T$451,'TAR FIN'!$A$1:$O$85,15,0))</f>
        <v>867.38</v>
      </c>
      <c r="X451" s="6">
        <f>IF(ISERROR(VLOOKUP($U$451,'TAR FIN'!$A$1:$O$85,15,0)),0,VLOOKUP($U$451,'TAR FIN'!$A$1:$O$85,15,0))</f>
        <v>240.29</v>
      </c>
      <c r="Y451" s="6"/>
      <c r="Z451" s="6">
        <f ca="1">('TUSD BE'!$AM$48+'TUSD BF'!$AM$48+'TUSD CVA'!$AM$48)*1</f>
        <v>982.05733872165513</v>
      </c>
      <c r="AA451" s="6">
        <f>('TE BE'!$AA$39+'TE BF'!$AA$39+'TE CVA'!$AA$39)*1</f>
        <v>330.73086315618451</v>
      </c>
      <c r="AB451" s="6">
        <f>$K$451*$V$451</f>
        <v>0</v>
      </c>
      <c r="AC451" s="6">
        <f>$M$451*$W$451</f>
        <v>25891.293000000001</v>
      </c>
      <c r="AD451" s="6">
        <f>$O$451*$X$451</f>
        <v>7172.6565000000001</v>
      </c>
      <c r="AE451" s="6">
        <f>$K$451*$Y$451</f>
        <v>0</v>
      </c>
      <c r="AF451" s="6">
        <f ca="1">$M$451*$Z$451</f>
        <v>29314.411560841407</v>
      </c>
      <c r="AG451" s="6">
        <f>$O$451*$AA$451</f>
        <v>9872.3162652121082</v>
      </c>
    </row>
    <row r="452" spans="1:33" ht="11.25" customHeight="1" x14ac:dyDescent="0.3">
      <c r="A452" s="4" t="s">
        <v>21</v>
      </c>
      <c r="B452" s="4" t="s">
        <v>35</v>
      </c>
      <c r="C452" s="4" t="s">
        <v>23</v>
      </c>
      <c r="D452" s="4" t="s">
        <v>49</v>
      </c>
      <c r="E452" s="4" t="s">
        <v>50</v>
      </c>
      <c r="F452" s="4" t="s">
        <v>25</v>
      </c>
      <c r="G452" s="4" t="s">
        <v>25</v>
      </c>
      <c r="H452" s="4" t="s">
        <v>25</v>
      </c>
      <c r="I452" s="5">
        <v>44287</v>
      </c>
      <c r="J452" s="6">
        <v>0</v>
      </c>
      <c r="K452" s="70">
        <v>0</v>
      </c>
      <c r="L452" s="6">
        <v>14.05</v>
      </c>
      <c r="M452" s="70">
        <v>14.05</v>
      </c>
      <c r="N452" s="6">
        <v>14.05</v>
      </c>
      <c r="O452" s="70">
        <v>14.05</v>
      </c>
      <c r="P452" s="6">
        <v>3</v>
      </c>
      <c r="Q452" s="4" t="s">
        <v>26</v>
      </c>
      <c r="R452" s="4">
        <v>0</v>
      </c>
      <c r="S452" s="6">
        <v>0</v>
      </c>
      <c r="T452" s="6">
        <v>17</v>
      </c>
      <c r="U452" s="6">
        <v>46</v>
      </c>
      <c r="V452" s="70">
        <f>IF(ISERROR(VLOOKUP($S$452,'TAR FIN'!$A$1:$O$85,15,0)),0,VLOOKUP($S$452,'TAR FIN'!$A$1:$O$85,15,0))</f>
        <v>0</v>
      </c>
      <c r="W452" s="70">
        <f>IF(ISERROR(VLOOKUP($T$452,'TAR FIN'!$A$1:$O$85,15,0)),0,VLOOKUP($T$452,'TAR FIN'!$A$1:$O$85,15,0))*(1-0.06)</f>
        <v>815.33719999999994</v>
      </c>
      <c r="X452" s="70">
        <f>IF(ISERROR(VLOOKUP($U$452,'TAR FIN'!$A$1:$O$85,15,0)),0,VLOOKUP($U$452,'TAR FIN'!$A$1:$O$85,15,0))*(1-0.06)</f>
        <v>225.87259999999998</v>
      </c>
      <c r="Y452" s="70"/>
      <c r="Z452" s="70">
        <f ca="1">('TUSD BE'!$AM$48+'TUSD BF'!$AM$48+'TUSD CVA'!$AM$48)*1*(1-0.03)</f>
        <v>952.59561856000551</v>
      </c>
      <c r="AA452" s="70">
        <f>('TE BE'!$AA$39+'TE BF'!$AA$39+'TE CVA'!$AA$39)*1*(1-0.03)</f>
        <v>320.80893726149895</v>
      </c>
      <c r="AB452" s="6">
        <f>$K$452*$V$452</f>
        <v>0</v>
      </c>
      <c r="AC452" s="6">
        <f>$M$452*$W$452</f>
        <v>11455.487659999999</v>
      </c>
      <c r="AD452" s="6">
        <f>$O$452*$X$452</f>
        <v>3173.5100299999999</v>
      </c>
      <c r="AE452" s="6">
        <f>$K$452*$Y$452</f>
        <v>0</v>
      </c>
      <c r="AF452" s="6">
        <f ca="1">$M$452*$Z$452</f>
        <v>13383.968440768078</v>
      </c>
      <c r="AG452" s="6">
        <f>$O$452*$AA$452</f>
        <v>4507.3655685240601</v>
      </c>
    </row>
    <row r="453" spans="1:33" ht="11.25" customHeight="1" x14ac:dyDescent="0.3">
      <c r="A453" s="4" t="s">
        <v>21</v>
      </c>
      <c r="B453" s="4" t="s">
        <v>35</v>
      </c>
      <c r="C453" s="4" t="s">
        <v>23</v>
      </c>
      <c r="D453" s="4" t="s">
        <v>49</v>
      </c>
      <c r="E453" s="4" t="s">
        <v>50</v>
      </c>
      <c r="F453" s="4" t="s">
        <v>25</v>
      </c>
      <c r="G453" s="4" t="s">
        <v>25</v>
      </c>
      <c r="H453" s="4" t="s">
        <v>25</v>
      </c>
      <c r="I453" s="5">
        <v>44317</v>
      </c>
      <c r="J453" s="6">
        <v>0</v>
      </c>
      <c r="K453" s="70">
        <v>0</v>
      </c>
      <c r="L453" s="6">
        <v>22.119</v>
      </c>
      <c r="M453" s="70">
        <v>22.119</v>
      </c>
      <c r="N453" s="6">
        <v>22.119</v>
      </c>
      <c r="O453" s="70">
        <v>22.119</v>
      </c>
      <c r="P453" s="6">
        <v>3</v>
      </c>
      <c r="Q453" s="4" t="s">
        <v>26</v>
      </c>
      <c r="R453" s="4">
        <v>0</v>
      </c>
      <c r="S453" s="6">
        <v>0</v>
      </c>
      <c r="T453" s="6">
        <v>17</v>
      </c>
      <c r="U453" s="6">
        <v>46</v>
      </c>
      <c r="V453" s="70">
        <f>IF(ISERROR(VLOOKUP($S$453,'TAR FIN'!$A$1:$O$85,15,0)),0,VLOOKUP($S$453,'TAR FIN'!$A$1:$O$85,15,0))</f>
        <v>0</v>
      </c>
      <c r="W453" s="70">
        <f>IF(ISERROR(VLOOKUP($T$453,'TAR FIN'!$A$1:$O$85,15,0)),0,VLOOKUP($T$453,'TAR FIN'!$A$1:$O$85,15,0))*(1-0.06)</f>
        <v>815.33719999999994</v>
      </c>
      <c r="X453" s="70">
        <f>IF(ISERROR(VLOOKUP($U$453,'TAR FIN'!$A$1:$O$85,15,0)),0,VLOOKUP($U$453,'TAR FIN'!$A$1:$O$85,15,0))*(1-0.06)</f>
        <v>225.87259999999998</v>
      </c>
      <c r="Y453" s="70"/>
      <c r="Z453" s="70">
        <f ca="1">('TUSD BE'!$AM$48+'TUSD BF'!$AM$48+'TUSD CVA'!$AM$48)*1*(1-0.03)</f>
        <v>952.59561856000551</v>
      </c>
      <c r="AA453" s="70">
        <f>('TE BE'!$AA$39+'TE BF'!$AA$39+'TE CVA'!$AA$39)*1*(1-0.03)</f>
        <v>320.80893726149895</v>
      </c>
      <c r="AB453" s="6">
        <f>$K$453*$V$453</f>
        <v>0</v>
      </c>
      <c r="AC453" s="6">
        <f>$M$453*$W$453</f>
        <v>18034.443526799998</v>
      </c>
      <c r="AD453" s="6">
        <f>$O$453*$X$453</f>
        <v>4996.076039399999</v>
      </c>
      <c r="AE453" s="6">
        <f>$K$453*$Y$453</f>
        <v>0</v>
      </c>
      <c r="AF453" s="6">
        <f ca="1">$M$453*$Z$453</f>
        <v>21070.462486928762</v>
      </c>
      <c r="AG453" s="6">
        <f>$O$453*$AA$453</f>
        <v>7095.9728832870951</v>
      </c>
    </row>
    <row r="454" spans="1:33" ht="11.25" customHeight="1" x14ac:dyDescent="0.3">
      <c r="A454" s="4" t="s">
        <v>21</v>
      </c>
      <c r="B454" s="4" t="s">
        <v>35</v>
      </c>
      <c r="C454" s="4" t="s">
        <v>23</v>
      </c>
      <c r="D454" s="4" t="s">
        <v>49</v>
      </c>
      <c r="E454" s="4" t="s">
        <v>50</v>
      </c>
      <c r="F454" s="4" t="s">
        <v>25</v>
      </c>
      <c r="G454" s="4" t="s">
        <v>25</v>
      </c>
      <c r="H454" s="4" t="s">
        <v>25</v>
      </c>
      <c r="I454" s="5">
        <v>44348</v>
      </c>
      <c r="J454" s="6">
        <v>0</v>
      </c>
      <c r="K454" s="70">
        <v>0</v>
      </c>
      <c r="L454" s="6">
        <v>21.76</v>
      </c>
      <c r="M454" s="70">
        <v>21.76</v>
      </c>
      <c r="N454" s="6">
        <v>21.76</v>
      </c>
      <c r="O454" s="70">
        <v>21.76</v>
      </c>
      <c r="P454" s="6">
        <v>3</v>
      </c>
      <c r="Q454" s="4" t="s">
        <v>26</v>
      </c>
      <c r="R454" s="4">
        <v>0</v>
      </c>
      <c r="S454" s="6">
        <v>0</v>
      </c>
      <c r="T454" s="6">
        <v>17</v>
      </c>
      <c r="U454" s="6">
        <v>46</v>
      </c>
      <c r="V454" s="70">
        <f>IF(ISERROR(VLOOKUP($S$454,'TAR FIN'!$A$1:$O$85,15,0)),0,VLOOKUP($S$454,'TAR FIN'!$A$1:$O$85,15,0))</f>
        <v>0</v>
      </c>
      <c r="W454" s="70">
        <f>IF(ISERROR(VLOOKUP($T$454,'TAR FIN'!$A$1:$O$85,15,0)),0,VLOOKUP($T$454,'TAR FIN'!$A$1:$O$85,15,0))*(1-0.06)</f>
        <v>815.33719999999994</v>
      </c>
      <c r="X454" s="70">
        <f>IF(ISERROR(VLOOKUP($U$454,'TAR FIN'!$A$1:$O$85,15,0)),0,VLOOKUP($U$454,'TAR FIN'!$A$1:$O$85,15,0))*(1-0.06)</f>
        <v>225.87259999999998</v>
      </c>
      <c r="Y454" s="70"/>
      <c r="Z454" s="70">
        <f ca="1">('TUSD BE'!$AM$48+'TUSD BF'!$AM$48+'TUSD CVA'!$AM$48)*1*(1-0.03)</f>
        <v>952.59561856000551</v>
      </c>
      <c r="AA454" s="70">
        <f>('TE BE'!$AA$39+'TE BF'!$AA$39+'TE CVA'!$AA$39)*1*(1-0.03)</f>
        <v>320.80893726149895</v>
      </c>
      <c r="AB454" s="6">
        <f>$K$454*$V$454</f>
        <v>0</v>
      </c>
      <c r="AC454" s="6">
        <f>$M$454*$W$454</f>
        <v>17741.737472000001</v>
      </c>
      <c r="AD454" s="6">
        <f>$O$454*$X$454</f>
        <v>4914.9877759999999</v>
      </c>
      <c r="AE454" s="6">
        <f>$K$454*$Y$454</f>
        <v>0</v>
      </c>
      <c r="AF454" s="6">
        <f ca="1">$M$454*$Z$454</f>
        <v>20728.48065986572</v>
      </c>
      <c r="AG454" s="6">
        <f>$O$454*$AA$454</f>
        <v>6980.802474810218</v>
      </c>
    </row>
    <row r="455" spans="1:33" ht="11.25" customHeight="1" x14ac:dyDescent="0.3">
      <c r="A455" s="4" t="s">
        <v>21</v>
      </c>
      <c r="B455" s="4" t="s">
        <v>35</v>
      </c>
      <c r="C455" s="4" t="s">
        <v>23</v>
      </c>
      <c r="D455" s="4" t="s">
        <v>49</v>
      </c>
      <c r="E455" s="4" t="s">
        <v>50</v>
      </c>
      <c r="F455" s="4" t="s">
        <v>25</v>
      </c>
      <c r="G455" s="4" t="s">
        <v>25</v>
      </c>
      <c r="H455" s="4" t="s">
        <v>25</v>
      </c>
      <c r="I455" s="5">
        <v>44378</v>
      </c>
      <c r="J455" s="6">
        <v>0</v>
      </c>
      <c r="K455" s="70">
        <v>0</v>
      </c>
      <c r="L455" s="6">
        <v>9.3780000000000001</v>
      </c>
      <c r="M455" s="70">
        <v>9.3780000000000001</v>
      </c>
      <c r="N455" s="6">
        <v>9.3780000000000001</v>
      </c>
      <c r="O455" s="70">
        <v>9.3780000000000001</v>
      </c>
      <c r="P455" s="6">
        <v>3</v>
      </c>
      <c r="Q455" s="4" t="s">
        <v>26</v>
      </c>
      <c r="R455" s="4">
        <v>0</v>
      </c>
      <c r="S455" s="6">
        <v>0</v>
      </c>
      <c r="T455" s="6">
        <v>17</v>
      </c>
      <c r="U455" s="6">
        <v>46</v>
      </c>
      <c r="V455" s="70">
        <f>IF(ISERROR(VLOOKUP($S$455,'TAR FIN'!$A$1:$O$85,15,0)),0,VLOOKUP($S$455,'TAR FIN'!$A$1:$O$85,15,0))</f>
        <v>0</v>
      </c>
      <c r="W455" s="70">
        <f>IF(ISERROR(VLOOKUP($T$455,'TAR FIN'!$A$1:$O$85,15,0)),0,VLOOKUP($T$455,'TAR FIN'!$A$1:$O$85,15,0))*(1-0.06)</f>
        <v>815.33719999999994</v>
      </c>
      <c r="X455" s="70">
        <f>IF(ISERROR(VLOOKUP($U$455,'TAR FIN'!$A$1:$O$85,15,0)),0,VLOOKUP($U$455,'TAR FIN'!$A$1:$O$85,15,0))*(1-0.06)</f>
        <v>225.87259999999998</v>
      </c>
      <c r="Y455" s="70"/>
      <c r="Z455" s="70">
        <f ca="1">('TUSD BE'!$AM$48+'TUSD BF'!$AM$48+'TUSD CVA'!$AM$48)*1*(1-0.03)</f>
        <v>952.59561856000551</v>
      </c>
      <c r="AA455" s="70">
        <f>('TE BE'!$AA$39+'TE BF'!$AA$39+'TE CVA'!$AA$39)*1*(1-0.03)</f>
        <v>320.80893726149895</v>
      </c>
      <c r="AB455" s="6">
        <f>$K$455*$V$455</f>
        <v>0</v>
      </c>
      <c r="AC455" s="6">
        <f>$M$455*$W$455</f>
        <v>7646.2322615999992</v>
      </c>
      <c r="AD455" s="6">
        <f>$O$455*$X$455</f>
        <v>2118.2332428</v>
      </c>
      <c r="AE455" s="6">
        <f>$K$455*$Y$455</f>
        <v>0</v>
      </c>
      <c r="AF455" s="6">
        <f ca="1">$M$455*$Z$455</f>
        <v>8933.4417108557318</v>
      </c>
      <c r="AG455" s="6">
        <f>$O$455*$AA$455</f>
        <v>3008.5462136383371</v>
      </c>
    </row>
    <row r="456" spans="1:33" ht="11.25" customHeight="1" x14ac:dyDescent="0.3">
      <c r="A456" s="4" t="s">
        <v>21</v>
      </c>
      <c r="B456" s="4" t="s">
        <v>35</v>
      </c>
      <c r="C456" s="4" t="s">
        <v>23</v>
      </c>
      <c r="D456" s="4" t="s">
        <v>49</v>
      </c>
      <c r="E456" s="4" t="s">
        <v>50</v>
      </c>
      <c r="F456" s="4" t="s">
        <v>25</v>
      </c>
      <c r="G456" s="4" t="s">
        <v>25</v>
      </c>
      <c r="H456" s="4" t="s">
        <v>25</v>
      </c>
      <c r="I456" s="5">
        <v>44409</v>
      </c>
      <c r="J456" s="6">
        <v>0</v>
      </c>
      <c r="K456" s="70">
        <v>0</v>
      </c>
      <c r="L456" s="6">
        <v>14.198</v>
      </c>
      <c r="M456" s="70">
        <v>14.198</v>
      </c>
      <c r="N456" s="6">
        <v>14.198</v>
      </c>
      <c r="O456" s="70">
        <v>14.198</v>
      </c>
      <c r="P456" s="6">
        <v>3</v>
      </c>
      <c r="Q456" s="4" t="s">
        <v>26</v>
      </c>
      <c r="R456" s="4">
        <v>0</v>
      </c>
      <c r="S456" s="6">
        <v>0</v>
      </c>
      <c r="T456" s="6">
        <v>17</v>
      </c>
      <c r="U456" s="6">
        <v>46</v>
      </c>
      <c r="V456" s="70">
        <f>IF(ISERROR(VLOOKUP($S$456,'TAR FIN'!$A$1:$O$85,15,0)),0,VLOOKUP($S$456,'TAR FIN'!$A$1:$O$85,15,0))</f>
        <v>0</v>
      </c>
      <c r="W456" s="70">
        <f>IF(ISERROR(VLOOKUP($T$456,'TAR FIN'!$A$1:$O$85,15,0)),0,VLOOKUP($T$456,'TAR FIN'!$A$1:$O$85,15,0))*(1-0.06)</f>
        <v>815.33719999999994</v>
      </c>
      <c r="X456" s="70">
        <f>IF(ISERROR(VLOOKUP($U$456,'TAR FIN'!$A$1:$O$85,15,0)),0,VLOOKUP($U$456,'TAR FIN'!$A$1:$O$85,15,0))*(1-0.06)</f>
        <v>225.87259999999998</v>
      </c>
      <c r="Y456" s="70"/>
      <c r="Z456" s="70">
        <f ca="1">('TUSD BE'!$AM$48+'TUSD BF'!$AM$48+'TUSD CVA'!$AM$48)*1*(1-0.03)</f>
        <v>952.59561856000551</v>
      </c>
      <c r="AA456" s="70">
        <f>('TE BE'!$AA$39+'TE BF'!$AA$39+'TE CVA'!$AA$39)*1*(1-0.03)</f>
        <v>320.80893726149895</v>
      </c>
      <c r="AB456" s="6">
        <f>$K$456*$V$456</f>
        <v>0</v>
      </c>
      <c r="AC456" s="6">
        <f>$M$456*$W$456</f>
        <v>11576.157565599999</v>
      </c>
      <c r="AD456" s="6">
        <f>$O$456*$X$456</f>
        <v>3206.9391747999998</v>
      </c>
      <c r="AE456" s="6">
        <f>$K$456*$Y$456</f>
        <v>0</v>
      </c>
      <c r="AF456" s="6">
        <f ca="1">$M$456*$Z$456</f>
        <v>13524.952592314958</v>
      </c>
      <c r="AG456" s="6">
        <f>$O$456*$AA$456</f>
        <v>4554.845291238762</v>
      </c>
    </row>
    <row r="457" spans="1:33" ht="11.25" customHeight="1" x14ac:dyDescent="0.3">
      <c r="A457" s="4" t="s">
        <v>21</v>
      </c>
      <c r="B457" s="4" t="s">
        <v>35</v>
      </c>
      <c r="C457" s="4" t="s">
        <v>23</v>
      </c>
      <c r="D457" s="4" t="s">
        <v>49</v>
      </c>
      <c r="E457" s="4" t="s">
        <v>50</v>
      </c>
      <c r="F457" s="4" t="s">
        <v>25</v>
      </c>
      <c r="G457" s="4" t="s">
        <v>25</v>
      </c>
      <c r="H457" s="4" t="s">
        <v>25</v>
      </c>
      <c r="I457" s="5">
        <v>44440</v>
      </c>
      <c r="J457" s="6">
        <v>0</v>
      </c>
      <c r="K457" s="70">
        <v>0</v>
      </c>
      <c r="L457" s="6">
        <v>13.079000000000001</v>
      </c>
      <c r="M457" s="70">
        <v>13.079000000000001</v>
      </c>
      <c r="N457" s="6">
        <v>13.079000000000001</v>
      </c>
      <c r="O457" s="70">
        <v>13.079000000000001</v>
      </c>
      <c r="P457" s="6">
        <v>2</v>
      </c>
      <c r="Q457" s="4" t="s">
        <v>26</v>
      </c>
      <c r="R457" s="4">
        <v>0</v>
      </c>
      <c r="S457" s="6">
        <v>0</v>
      </c>
      <c r="T457" s="6">
        <v>17</v>
      </c>
      <c r="U457" s="6">
        <v>46</v>
      </c>
      <c r="V457" s="70">
        <f>IF(ISERROR(VLOOKUP($S$457,'TAR FIN'!$A$1:$O$85,15,0)),0,VLOOKUP($S$457,'TAR FIN'!$A$1:$O$85,15,0))</f>
        <v>0</v>
      </c>
      <c r="W457" s="70">
        <f>IF(ISERROR(VLOOKUP($T$457,'TAR FIN'!$A$1:$O$85,15,0)),0,VLOOKUP($T$457,'TAR FIN'!$A$1:$O$85,15,0))*(1-0.06)</f>
        <v>815.33719999999994</v>
      </c>
      <c r="X457" s="70">
        <f>IF(ISERROR(VLOOKUP($U$457,'TAR FIN'!$A$1:$O$85,15,0)),0,VLOOKUP($U$457,'TAR FIN'!$A$1:$O$85,15,0))*(1-0.06)</f>
        <v>225.87259999999998</v>
      </c>
      <c r="Y457" s="70"/>
      <c r="Z457" s="70">
        <f ca="1">('TUSD BE'!$AM$48+'TUSD BF'!$AM$48+'TUSD CVA'!$AM$48)*1*(1-0.03)</f>
        <v>952.59561856000551</v>
      </c>
      <c r="AA457" s="70">
        <f>('TE BE'!$AA$39+'TE BF'!$AA$39+'TE CVA'!$AA$39)*1*(1-0.03)</f>
        <v>320.80893726149895</v>
      </c>
      <c r="AB457" s="6">
        <f>$K$457*$V$457</f>
        <v>0</v>
      </c>
      <c r="AC457" s="6">
        <f>$M$457*$W$457</f>
        <v>10663.795238799999</v>
      </c>
      <c r="AD457" s="6">
        <f>$O$457*$X$457</f>
        <v>2954.1877353999998</v>
      </c>
      <c r="AE457" s="6">
        <f>$K$457*$Y$457</f>
        <v>0</v>
      </c>
      <c r="AF457" s="6">
        <f ca="1">$M$457*$Z$457</f>
        <v>12458.998095146313</v>
      </c>
      <c r="AG457" s="6">
        <f>$O$457*$AA$457</f>
        <v>4195.8600904431451</v>
      </c>
    </row>
    <row r="458" spans="1:33" ht="11.25" customHeight="1" x14ac:dyDescent="0.3">
      <c r="A458" s="4" t="s">
        <v>21</v>
      </c>
      <c r="B458" s="4" t="s">
        <v>35</v>
      </c>
      <c r="C458" s="4" t="s">
        <v>23</v>
      </c>
      <c r="D458" s="4" t="s">
        <v>49</v>
      </c>
      <c r="E458" s="4" t="s">
        <v>50</v>
      </c>
      <c r="F458" s="4" t="s">
        <v>25</v>
      </c>
      <c r="G458" s="4" t="s">
        <v>25</v>
      </c>
      <c r="H458" s="4" t="s">
        <v>25</v>
      </c>
      <c r="I458" s="5">
        <v>44470</v>
      </c>
      <c r="J458" s="6">
        <v>0</v>
      </c>
      <c r="K458" s="70">
        <v>0</v>
      </c>
      <c r="L458" s="6">
        <v>12.247</v>
      </c>
      <c r="M458" s="70">
        <v>12.247</v>
      </c>
      <c r="N458" s="6">
        <v>12.247</v>
      </c>
      <c r="O458" s="70">
        <v>12.247</v>
      </c>
      <c r="P458" s="6">
        <v>2</v>
      </c>
      <c r="Q458" s="4" t="s">
        <v>26</v>
      </c>
      <c r="R458" s="4">
        <v>0</v>
      </c>
      <c r="S458" s="6">
        <v>0</v>
      </c>
      <c r="T458" s="6">
        <v>17</v>
      </c>
      <c r="U458" s="6">
        <v>46</v>
      </c>
      <c r="V458" s="70">
        <f>IF(ISERROR(VLOOKUP($S$458,'TAR FIN'!$A$1:$O$85,15,0)),0,VLOOKUP($S$458,'TAR FIN'!$A$1:$O$85,15,0))</f>
        <v>0</v>
      </c>
      <c r="W458" s="70">
        <f>IF(ISERROR(VLOOKUP($T$458,'TAR FIN'!$A$1:$O$85,15,0)),0,VLOOKUP($T$458,'TAR FIN'!$A$1:$O$85,15,0))*(1-0.06)</f>
        <v>815.33719999999994</v>
      </c>
      <c r="X458" s="70">
        <f>IF(ISERROR(VLOOKUP($U$458,'TAR FIN'!$A$1:$O$85,15,0)),0,VLOOKUP($U$458,'TAR FIN'!$A$1:$O$85,15,0))*(1-0.06)</f>
        <v>225.87259999999998</v>
      </c>
      <c r="Y458" s="70"/>
      <c r="Z458" s="70">
        <f ca="1">('TUSD BE'!$AM$48+'TUSD BF'!$AM$48+'TUSD CVA'!$AM$48)*1*(1-0.03)</f>
        <v>952.59561856000551</v>
      </c>
      <c r="AA458" s="70">
        <f>('TE BE'!$AA$39+'TE BF'!$AA$39+'TE CVA'!$AA$39)*1*(1-0.03)</f>
        <v>320.80893726149895</v>
      </c>
      <c r="AB458" s="6">
        <f>$K$458*$V$458</f>
        <v>0</v>
      </c>
      <c r="AC458" s="6">
        <f>$M$458*$W$458</f>
        <v>9985.4346883999988</v>
      </c>
      <c r="AD458" s="6">
        <f>$O$458*$X$458</f>
        <v>2766.2617321999996</v>
      </c>
      <c r="AE458" s="6">
        <f>$K$458*$Y$458</f>
        <v>0</v>
      </c>
      <c r="AF458" s="6">
        <f ca="1">$M$458*$Z$458</f>
        <v>11666.438540504387</v>
      </c>
      <c r="AG458" s="6">
        <f>$O$458*$AA$458</f>
        <v>3928.9470546415778</v>
      </c>
    </row>
    <row r="459" spans="1:33" ht="11.25" customHeight="1" x14ac:dyDescent="0.3">
      <c r="A459" s="4" t="s">
        <v>21</v>
      </c>
      <c r="B459" s="4" t="s">
        <v>35</v>
      </c>
      <c r="C459" s="4" t="s">
        <v>23</v>
      </c>
      <c r="D459" s="4" t="s">
        <v>49</v>
      </c>
      <c r="E459" s="4" t="s">
        <v>50</v>
      </c>
      <c r="F459" s="4" t="s">
        <v>25</v>
      </c>
      <c r="G459" s="4" t="s">
        <v>25</v>
      </c>
      <c r="H459" s="4" t="s">
        <v>25</v>
      </c>
      <c r="I459" s="5">
        <v>44501</v>
      </c>
      <c r="J459" s="6">
        <v>0</v>
      </c>
      <c r="K459" s="70">
        <v>0</v>
      </c>
      <c r="L459" s="6">
        <v>12.291</v>
      </c>
      <c r="M459" s="70">
        <v>12.291</v>
      </c>
      <c r="N459" s="6">
        <v>12.291</v>
      </c>
      <c r="O459" s="70">
        <v>12.291</v>
      </c>
      <c r="P459" s="6">
        <v>2</v>
      </c>
      <c r="Q459" s="4" t="s">
        <v>26</v>
      </c>
      <c r="R459" s="4">
        <v>0</v>
      </c>
      <c r="S459" s="6">
        <v>0</v>
      </c>
      <c r="T459" s="6">
        <v>17</v>
      </c>
      <c r="U459" s="6">
        <v>46</v>
      </c>
      <c r="V459" s="70">
        <f>IF(ISERROR(VLOOKUP($S$459,'TAR FIN'!$A$1:$O$85,15,0)),0,VLOOKUP($S$459,'TAR FIN'!$A$1:$O$85,15,0))</f>
        <v>0</v>
      </c>
      <c r="W459" s="70">
        <f>IF(ISERROR(VLOOKUP($T$459,'TAR FIN'!$A$1:$O$85,15,0)),0,VLOOKUP($T$459,'TAR FIN'!$A$1:$O$85,15,0))*(1-0.06)</f>
        <v>815.33719999999994</v>
      </c>
      <c r="X459" s="70">
        <f>IF(ISERROR(VLOOKUP($U$459,'TAR FIN'!$A$1:$O$85,15,0)),0,VLOOKUP($U$459,'TAR FIN'!$A$1:$O$85,15,0))*(1-0.06)</f>
        <v>225.87259999999998</v>
      </c>
      <c r="Y459" s="70"/>
      <c r="Z459" s="70">
        <f ca="1">('TUSD BE'!$AM$48+'TUSD BF'!$AM$48+'TUSD CVA'!$AM$48)*1*(1-0.03)</f>
        <v>952.59561856000551</v>
      </c>
      <c r="AA459" s="70">
        <f>('TE BE'!$AA$39+'TE BF'!$AA$39+'TE CVA'!$AA$39)*1*(1-0.03)</f>
        <v>320.80893726149895</v>
      </c>
      <c r="AB459" s="6">
        <f>$K$459*$V$459</f>
        <v>0</v>
      </c>
      <c r="AC459" s="6">
        <f>$M$459*$W$459</f>
        <v>10021.3095252</v>
      </c>
      <c r="AD459" s="6">
        <f>$O$459*$X$459</f>
        <v>2776.2001265999997</v>
      </c>
      <c r="AE459" s="6">
        <f>$K$459*$Y$459</f>
        <v>0</v>
      </c>
      <c r="AF459" s="6">
        <f ca="1">$M$459*$Z$459</f>
        <v>11708.352747721028</v>
      </c>
      <c r="AG459" s="6">
        <f>$O$459*$AA$459</f>
        <v>3943.0626478810836</v>
      </c>
    </row>
    <row r="460" spans="1:33" ht="11.25" customHeight="1" x14ac:dyDescent="0.3">
      <c r="A460" s="4" t="s">
        <v>21</v>
      </c>
      <c r="B460" s="4" t="s">
        <v>35</v>
      </c>
      <c r="C460" s="4" t="s">
        <v>23</v>
      </c>
      <c r="D460" s="4" t="s">
        <v>49</v>
      </c>
      <c r="E460" s="4" t="s">
        <v>50</v>
      </c>
      <c r="F460" s="4" t="s">
        <v>25</v>
      </c>
      <c r="G460" s="4" t="s">
        <v>25</v>
      </c>
      <c r="H460" s="4" t="s">
        <v>25</v>
      </c>
      <c r="I460" s="5">
        <v>44531</v>
      </c>
      <c r="J460" s="6">
        <v>0</v>
      </c>
      <c r="K460" s="70">
        <v>0</v>
      </c>
      <c r="L460" s="6">
        <v>14.467000000000001</v>
      </c>
      <c r="M460" s="70">
        <v>14.467000000000001</v>
      </c>
      <c r="N460" s="6">
        <v>14.467000000000001</v>
      </c>
      <c r="O460" s="70">
        <v>14.467000000000001</v>
      </c>
      <c r="P460" s="6">
        <v>2</v>
      </c>
      <c r="Q460" s="4" t="s">
        <v>26</v>
      </c>
      <c r="R460" s="4">
        <v>0</v>
      </c>
      <c r="S460" s="6">
        <v>0</v>
      </c>
      <c r="T460" s="6">
        <v>17</v>
      </c>
      <c r="U460" s="6">
        <v>46</v>
      </c>
      <c r="V460" s="70">
        <f>IF(ISERROR(VLOOKUP($S$460,'TAR FIN'!$A$1:$O$85,15,0)),0,VLOOKUP($S$460,'TAR FIN'!$A$1:$O$85,15,0))</f>
        <v>0</v>
      </c>
      <c r="W460" s="70">
        <f>IF(ISERROR(VLOOKUP($T$460,'TAR FIN'!$A$1:$O$85,15,0)),0,VLOOKUP($T$460,'TAR FIN'!$A$1:$O$85,15,0))*(1-0.06)</f>
        <v>815.33719999999994</v>
      </c>
      <c r="X460" s="70">
        <f>IF(ISERROR(VLOOKUP($U$460,'TAR FIN'!$A$1:$O$85,15,0)),0,VLOOKUP($U$460,'TAR FIN'!$A$1:$O$85,15,0))*(1-0.06)</f>
        <v>225.87259999999998</v>
      </c>
      <c r="Y460" s="70"/>
      <c r="Z460" s="70">
        <f ca="1">('TUSD BE'!$AM$48+'TUSD BF'!$AM$48+'TUSD CVA'!$AM$48)*1*(1-0.03)</f>
        <v>952.59561856000551</v>
      </c>
      <c r="AA460" s="70">
        <f>('TE BE'!$AA$39+'TE BF'!$AA$39+'TE CVA'!$AA$39)*1*(1-0.03)</f>
        <v>320.80893726149895</v>
      </c>
      <c r="AB460" s="6">
        <f>$K$460*$V$460</f>
        <v>0</v>
      </c>
      <c r="AC460" s="6">
        <f>$M$460*$W$460</f>
        <v>11795.483272399999</v>
      </c>
      <c r="AD460" s="6">
        <f>$O$460*$X$460</f>
        <v>3267.6989042</v>
      </c>
      <c r="AE460" s="6">
        <f>$K$460*$Y$460</f>
        <v>0</v>
      </c>
      <c r="AF460" s="6">
        <f ca="1">$M$460*$Z$460</f>
        <v>13781.200813707601</v>
      </c>
      <c r="AG460" s="6">
        <f>$O$460*$AA$460</f>
        <v>4641.1428953621053</v>
      </c>
    </row>
    <row r="461" spans="1:33" ht="11.25" customHeight="1" x14ac:dyDescent="0.3">
      <c r="A461" s="4" t="s">
        <v>21</v>
      </c>
      <c r="B461" s="4" t="s">
        <v>35</v>
      </c>
      <c r="C461" s="4" t="s">
        <v>23</v>
      </c>
      <c r="D461" s="4" t="s">
        <v>49</v>
      </c>
      <c r="E461" s="4" t="s">
        <v>50</v>
      </c>
      <c r="F461" s="4" t="s">
        <v>25</v>
      </c>
      <c r="G461" s="4" t="s">
        <v>25</v>
      </c>
      <c r="H461" s="4" t="s">
        <v>25</v>
      </c>
      <c r="I461" s="5">
        <v>44562</v>
      </c>
      <c r="J461" s="6">
        <v>0</v>
      </c>
      <c r="K461" s="70">
        <v>0</v>
      </c>
      <c r="L461" s="6">
        <v>14.925000000000001</v>
      </c>
      <c r="M461" s="70">
        <v>14.925000000000001</v>
      </c>
      <c r="N461" s="6">
        <v>14.925000000000001</v>
      </c>
      <c r="O461" s="70">
        <v>14.925000000000001</v>
      </c>
      <c r="P461" s="6">
        <v>2</v>
      </c>
      <c r="Q461" s="4" t="s">
        <v>26</v>
      </c>
      <c r="R461" s="4">
        <v>0</v>
      </c>
      <c r="S461" s="6">
        <v>0</v>
      </c>
      <c r="T461" s="6">
        <v>17</v>
      </c>
      <c r="U461" s="6">
        <v>46</v>
      </c>
      <c r="V461" s="70">
        <f>IF(ISERROR(VLOOKUP($S$461,'TAR FIN'!$A$1:$O$85,15,0)),0,VLOOKUP($S$461,'TAR FIN'!$A$1:$O$85,15,0))</f>
        <v>0</v>
      </c>
      <c r="W461" s="70">
        <f>IF(ISERROR(VLOOKUP($T$461,'TAR FIN'!$A$1:$O$85,15,0)),0,VLOOKUP($T$461,'TAR FIN'!$A$1:$O$85,15,0))*(1-0.06)</f>
        <v>815.33719999999994</v>
      </c>
      <c r="X461" s="70">
        <f>IF(ISERROR(VLOOKUP($U$461,'TAR FIN'!$A$1:$O$85,15,0)),0,VLOOKUP($U$461,'TAR FIN'!$A$1:$O$85,15,0))*(1-0.06)</f>
        <v>225.87259999999998</v>
      </c>
      <c r="Y461" s="70"/>
      <c r="Z461" s="70">
        <f ca="1">('TUSD BE'!$AM$48+'TUSD BF'!$AM$48+'TUSD CVA'!$AM$48)*1*(1-0.03)</f>
        <v>952.59561856000551</v>
      </c>
      <c r="AA461" s="70">
        <f>('TE BE'!$AA$39+'TE BF'!$AA$39+'TE CVA'!$AA$39)*1*(1-0.03)</f>
        <v>320.80893726149895</v>
      </c>
      <c r="AB461" s="6">
        <f>$K$461*$V$461</f>
        <v>0</v>
      </c>
      <c r="AC461" s="6">
        <f>$M$461*$W$461</f>
        <v>12168.907709999999</v>
      </c>
      <c r="AD461" s="6">
        <f>$O$461*$X$461</f>
        <v>3371.1485549999998</v>
      </c>
      <c r="AE461" s="6">
        <f>$K$461*$Y$461</f>
        <v>0</v>
      </c>
      <c r="AF461" s="6">
        <f ca="1">$M$461*$Z$461</f>
        <v>14217.489607008083</v>
      </c>
      <c r="AG461" s="6">
        <f>$O$461*$AA$461</f>
        <v>4788.0733886278722</v>
      </c>
    </row>
    <row r="462" spans="1:33" ht="11.25" customHeight="1" x14ac:dyDescent="0.3">
      <c r="A462" s="4" t="s">
        <v>21</v>
      </c>
      <c r="B462" s="4" t="s">
        <v>35</v>
      </c>
      <c r="C462" s="4" t="s">
        <v>23</v>
      </c>
      <c r="D462" s="4" t="s">
        <v>49</v>
      </c>
      <c r="E462" s="4" t="s">
        <v>50</v>
      </c>
      <c r="F462" s="4" t="s">
        <v>25</v>
      </c>
      <c r="G462" s="4" t="s">
        <v>25</v>
      </c>
      <c r="H462" s="4" t="s">
        <v>25</v>
      </c>
      <c r="I462" s="5">
        <v>44593</v>
      </c>
      <c r="J462" s="6">
        <v>0</v>
      </c>
      <c r="K462" s="70">
        <v>0</v>
      </c>
      <c r="L462" s="6">
        <v>18.042999999999999</v>
      </c>
      <c r="M462" s="70">
        <v>18.042999999999999</v>
      </c>
      <c r="N462" s="6">
        <v>18.042999999999999</v>
      </c>
      <c r="O462" s="70">
        <v>18.042999999999999</v>
      </c>
      <c r="P462" s="6">
        <v>2</v>
      </c>
      <c r="Q462" s="4" t="s">
        <v>26</v>
      </c>
      <c r="R462" s="4">
        <v>0</v>
      </c>
      <c r="S462" s="6">
        <v>0</v>
      </c>
      <c r="T462" s="6">
        <v>17</v>
      </c>
      <c r="U462" s="6">
        <v>46</v>
      </c>
      <c r="V462" s="70">
        <f>IF(ISERROR(VLOOKUP($S$462,'TAR FIN'!$A$1:$O$85,15,0)),0,VLOOKUP($S$462,'TAR FIN'!$A$1:$O$85,15,0))</f>
        <v>0</v>
      </c>
      <c r="W462" s="70">
        <f>IF(ISERROR(VLOOKUP($T$462,'TAR FIN'!$A$1:$O$85,15,0)),0,VLOOKUP($T$462,'TAR FIN'!$A$1:$O$85,15,0))*(1-0.06)</f>
        <v>815.33719999999994</v>
      </c>
      <c r="X462" s="70">
        <f>IF(ISERROR(VLOOKUP($U$462,'TAR FIN'!$A$1:$O$85,15,0)),0,VLOOKUP($U$462,'TAR FIN'!$A$1:$O$85,15,0))*(1-0.06)</f>
        <v>225.87259999999998</v>
      </c>
      <c r="Y462" s="70"/>
      <c r="Z462" s="70">
        <f ca="1">('TUSD BE'!$AM$48+'TUSD BF'!$AM$48+'TUSD CVA'!$AM$48)*1*(1-0.03)</f>
        <v>952.59561856000551</v>
      </c>
      <c r="AA462" s="70">
        <f>('TE BE'!$AA$39+'TE BF'!$AA$39+'TE CVA'!$AA$39)*1*(1-0.03)</f>
        <v>320.80893726149895</v>
      </c>
      <c r="AB462" s="6">
        <f>$K$462*$V$462</f>
        <v>0</v>
      </c>
      <c r="AC462" s="6">
        <f>$M$462*$W$462</f>
        <v>14711.129099599999</v>
      </c>
      <c r="AD462" s="6">
        <f>$O$462*$X$462</f>
        <v>4075.4193217999996</v>
      </c>
      <c r="AE462" s="6">
        <f>$K$462*$Y$462</f>
        <v>0</v>
      </c>
      <c r="AF462" s="6">
        <f ca="1">$M$462*$Z$462</f>
        <v>17187.682745678179</v>
      </c>
      <c r="AG462" s="6">
        <f>$O$462*$AA$462</f>
        <v>5788.3556550092253</v>
      </c>
    </row>
    <row r="463" spans="1:33" ht="11.25" customHeight="1" x14ac:dyDescent="0.3">
      <c r="A463" s="4" t="s">
        <v>21</v>
      </c>
      <c r="B463" s="4" t="s">
        <v>35</v>
      </c>
      <c r="C463" s="4" t="s">
        <v>23</v>
      </c>
      <c r="D463" s="4" t="s">
        <v>49</v>
      </c>
      <c r="E463" s="4" t="s">
        <v>50</v>
      </c>
      <c r="F463" s="4" t="s">
        <v>25</v>
      </c>
      <c r="G463" s="4" t="s">
        <v>25</v>
      </c>
      <c r="H463" s="4" t="s">
        <v>25</v>
      </c>
      <c r="I463" s="5">
        <v>44621</v>
      </c>
      <c r="J463" s="6">
        <v>0</v>
      </c>
      <c r="K463" s="70">
        <v>0</v>
      </c>
      <c r="L463" s="6">
        <v>15.497</v>
      </c>
      <c r="M463" s="70">
        <v>15.497</v>
      </c>
      <c r="N463" s="6">
        <v>15.497</v>
      </c>
      <c r="O463" s="70">
        <v>15.497</v>
      </c>
      <c r="P463" s="6">
        <v>2</v>
      </c>
      <c r="Q463" s="4" t="s">
        <v>26</v>
      </c>
      <c r="R463" s="4">
        <v>0</v>
      </c>
      <c r="S463" s="6">
        <v>0</v>
      </c>
      <c r="T463" s="6">
        <v>17</v>
      </c>
      <c r="U463" s="6">
        <v>46</v>
      </c>
      <c r="V463" s="70">
        <f>IF(ISERROR(VLOOKUP($S$463,'TAR FIN'!$A$1:$O$85,15,0)),0,VLOOKUP($S$463,'TAR FIN'!$A$1:$O$85,15,0))</f>
        <v>0</v>
      </c>
      <c r="W463" s="70">
        <f>IF(ISERROR(VLOOKUP($T$463,'TAR FIN'!$A$1:$O$85,15,0)),0,VLOOKUP($T$463,'TAR FIN'!$A$1:$O$85,15,0))*(1-0.06)</f>
        <v>815.33719999999994</v>
      </c>
      <c r="X463" s="70">
        <f>IF(ISERROR(VLOOKUP($U$463,'TAR FIN'!$A$1:$O$85,15,0)),0,VLOOKUP($U$463,'TAR FIN'!$A$1:$O$85,15,0))*(1-0.06)</f>
        <v>225.87259999999998</v>
      </c>
      <c r="Y463" s="70"/>
      <c r="Z463" s="70">
        <f ca="1">('TUSD BE'!$AM$48+'TUSD BF'!$AM$48+'TUSD CVA'!$AM$48)*1*(1-0.03)</f>
        <v>952.59561856000551</v>
      </c>
      <c r="AA463" s="70">
        <f>('TE BE'!$AA$39+'TE BF'!$AA$39+'TE CVA'!$AA$39)*1*(1-0.03)</f>
        <v>320.80893726149895</v>
      </c>
      <c r="AB463" s="6">
        <f>$K$463*$V$463</f>
        <v>0</v>
      </c>
      <c r="AC463" s="6">
        <f>$M$463*$W$463</f>
        <v>12635.280588399999</v>
      </c>
      <c r="AD463" s="6">
        <f>$O$463*$X$463</f>
        <v>3500.3476821999998</v>
      </c>
      <c r="AE463" s="6">
        <f>$K$463*$Y$463</f>
        <v>0</v>
      </c>
      <c r="AF463" s="6">
        <f ca="1">$M$463*$Z$463</f>
        <v>14762.374300824406</v>
      </c>
      <c r="AG463" s="6">
        <f>$O$463*$AA$463</f>
        <v>4971.5761007414494</v>
      </c>
    </row>
    <row r="464" spans="1:33" ht="11.25" customHeight="1" x14ac:dyDescent="0.3">
      <c r="A464" s="4" t="s">
        <v>21</v>
      </c>
      <c r="B464" s="4" t="s">
        <v>46</v>
      </c>
      <c r="C464" s="4" t="s">
        <v>23</v>
      </c>
      <c r="D464" s="4" t="s">
        <v>47</v>
      </c>
      <c r="E464" s="4" t="s">
        <v>48</v>
      </c>
      <c r="F464" s="4" t="s">
        <v>25</v>
      </c>
      <c r="G464" s="4" t="s">
        <v>25</v>
      </c>
      <c r="H464" s="4" t="s">
        <v>25</v>
      </c>
      <c r="I464" s="5">
        <v>44287</v>
      </c>
      <c r="J464" s="6">
        <v>0</v>
      </c>
      <c r="K464" s="6">
        <v>0</v>
      </c>
      <c r="L464" s="6">
        <v>267.41500000000002</v>
      </c>
      <c r="M464" s="6">
        <v>267.41500000000002</v>
      </c>
      <c r="N464" s="6">
        <v>267.41500000000002</v>
      </c>
      <c r="O464" s="6">
        <v>267.41500000000002</v>
      </c>
      <c r="P464" s="6">
        <v>3</v>
      </c>
      <c r="Q464" s="4" t="s">
        <v>26</v>
      </c>
      <c r="R464" s="4">
        <v>0</v>
      </c>
      <c r="S464" s="6">
        <v>0</v>
      </c>
      <c r="T464" s="6">
        <v>19</v>
      </c>
      <c r="U464" s="6">
        <v>48</v>
      </c>
      <c r="V464" s="6">
        <f>IF(ISERROR(VLOOKUP($S$464,'TAR FIN'!$A$1:$O$85,15,0)),0,VLOOKUP($S$464,'TAR FIN'!$A$1:$O$85,15,0))</f>
        <v>0</v>
      </c>
      <c r="W464" s="6">
        <f>IF(ISERROR(VLOOKUP($T$464,'TAR FIN'!$A$1:$O$85,15,0)),0,VLOOKUP($T$464,'TAR FIN'!$A$1:$O$85,15,0))</f>
        <v>477.06</v>
      </c>
      <c r="X464" s="6">
        <f>IF(ISERROR(VLOOKUP($U$464,'TAR FIN'!$A$1:$O$85,15,0)),0,VLOOKUP($U$464,'TAR FIN'!$A$1:$O$85,15,0))</f>
        <v>132.16</v>
      </c>
      <c r="Y464" s="6"/>
      <c r="Z464" s="6">
        <f ca="1">('TUSD BE'!$AM$50+'TUSD BF'!$AM$50+'TUSD CVA'!$AM$50)*1</f>
        <v>540.13153629691044</v>
      </c>
      <c r="AA464" s="6">
        <f>('TE BE'!$AA$41+'TE BF'!$AA$41+'TE CVA'!$AA$41)*1</f>
        <v>181.90197473590149</v>
      </c>
      <c r="AB464" s="6">
        <f>$K$464*$V$464</f>
        <v>0</v>
      </c>
      <c r="AC464" s="6">
        <f>$M$464*$W$464</f>
        <v>127572.99990000001</v>
      </c>
      <c r="AD464" s="6">
        <f>$O$464*$X$464</f>
        <v>35341.566400000003</v>
      </c>
      <c r="AE464" s="6">
        <f>$K$464*$Y$464</f>
        <v>0</v>
      </c>
      <c r="AF464" s="6">
        <f ca="1">$M$464*$Z$464</f>
        <v>144439.27477883833</v>
      </c>
      <c r="AG464" s="6">
        <f>$O$464*$AA$464</f>
        <v>48643.316574001103</v>
      </c>
    </row>
    <row r="465" spans="1:33" ht="11.25" customHeight="1" x14ac:dyDescent="0.3">
      <c r="A465" s="4" t="s">
        <v>21</v>
      </c>
      <c r="B465" s="4" t="s">
        <v>46</v>
      </c>
      <c r="C465" s="4" t="s">
        <v>23</v>
      </c>
      <c r="D465" s="4" t="s">
        <v>47</v>
      </c>
      <c r="E465" s="4" t="s">
        <v>48</v>
      </c>
      <c r="F465" s="4" t="s">
        <v>25</v>
      </c>
      <c r="G465" s="4" t="s">
        <v>25</v>
      </c>
      <c r="H465" s="4" t="s">
        <v>25</v>
      </c>
      <c r="I465" s="5">
        <v>44317</v>
      </c>
      <c r="J465" s="6">
        <v>0</v>
      </c>
      <c r="K465" s="6">
        <v>0</v>
      </c>
      <c r="L465" s="6">
        <v>291.803</v>
      </c>
      <c r="M465" s="6">
        <v>291.803</v>
      </c>
      <c r="N465" s="6">
        <v>291.803</v>
      </c>
      <c r="O465" s="6">
        <v>291.803</v>
      </c>
      <c r="P465" s="6">
        <v>3</v>
      </c>
      <c r="Q465" s="4" t="s">
        <v>26</v>
      </c>
      <c r="R465" s="4">
        <v>0</v>
      </c>
      <c r="S465" s="6">
        <v>0</v>
      </c>
      <c r="T465" s="6">
        <v>19</v>
      </c>
      <c r="U465" s="6">
        <v>48</v>
      </c>
      <c r="V465" s="6">
        <f>IF(ISERROR(VLOOKUP($S$465,'TAR FIN'!$A$1:$O$85,15,0)),0,VLOOKUP($S$465,'TAR FIN'!$A$1:$O$85,15,0))</f>
        <v>0</v>
      </c>
      <c r="W465" s="6">
        <f>IF(ISERROR(VLOOKUP($T$465,'TAR FIN'!$A$1:$O$85,15,0)),0,VLOOKUP($T$465,'TAR FIN'!$A$1:$O$85,15,0))</f>
        <v>477.06</v>
      </c>
      <c r="X465" s="6">
        <f>IF(ISERROR(VLOOKUP($U$465,'TAR FIN'!$A$1:$O$85,15,0)),0,VLOOKUP($U$465,'TAR FIN'!$A$1:$O$85,15,0))</f>
        <v>132.16</v>
      </c>
      <c r="Y465" s="6"/>
      <c r="Z465" s="6">
        <f ca="1">('TUSD BE'!$AM$50+'TUSD BF'!$AM$50+'TUSD CVA'!$AM$50)*1</f>
        <v>540.13153629691044</v>
      </c>
      <c r="AA465" s="6">
        <f>('TE BE'!$AA$41+'TE BF'!$AA$41+'TE CVA'!$AA$41)*1</f>
        <v>181.90197473590149</v>
      </c>
      <c r="AB465" s="6">
        <f>$K$465*$V$465</f>
        <v>0</v>
      </c>
      <c r="AC465" s="6">
        <f>$M$465*$W$465</f>
        <v>139207.53917999999</v>
      </c>
      <c r="AD465" s="6">
        <f>$O$465*$X$465</f>
        <v>38564.684479999996</v>
      </c>
      <c r="AE465" s="6">
        <f>$K$465*$Y$465</f>
        <v>0</v>
      </c>
      <c r="AF465" s="6">
        <f ca="1">$M$465*$Z$465</f>
        <v>157612.00268604734</v>
      </c>
      <c r="AG465" s="6">
        <f>$O$465*$AA$465</f>
        <v>53079.541933860259</v>
      </c>
    </row>
    <row r="466" spans="1:33" ht="11.25" customHeight="1" x14ac:dyDescent="0.3">
      <c r="A466" s="4" t="s">
        <v>21</v>
      </c>
      <c r="B466" s="4" t="s">
        <v>46</v>
      </c>
      <c r="C466" s="4" t="s">
        <v>23</v>
      </c>
      <c r="D466" s="4" t="s">
        <v>47</v>
      </c>
      <c r="E466" s="4" t="s">
        <v>48</v>
      </c>
      <c r="F466" s="4" t="s">
        <v>25</v>
      </c>
      <c r="G466" s="4" t="s">
        <v>25</v>
      </c>
      <c r="H466" s="4" t="s">
        <v>25</v>
      </c>
      <c r="I466" s="5">
        <v>44348</v>
      </c>
      <c r="J466" s="6">
        <v>0</v>
      </c>
      <c r="K466" s="6">
        <v>0</v>
      </c>
      <c r="L466" s="6">
        <v>288.34699999999998</v>
      </c>
      <c r="M466" s="6">
        <v>288.34699999999998</v>
      </c>
      <c r="N466" s="6">
        <v>288.34699999999998</v>
      </c>
      <c r="O466" s="6">
        <v>288.34699999999998</v>
      </c>
      <c r="P466" s="6">
        <v>3</v>
      </c>
      <c r="Q466" s="4" t="s">
        <v>26</v>
      </c>
      <c r="R466" s="4">
        <v>0</v>
      </c>
      <c r="S466" s="6">
        <v>0</v>
      </c>
      <c r="T466" s="6">
        <v>19</v>
      </c>
      <c r="U466" s="6">
        <v>48</v>
      </c>
      <c r="V466" s="6">
        <f>IF(ISERROR(VLOOKUP($S$466,'TAR FIN'!$A$1:$O$85,15,0)),0,VLOOKUP($S$466,'TAR FIN'!$A$1:$O$85,15,0))</f>
        <v>0</v>
      </c>
      <c r="W466" s="6">
        <f>IF(ISERROR(VLOOKUP($T$466,'TAR FIN'!$A$1:$O$85,15,0)),0,VLOOKUP($T$466,'TAR FIN'!$A$1:$O$85,15,0))</f>
        <v>477.06</v>
      </c>
      <c r="X466" s="6">
        <f>IF(ISERROR(VLOOKUP($U$466,'TAR FIN'!$A$1:$O$85,15,0)),0,VLOOKUP($U$466,'TAR FIN'!$A$1:$O$85,15,0))</f>
        <v>132.16</v>
      </c>
      <c r="Y466" s="6"/>
      <c r="Z466" s="6">
        <f ca="1">('TUSD BE'!$AM$50+'TUSD BF'!$AM$50+'TUSD CVA'!$AM$50)*1</f>
        <v>540.13153629691044</v>
      </c>
      <c r="AA466" s="6">
        <f>('TE BE'!$AA$41+'TE BF'!$AA$41+'TE CVA'!$AA$41)*1</f>
        <v>181.90197473590149</v>
      </c>
      <c r="AB466" s="6">
        <f>$K$466*$V$466</f>
        <v>0</v>
      </c>
      <c r="AC466" s="6">
        <f>$M$466*$W$466</f>
        <v>137558.81982</v>
      </c>
      <c r="AD466" s="6">
        <f>$O$466*$X$466</f>
        <v>38107.93952</v>
      </c>
      <c r="AE466" s="6">
        <f>$K$466*$Y$466</f>
        <v>0</v>
      </c>
      <c r="AF466" s="6">
        <f ca="1">$M$466*$Z$466</f>
        <v>155745.30809660524</v>
      </c>
      <c r="AG466" s="6">
        <f>$O$466*$AA$466</f>
        <v>52450.888709172985</v>
      </c>
    </row>
    <row r="467" spans="1:33" ht="11.25" customHeight="1" x14ac:dyDescent="0.3">
      <c r="A467" s="4" t="s">
        <v>21</v>
      </c>
      <c r="B467" s="4" t="s">
        <v>46</v>
      </c>
      <c r="C467" s="4" t="s">
        <v>23</v>
      </c>
      <c r="D467" s="4" t="s">
        <v>47</v>
      </c>
      <c r="E467" s="4" t="s">
        <v>48</v>
      </c>
      <c r="F467" s="4" t="s">
        <v>25</v>
      </c>
      <c r="G467" s="4" t="s">
        <v>25</v>
      </c>
      <c r="H467" s="4" t="s">
        <v>25</v>
      </c>
      <c r="I467" s="5">
        <v>44378</v>
      </c>
      <c r="J467" s="6">
        <v>0</v>
      </c>
      <c r="K467" s="6">
        <v>0</v>
      </c>
      <c r="L467" s="6">
        <v>294.88200000000001</v>
      </c>
      <c r="M467" s="6">
        <v>294.88200000000001</v>
      </c>
      <c r="N467" s="6">
        <v>294.88200000000001</v>
      </c>
      <c r="O467" s="6">
        <v>294.88200000000001</v>
      </c>
      <c r="P467" s="6">
        <v>3</v>
      </c>
      <c r="Q467" s="4" t="s">
        <v>26</v>
      </c>
      <c r="R467" s="4">
        <v>0</v>
      </c>
      <c r="S467" s="6">
        <v>0</v>
      </c>
      <c r="T467" s="6">
        <v>19</v>
      </c>
      <c r="U467" s="6">
        <v>48</v>
      </c>
      <c r="V467" s="6">
        <f>IF(ISERROR(VLOOKUP($S$467,'TAR FIN'!$A$1:$O$85,15,0)),0,VLOOKUP($S$467,'TAR FIN'!$A$1:$O$85,15,0))</f>
        <v>0</v>
      </c>
      <c r="W467" s="6">
        <f>IF(ISERROR(VLOOKUP($T$467,'TAR FIN'!$A$1:$O$85,15,0)),0,VLOOKUP($T$467,'TAR FIN'!$A$1:$O$85,15,0))</f>
        <v>477.06</v>
      </c>
      <c r="X467" s="6">
        <f>IF(ISERROR(VLOOKUP($U$467,'TAR FIN'!$A$1:$O$85,15,0)),0,VLOOKUP($U$467,'TAR FIN'!$A$1:$O$85,15,0))</f>
        <v>132.16</v>
      </c>
      <c r="Y467" s="6"/>
      <c r="Z467" s="6">
        <f ca="1">('TUSD BE'!$AM$50+'TUSD BF'!$AM$50+'TUSD CVA'!$AM$50)*1</f>
        <v>540.13153629691044</v>
      </c>
      <c r="AA467" s="6">
        <f>('TE BE'!$AA$41+'TE BF'!$AA$41+'TE CVA'!$AA$41)*1</f>
        <v>181.90197473590149</v>
      </c>
      <c r="AB467" s="6">
        <f>$K$467*$V$467</f>
        <v>0</v>
      </c>
      <c r="AC467" s="6">
        <f>$M$467*$W$467</f>
        <v>140676.40692000001</v>
      </c>
      <c r="AD467" s="6">
        <f>$O$467*$X$467</f>
        <v>38971.60512</v>
      </c>
      <c r="AE467" s="6">
        <f>$K$467*$Y$467</f>
        <v>0</v>
      </c>
      <c r="AF467" s="6">
        <f ca="1">$M$467*$Z$467</f>
        <v>159275.06768630556</v>
      </c>
      <c r="AG467" s="6">
        <f>$O$467*$AA$467</f>
        <v>53639.618114072102</v>
      </c>
    </row>
    <row r="468" spans="1:33" ht="11.25" customHeight="1" x14ac:dyDescent="0.3">
      <c r="A468" s="4" t="s">
        <v>21</v>
      </c>
      <c r="B468" s="4" t="s">
        <v>46</v>
      </c>
      <c r="C468" s="4" t="s">
        <v>23</v>
      </c>
      <c r="D468" s="4" t="s">
        <v>47</v>
      </c>
      <c r="E468" s="4" t="s">
        <v>48</v>
      </c>
      <c r="F468" s="4" t="s">
        <v>25</v>
      </c>
      <c r="G468" s="4" t="s">
        <v>25</v>
      </c>
      <c r="H468" s="4" t="s">
        <v>25</v>
      </c>
      <c r="I468" s="5">
        <v>44409</v>
      </c>
      <c r="J468" s="6">
        <v>0</v>
      </c>
      <c r="K468" s="6">
        <v>0</v>
      </c>
      <c r="L468" s="6">
        <v>284.49299999999999</v>
      </c>
      <c r="M468" s="6">
        <v>284.49299999999999</v>
      </c>
      <c r="N468" s="6">
        <v>284.49299999999999</v>
      </c>
      <c r="O468" s="6">
        <v>284.49299999999999</v>
      </c>
      <c r="P468" s="6">
        <v>3</v>
      </c>
      <c r="Q468" s="4" t="s">
        <v>26</v>
      </c>
      <c r="R468" s="4">
        <v>0</v>
      </c>
      <c r="S468" s="6">
        <v>0</v>
      </c>
      <c r="T468" s="6">
        <v>19</v>
      </c>
      <c r="U468" s="6">
        <v>48</v>
      </c>
      <c r="V468" s="6">
        <f>IF(ISERROR(VLOOKUP($S$468,'TAR FIN'!$A$1:$O$85,15,0)),0,VLOOKUP($S$468,'TAR FIN'!$A$1:$O$85,15,0))</f>
        <v>0</v>
      </c>
      <c r="W468" s="6">
        <f>IF(ISERROR(VLOOKUP($T$468,'TAR FIN'!$A$1:$O$85,15,0)),0,VLOOKUP($T$468,'TAR FIN'!$A$1:$O$85,15,0))</f>
        <v>477.06</v>
      </c>
      <c r="X468" s="6">
        <f>IF(ISERROR(VLOOKUP($U$468,'TAR FIN'!$A$1:$O$85,15,0)),0,VLOOKUP($U$468,'TAR FIN'!$A$1:$O$85,15,0))</f>
        <v>132.16</v>
      </c>
      <c r="Y468" s="6"/>
      <c r="Z468" s="6">
        <f ca="1">('TUSD BE'!$AM$50+'TUSD BF'!$AM$50+'TUSD CVA'!$AM$50)*1</f>
        <v>540.13153629691044</v>
      </c>
      <c r="AA468" s="6">
        <f>('TE BE'!$AA$41+'TE BF'!$AA$41+'TE CVA'!$AA$41)*1</f>
        <v>181.90197473590149</v>
      </c>
      <c r="AB468" s="6">
        <f>$K$468*$V$468</f>
        <v>0</v>
      </c>
      <c r="AC468" s="6">
        <f>$M$468*$W$468</f>
        <v>135720.23058</v>
      </c>
      <c r="AD468" s="6">
        <f>$O$468*$X$468</f>
        <v>37598.594879999997</v>
      </c>
      <c r="AE468" s="6">
        <f>$K$468*$Y$468</f>
        <v>0</v>
      </c>
      <c r="AF468" s="6">
        <f ca="1">$M$468*$Z$468</f>
        <v>153663.64115571693</v>
      </c>
      <c r="AG468" s="6">
        <f>$O$468*$AA$468</f>
        <v>51749.838498540819</v>
      </c>
    </row>
    <row r="469" spans="1:33" ht="11.25" customHeight="1" x14ac:dyDescent="0.3">
      <c r="A469" s="4" t="s">
        <v>21</v>
      </c>
      <c r="B469" s="4" t="s">
        <v>46</v>
      </c>
      <c r="C469" s="4" t="s">
        <v>23</v>
      </c>
      <c r="D469" s="4" t="s">
        <v>47</v>
      </c>
      <c r="E469" s="4" t="s">
        <v>48</v>
      </c>
      <c r="F469" s="4" t="s">
        <v>25</v>
      </c>
      <c r="G469" s="4" t="s">
        <v>25</v>
      </c>
      <c r="H469" s="4" t="s">
        <v>25</v>
      </c>
      <c r="I469" s="5">
        <v>44440</v>
      </c>
      <c r="J469" s="6">
        <v>0</v>
      </c>
      <c r="K469" s="6">
        <v>0</v>
      </c>
      <c r="L469" s="6">
        <v>260.94600000000003</v>
      </c>
      <c r="M469" s="6">
        <v>260.94600000000003</v>
      </c>
      <c r="N469" s="6">
        <v>260.94600000000003</v>
      </c>
      <c r="O469" s="6">
        <v>260.94600000000003</v>
      </c>
      <c r="P469" s="6">
        <v>3</v>
      </c>
      <c r="Q469" s="4" t="s">
        <v>26</v>
      </c>
      <c r="R469" s="4">
        <v>0</v>
      </c>
      <c r="S469" s="6">
        <v>0</v>
      </c>
      <c r="T469" s="6">
        <v>19</v>
      </c>
      <c r="U469" s="6">
        <v>48</v>
      </c>
      <c r="V469" s="6">
        <f>IF(ISERROR(VLOOKUP($S$469,'TAR FIN'!$A$1:$O$85,15,0)),0,VLOOKUP($S$469,'TAR FIN'!$A$1:$O$85,15,0))</f>
        <v>0</v>
      </c>
      <c r="W469" s="6">
        <f>IF(ISERROR(VLOOKUP($T$469,'TAR FIN'!$A$1:$O$85,15,0)),0,VLOOKUP($T$469,'TAR FIN'!$A$1:$O$85,15,0))</f>
        <v>477.06</v>
      </c>
      <c r="X469" s="6">
        <f>IF(ISERROR(VLOOKUP($U$469,'TAR FIN'!$A$1:$O$85,15,0)),0,VLOOKUP($U$469,'TAR FIN'!$A$1:$O$85,15,0))</f>
        <v>132.16</v>
      </c>
      <c r="Y469" s="6"/>
      <c r="Z469" s="6">
        <f ca="1">('TUSD BE'!$AM$50+'TUSD BF'!$AM$50+'TUSD CVA'!$AM$50)*1</f>
        <v>540.13153629691044</v>
      </c>
      <c r="AA469" s="6">
        <f>('TE BE'!$AA$41+'TE BF'!$AA$41+'TE CVA'!$AA$41)*1</f>
        <v>181.90197473590149</v>
      </c>
      <c r="AB469" s="6">
        <f>$K$469*$V$469</f>
        <v>0</v>
      </c>
      <c r="AC469" s="6">
        <f>$M$469*$W$469</f>
        <v>124486.89876000001</v>
      </c>
      <c r="AD469" s="6">
        <f>$O$469*$X$469</f>
        <v>34486.623360000005</v>
      </c>
      <c r="AE469" s="6">
        <f>$K$469*$Y$469</f>
        <v>0</v>
      </c>
      <c r="AF469" s="6">
        <f ca="1">$M$469*$Z$469</f>
        <v>140945.16387053361</v>
      </c>
      <c r="AG469" s="6">
        <f>$O$469*$AA$469</f>
        <v>47466.592699434557</v>
      </c>
    </row>
    <row r="470" spans="1:33" ht="11.25" customHeight="1" x14ac:dyDescent="0.3">
      <c r="A470" s="4" t="s">
        <v>21</v>
      </c>
      <c r="B470" s="4" t="s">
        <v>46</v>
      </c>
      <c r="C470" s="4" t="s">
        <v>23</v>
      </c>
      <c r="D470" s="4" t="s">
        <v>47</v>
      </c>
      <c r="E470" s="4" t="s">
        <v>48</v>
      </c>
      <c r="F470" s="4" t="s">
        <v>25</v>
      </c>
      <c r="G470" s="4" t="s">
        <v>25</v>
      </c>
      <c r="H470" s="4" t="s">
        <v>25</v>
      </c>
      <c r="I470" s="5">
        <v>44470</v>
      </c>
      <c r="J470" s="6">
        <v>0</v>
      </c>
      <c r="K470" s="6">
        <v>0</v>
      </c>
      <c r="L470" s="6">
        <v>253.86</v>
      </c>
      <c r="M470" s="6">
        <v>253.86</v>
      </c>
      <c r="N470" s="6">
        <v>253.86</v>
      </c>
      <c r="O470" s="6">
        <v>253.86</v>
      </c>
      <c r="P470" s="6">
        <v>3</v>
      </c>
      <c r="Q470" s="4" t="s">
        <v>26</v>
      </c>
      <c r="R470" s="4">
        <v>0</v>
      </c>
      <c r="S470" s="6">
        <v>0</v>
      </c>
      <c r="T470" s="6">
        <v>19</v>
      </c>
      <c r="U470" s="6">
        <v>48</v>
      </c>
      <c r="V470" s="6">
        <f>IF(ISERROR(VLOOKUP($S$470,'TAR FIN'!$A$1:$O$85,15,0)),0,VLOOKUP($S$470,'TAR FIN'!$A$1:$O$85,15,0))</f>
        <v>0</v>
      </c>
      <c r="W470" s="6">
        <f>IF(ISERROR(VLOOKUP($T$470,'TAR FIN'!$A$1:$O$85,15,0)),0,VLOOKUP($T$470,'TAR FIN'!$A$1:$O$85,15,0))</f>
        <v>477.06</v>
      </c>
      <c r="X470" s="6">
        <f>IF(ISERROR(VLOOKUP($U$470,'TAR FIN'!$A$1:$O$85,15,0)),0,VLOOKUP($U$470,'TAR FIN'!$A$1:$O$85,15,0))</f>
        <v>132.16</v>
      </c>
      <c r="Y470" s="6"/>
      <c r="Z470" s="6">
        <f ca="1">('TUSD BE'!$AM$50+'TUSD BF'!$AM$50+'TUSD CVA'!$AM$50)*1</f>
        <v>540.13153629691044</v>
      </c>
      <c r="AA470" s="6">
        <f>('TE BE'!$AA$41+'TE BF'!$AA$41+'TE CVA'!$AA$41)*1</f>
        <v>181.90197473590149</v>
      </c>
      <c r="AB470" s="6">
        <f>$K$470*$V$470</f>
        <v>0</v>
      </c>
      <c r="AC470" s="6">
        <f>$M$470*$W$470</f>
        <v>121106.4516</v>
      </c>
      <c r="AD470" s="6">
        <f>$O$470*$X$470</f>
        <v>33550.137600000002</v>
      </c>
      <c r="AE470" s="6">
        <f>$K$470*$Y$470</f>
        <v>0</v>
      </c>
      <c r="AF470" s="6">
        <f ca="1">$M$470*$Z$470</f>
        <v>137117.79180433368</v>
      </c>
      <c r="AG470" s="6">
        <f>$O$470*$AA$470</f>
        <v>46177.635306455952</v>
      </c>
    </row>
    <row r="471" spans="1:33" ht="11.25" customHeight="1" x14ac:dyDescent="0.3">
      <c r="A471" s="4" t="s">
        <v>21</v>
      </c>
      <c r="B471" s="4" t="s">
        <v>46</v>
      </c>
      <c r="C471" s="4" t="s">
        <v>23</v>
      </c>
      <c r="D471" s="4" t="s">
        <v>47</v>
      </c>
      <c r="E471" s="4" t="s">
        <v>48</v>
      </c>
      <c r="F471" s="4" t="s">
        <v>25</v>
      </c>
      <c r="G471" s="4" t="s">
        <v>25</v>
      </c>
      <c r="H471" s="4" t="s">
        <v>25</v>
      </c>
      <c r="I471" s="5">
        <v>44501</v>
      </c>
      <c r="J471" s="6">
        <v>0</v>
      </c>
      <c r="K471" s="6">
        <v>0</v>
      </c>
      <c r="L471" s="6">
        <v>232.631</v>
      </c>
      <c r="M471" s="6">
        <v>232.631</v>
      </c>
      <c r="N471" s="6">
        <v>232.631</v>
      </c>
      <c r="O471" s="6">
        <v>232.631</v>
      </c>
      <c r="P471" s="6">
        <v>3</v>
      </c>
      <c r="Q471" s="4" t="s">
        <v>26</v>
      </c>
      <c r="R471" s="4">
        <v>0</v>
      </c>
      <c r="S471" s="6">
        <v>0</v>
      </c>
      <c r="T471" s="6">
        <v>19</v>
      </c>
      <c r="U471" s="6">
        <v>48</v>
      </c>
      <c r="V471" s="6">
        <f>IF(ISERROR(VLOOKUP($S$471,'TAR FIN'!$A$1:$O$85,15,0)),0,VLOOKUP($S$471,'TAR FIN'!$A$1:$O$85,15,0))</f>
        <v>0</v>
      </c>
      <c r="W471" s="6">
        <f>IF(ISERROR(VLOOKUP($T$471,'TAR FIN'!$A$1:$O$85,15,0)),0,VLOOKUP($T$471,'TAR FIN'!$A$1:$O$85,15,0))</f>
        <v>477.06</v>
      </c>
      <c r="X471" s="6">
        <f>IF(ISERROR(VLOOKUP($U$471,'TAR FIN'!$A$1:$O$85,15,0)),0,VLOOKUP($U$471,'TAR FIN'!$A$1:$O$85,15,0))</f>
        <v>132.16</v>
      </c>
      <c r="Y471" s="6"/>
      <c r="Z471" s="6">
        <f ca="1">('TUSD BE'!$AM$50+'TUSD BF'!$AM$50+'TUSD CVA'!$AM$50)*1</f>
        <v>540.13153629691044</v>
      </c>
      <c r="AA471" s="6">
        <f>('TE BE'!$AA$41+'TE BF'!$AA$41+'TE CVA'!$AA$41)*1</f>
        <v>181.90197473590149</v>
      </c>
      <c r="AB471" s="6">
        <f>$K$471*$V$471</f>
        <v>0</v>
      </c>
      <c r="AC471" s="6">
        <f>$M$471*$W$471</f>
        <v>110978.94486</v>
      </c>
      <c r="AD471" s="6">
        <f>$O$471*$X$471</f>
        <v>30744.51296</v>
      </c>
      <c r="AE471" s="6">
        <f>$K$471*$Y$471</f>
        <v>0</v>
      </c>
      <c r="AF471" s="6">
        <f ca="1">$M$471*$Z$471</f>
        <v>125651.33942028657</v>
      </c>
      <c r="AG471" s="6">
        <f>$O$471*$AA$471</f>
        <v>42316.038284787501</v>
      </c>
    </row>
    <row r="472" spans="1:33" ht="11.25" customHeight="1" x14ac:dyDescent="0.3">
      <c r="A472" s="4" t="s">
        <v>21</v>
      </c>
      <c r="B472" s="4" t="s">
        <v>46</v>
      </c>
      <c r="C472" s="4" t="s">
        <v>23</v>
      </c>
      <c r="D472" s="4" t="s">
        <v>47</v>
      </c>
      <c r="E472" s="4" t="s">
        <v>48</v>
      </c>
      <c r="F472" s="4" t="s">
        <v>25</v>
      </c>
      <c r="G472" s="4" t="s">
        <v>25</v>
      </c>
      <c r="H472" s="4" t="s">
        <v>25</v>
      </c>
      <c r="I472" s="5">
        <v>44531</v>
      </c>
      <c r="J472" s="6">
        <v>0</v>
      </c>
      <c r="K472" s="6">
        <v>0</v>
      </c>
      <c r="L472" s="6">
        <v>241.02600000000001</v>
      </c>
      <c r="M472" s="6">
        <v>241.02600000000001</v>
      </c>
      <c r="N472" s="6">
        <v>241.02600000000001</v>
      </c>
      <c r="O472" s="6">
        <v>241.02600000000001</v>
      </c>
      <c r="P472" s="6">
        <v>3</v>
      </c>
      <c r="Q472" s="4" t="s">
        <v>26</v>
      </c>
      <c r="R472" s="4">
        <v>0</v>
      </c>
      <c r="S472" s="6">
        <v>0</v>
      </c>
      <c r="T472" s="6">
        <v>19</v>
      </c>
      <c r="U472" s="6">
        <v>48</v>
      </c>
      <c r="V472" s="6">
        <f>IF(ISERROR(VLOOKUP($S$472,'TAR FIN'!$A$1:$O$85,15,0)),0,VLOOKUP($S$472,'TAR FIN'!$A$1:$O$85,15,0))</f>
        <v>0</v>
      </c>
      <c r="W472" s="6">
        <f>IF(ISERROR(VLOOKUP($T$472,'TAR FIN'!$A$1:$O$85,15,0)),0,VLOOKUP($T$472,'TAR FIN'!$A$1:$O$85,15,0))</f>
        <v>477.06</v>
      </c>
      <c r="X472" s="6">
        <f>IF(ISERROR(VLOOKUP($U$472,'TAR FIN'!$A$1:$O$85,15,0)),0,VLOOKUP($U$472,'TAR FIN'!$A$1:$O$85,15,0))</f>
        <v>132.16</v>
      </c>
      <c r="Y472" s="6"/>
      <c r="Z472" s="6">
        <f ca="1">('TUSD BE'!$AM$50+'TUSD BF'!$AM$50+'TUSD CVA'!$AM$50)*1</f>
        <v>540.13153629691044</v>
      </c>
      <c r="AA472" s="6">
        <f>('TE BE'!$AA$41+'TE BF'!$AA$41+'TE CVA'!$AA$41)*1</f>
        <v>181.90197473590149</v>
      </c>
      <c r="AB472" s="6">
        <f>$K$472*$V$472</f>
        <v>0</v>
      </c>
      <c r="AC472" s="6">
        <f>$M$472*$W$472</f>
        <v>114983.86356000001</v>
      </c>
      <c r="AD472" s="6">
        <f>$O$472*$X$472</f>
        <v>31853.996159999999</v>
      </c>
      <c r="AE472" s="6">
        <f>$K$472*$Y$472</f>
        <v>0</v>
      </c>
      <c r="AF472" s="6">
        <f ca="1">$M$472*$Z$472</f>
        <v>130185.74366749915</v>
      </c>
      <c r="AG472" s="6">
        <f>$O$472*$AA$472</f>
        <v>43843.105362695394</v>
      </c>
    </row>
    <row r="473" spans="1:33" ht="11.25" customHeight="1" x14ac:dyDescent="0.3">
      <c r="A473" s="4" t="s">
        <v>21</v>
      </c>
      <c r="B473" s="4" t="s">
        <v>46</v>
      </c>
      <c r="C473" s="4" t="s">
        <v>23</v>
      </c>
      <c r="D473" s="4" t="s">
        <v>47</v>
      </c>
      <c r="E473" s="4" t="s">
        <v>48</v>
      </c>
      <c r="F473" s="4" t="s">
        <v>25</v>
      </c>
      <c r="G473" s="4" t="s">
        <v>25</v>
      </c>
      <c r="H473" s="4" t="s">
        <v>25</v>
      </c>
      <c r="I473" s="5">
        <v>44562</v>
      </c>
      <c r="J473" s="6">
        <v>0</v>
      </c>
      <c r="K473" s="6">
        <v>0</v>
      </c>
      <c r="L473" s="6">
        <v>244.99600000000001</v>
      </c>
      <c r="M473" s="6">
        <v>244.99600000000001</v>
      </c>
      <c r="N473" s="6">
        <v>244.99600000000001</v>
      </c>
      <c r="O473" s="6">
        <v>244.99600000000001</v>
      </c>
      <c r="P473" s="6">
        <v>3</v>
      </c>
      <c r="Q473" s="4" t="s">
        <v>26</v>
      </c>
      <c r="R473" s="4">
        <v>0</v>
      </c>
      <c r="S473" s="6">
        <v>0</v>
      </c>
      <c r="T473" s="6">
        <v>19</v>
      </c>
      <c r="U473" s="6">
        <v>48</v>
      </c>
      <c r="V473" s="6">
        <f>IF(ISERROR(VLOOKUP($S$473,'TAR FIN'!$A$1:$O$85,15,0)),0,VLOOKUP($S$473,'TAR FIN'!$A$1:$O$85,15,0))</f>
        <v>0</v>
      </c>
      <c r="W473" s="6">
        <f>IF(ISERROR(VLOOKUP($T$473,'TAR FIN'!$A$1:$O$85,15,0)),0,VLOOKUP($T$473,'TAR FIN'!$A$1:$O$85,15,0))</f>
        <v>477.06</v>
      </c>
      <c r="X473" s="6">
        <f>IF(ISERROR(VLOOKUP($U$473,'TAR FIN'!$A$1:$O$85,15,0)),0,VLOOKUP($U$473,'TAR FIN'!$A$1:$O$85,15,0))</f>
        <v>132.16</v>
      </c>
      <c r="Y473" s="6"/>
      <c r="Z473" s="6">
        <f ca="1">('TUSD BE'!$AM$50+'TUSD BF'!$AM$50+'TUSD CVA'!$AM$50)*1</f>
        <v>540.13153629691044</v>
      </c>
      <c r="AA473" s="6">
        <f>('TE BE'!$AA$41+'TE BF'!$AA$41+'TE CVA'!$AA$41)*1</f>
        <v>181.90197473590149</v>
      </c>
      <c r="AB473" s="6">
        <f>$K$473*$V$473</f>
        <v>0</v>
      </c>
      <c r="AC473" s="6">
        <f>$M$473*$W$473</f>
        <v>116877.79176000001</v>
      </c>
      <c r="AD473" s="6">
        <f>$O$473*$X$473</f>
        <v>32378.67136</v>
      </c>
      <c r="AE473" s="6">
        <f>$K$473*$Y$473</f>
        <v>0</v>
      </c>
      <c r="AF473" s="6">
        <f ca="1">$M$473*$Z$473</f>
        <v>132330.06586659787</v>
      </c>
      <c r="AG473" s="6">
        <f>$O$473*$AA$473</f>
        <v>44565.256202396922</v>
      </c>
    </row>
    <row r="474" spans="1:33" ht="11.25" customHeight="1" x14ac:dyDescent="0.3">
      <c r="A474" s="4" t="s">
        <v>21</v>
      </c>
      <c r="B474" s="4" t="s">
        <v>46</v>
      </c>
      <c r="C474" s="4" t="s">
        <v>23</v>
      </c>
      <c r="D474" s="4" t="s">
        <v>47</v>
      </c>
      <c r="E474" s="4" t="s">
        <v>48</v>
      </c>
      <c r="F474" s="4" t="s">
        <v>25</v>
      </c>
      <c r="G474" s="4" t="s">
        <v>25</v>
      </c>
      <c r="H474" s="4" t="s">
        <v>25</v>
      </c>
      <c r="I474" s="5">
        <v>44593</v>
      </c>
      <c r="J474" s="6">
        <v>0</v>
      </c>
      <c r="K474" s="6">
        <v>0</v>
      </c>
      <c r="L474" s="6">
        <v>232.03800000000001</v>
      </c>
      <c r="M474" s="6">
        <v>232.03800000000001</v>
      </c>
      <c r="N474" s="6">
        <v>232.03800000000001</v>
      </c>
      <c r="O474" s="6">
        <v>232.03800000000001</v>
      </c>
      <c r="P474" s="6">
        <v>3</v>
      </c>
      <c r="Q474" s="4" t="s">
        <v>26</v>
      </c>
      <c r="R474" s="4">
        <v>0</v>
      </c>
      <c r="S474" s="6">
        <v>0</v>
      </c>
      <c r="T474" s="6">
        <v>19</v>
      </c>
      <c r="U474" s="6">
        <v>48</v>
      </c>
      <c r="V474" s="6">
        <f>IF(ISERROR(VLOOKUP($S$474,'TAR FIN'!$A$1:$O$85,15,0)),0,VLOOKUP($S$474,'TAR FIN'!$A$1:$O$85,15,0))</f>
        <v>0</v>
      </c>
      <c r="W474" s="6">
        <f>IF(ISERROR(VLOOKUP($T$474,'TAR FIN'!$A$1:$O$85,15,0)),0,VLOOKUP($T$474,'TAR FIN'!$A$1:$O$85,15,0))</f>
        <v>477.06</v>
      </c>
      <c r="X474" s="6">
        <f>IF(ISERROR(VLOOKUP($U$474,'TAR FIN'!$A$1:$O$85,15,0)),0,VLOOKUP($U$474,'TAR FIN'!$A$1:$O$85,15,0))</f>
        <v>132.16</v>
      </c>
      <c r="Y474" s="6"/>
      <c r="Z474" s="6">
        <f ca="1">('TUSD BE'!$AM$50+'TUSD BF'!$AM$50+'TUSD CVA'!$AM$50)*1</f>
        <v>540.13153629691044</v>
      </c>
      <c r="AA474" s="6">
        <f>('TE BE'!$AA$41+'TE BF'!$AA$41+'TE CVA'!$AA$41)*1</f>
        <v>181.90197473590149</v>
      </c>
      <c r="AB474" s="6">
        <f>$K$474*$V$474</f>
        <v>0</v>
      </c>
      <c r="AC474" s="6">
        <f>$M$474*$W$474</f>
        <v>110696.04828</v>
      </c>
      <c r="AD474" s="6">
        <f>$O$474*$X$474</f>
        <v>30666.142080000001</v>
      </c>
      <c r="AE474" s="6">
        <f>$K$474*$Y$474</f>
        <v>0</v>
      </c>
      <c r="AF474" s="6">
        <f ca="1">$M$474*$Z$474</f>
        <v>125331.04141926252</v>
      </c>
      <c r="AG474" s="6">
        <f>$O$474*$AA$474</f>
        <v>42208.170413769112</v>
      </c>
    </row>
    <row r="475" spans="1:33" ht="11.25" customHeight="1" x14ac:dyDescent="0.3">
      <c r="A475" s="4" t="s">
        <v>21</v>
      </c>
      <c r="B475" s="4" t="s">
        <v>46</v>
      </c>
      <c r="C475" s="4" t="s">
        <v>23</v>
      </c>
      <c r="D475" s="4" t="s">
        <v>47</v>
      </c>
      <c r="E475" s="4" t="s">
        <v>48</v>
      </c>
      <c r="F475" s="4" t="s">
        <v>25</v>
      </c>
      <c r="G475" s="4" t="s">
        <v>25</v>
      </c>
      <c r="H475" s="4" t="s">
        <v>25</v>
      </c>
      <c r="I475" s="5">
        <v>44621</v>
      </c>
      <c r="J475" s="6">
        <v>0</v>
      </c>
      <c r="K475" s="6">
        <v>0</v>
      </c>
      <c r="L475" s="6">
        <v>271.97899999999998</v>
      </c>
      <c r="M475" s="6">
        <v>271.97899999999998</v>
      </c>
      <c r="N475" s="6">
        <v>271.97899999999998</v>
      </c>
      <c r="O475" s="6">
        <v>271.97899999999998</v>
      </c>
      <c r="P475" s="6">
        <v>3</v>
      </c>
      <c r="Q475" s="4" t="s">
        <v>26</v>
      </c>
      <c r="R475" s="4">
        <v>0</v>
      </c>
      <c r="S475" s="6">
        <v>0</v>
      </c>
      <c r="T475" s="6">
        <v>19</v>
      </c>
      <c r="U475" s="6">
        <v>48</v>
      </c>
      <c r="V475" s="6">
        <f>IF(ISERROR(VLOOKUP($S$475,'TAR FIN'!$A$1:$O$85,15,0)),0,VLOOKUP($S$475,'TAR FIN'!$A$1:$O$85,15,0))</f>
        <v>0</v>
      </c>
      <c r="W475" s="6">
        <f>IF(ISERROR(VLOOKUP($T$475,'TAR FIN'!$A$1:$O$85,15,0)),0,VLOOKUP($T$475,'TAR FIN'!$A$1:$O$85,15,0))</f>
        <v>477.06</v>
      </c>
      <c r="X475" s="6">
        <f>IF(ISERROR(VLOOKUP($U$475,'TAR FIN'!$A$1:$O$85,15,0)),0,VLOOKUP($U$475,'TAR FIN'!$A$1:$O$85,15,0))</f>
        <v>132.16</v>
      </c>
      <c r="Y475" s="6"/>
      <c r="Z475" s="6">
        <f ca="1">('TUSD BE'!$AM$50+'TUSD BF'!$AM$50+'TUSD CVA'!$AM$50)*1</f>
        <v>540.13153629691044</v>
      </c>
      <c r="AA475" s="6">
        <f>('TE BE'!$AA$41+'TE BF'!$AA$41+'TE CVA'!$AA$41)*1</f>
        <v>181.90197473590149</v>
      </c>
      <c r="AB475" s="6">
        <f>$K$475*$V$475</f>
        <v>0</v>
      </c>
      <c r="AC475" s="6">
        <f>$M$475*$W$475</f>
        <v>129750.30174</v>
      </c>
      <c r="AD475" s="6">
        <f>$O$475*$X$475</f>
        <v>35944.744639999997</v>
      </c>
      <c r="AE475" s="6">
        <f>$K$475*$Y$475</f>
        <v>0</v>
      </c>
      <c r="AF475" s="6">
        <f ca="1">$M$475*$Z$475</f>
        <v>146904.4351104974</v>
      </c>
      <c r="AG475" s="6">
        <f>$O$475*$AA$475</f>
        <v>49473.517186695746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2935-7393-4D45-A29D-A8770F05176F}">
  <dimension ref="A1:AJ476"/>
  <sheetViews>
    <sheetView showGridLines="0" topLeftCell="AD1" workbookViewId="0">
      <selection sqref="A1:AF211"/>
    </sheetView>
  </sheetViews>
  <sheetFormatPr defaultColWidth="9.109375" defaultRowHeight="11.25" customHeight="1" x14ac:dyDescent="0.3"/>
  <cols>
    <col min="1" max="1" width="19.109375" style="4" bestFit="1" customWidth="1"/>
    <col min="2" max="2" width="13.33203125" style="4" bestFit="1" customWidth="1"/>
    <col min="3" max="3" width="14.5546875" style="4" bestFit="1" customWidth="1"/>
    <col min="4" max="4" width="11.5546875" style="4" bestFit="1" customWidth="1"/>
    <col min="5" max="5" width="25.109375" style="4" bestFit="1" customWidth="1"/>
    <col min="6" max="6" width="12.88671875" style="4" bestFit="1" customWidth="1"/>
    <col min="7" max="7" width="11.33203125" style="4" bestFit="1" customWidth="1"/>
    <col min="8" max="8" width="10.33203125" style="4" bestFit="1" customWidth="1"/>
    <col min="9" max="9" width="12.109375" style="5" bestFit="1" customWidth="1"/>
    <col min="10" max="10" width="6.5546875" style="6" bestFit="1" customWidth="1"/>
    <col min="11" max="11" width="7.88671875" style="6" bestFit="1" customWidth="1"/>
    <col min="12" max="12" width="11.33203125" style="6" bestFit="1" customWidth="1"/>
    <col min="13" max="13" width="12.5546875" style="6" bestFit="1" customWidth="1"/>
    <col min="14" max="14" width="9.109375" style="6" bestFit="1" customWidth="1"/>
    <col min="15" max="15" width="10.44140625" style="6" bestFit="1" customWidth="1"/>
    <col min="16" max="16" width="7.6640625" style="6" bestFit="1" customWidth="1"/>
    <col min="17" max="17" width="11.109375" style="4" bestFit="1" customWidth="1"/>
    <col min="18" max="18" width="13.109375" style="4" bestFit="1" customWidth="1"/>
    <col min="19" max="19" width="23" style="4" bestFit="1" customWidth="1"/>
    <col min="20" max="20" width="24.44140625" style="4" bestFit="1" customWidth="1"/>
    <col min="21" max="21" width="22.33203125" style="4" bestFit="1" customWidth="1"/>
    <col min="22" max="22" width="15.88671875" style="4" bestFit="1" customWidth="1"/>
    <col min="23" max="23" width="17.33203125" style="4" bestFit="1" customWidth="1"/>
    <col min="24" max="24" width="15.109375" style="4" bestFit="1" customWidth="1"/>
    <col min="25" max="25" width="20.88671875" style="4" bestFit="1" customWidth="1"/>
    <col min="26" max="26" width="22.44140625" style="4" bestFit="1" customWidth="1"/>
    <col min="27" max="27" width="20.109375" style="4" bestFit="1" customWidth="1"/>
    <col min="28" max="28" width="19.109375" style="4" bestFit="1" customWidth="1"/>
    <col min="29" max="29" width="20.5546875" style="4" bestFit="1" customWidth="1"/>
    <col min="30" max="30" width="19" style="4" bestFit="1" customWidth="1"/>
    <col min="31" max="31" width="20.44140625" style="4" bestFit="1" customWidth="1"/>
    <col min="32" max="32" width="32.109375" style="4" bestFit="1" customWidth="1"/>
    <col min="33" max="33" width="9.109375" style="4"/>
    <col min="34" max="34" width="32.109375" style="4" bestFit="1" customWidth="1"/>
    <col min="35" max="36" width="7.88671875" style="4" bestFit="1" customWidth="1"/>
    <col min="37" max="16384" width="9.109375" style="4"/>
  </cols>
  <sheetData>
    <row r="1" spans="1:36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H1" s="52" t="s">
        <v>665</v>
      </c>
      <c r="AI1" s="52" t="s">
        <v>670</v>
      </c>
      <c r="AJ1" s="52" t="s">
        <v>671</v>
      </c>
    </row>
    <row r="2" spans="1:36" ht="11.25" customHeight="1" x14ac:dyDescent="0.3">
      <c r="A2" s="4" t="s">
        <v>21</v>
      </c>
      <c r="B2" s="4" t="s">
        <v>37</v>
      </c>
      <c r="C2" s="4" t="s">
        <v>38</v>
      </c>
      <c r="D2" s="4" t="s">
        <v>44</v>
      </c>
      <c r="E2" s="4" t="s">
        <v>52</v>
      </c>
      <c r="F2" s="4" t="s">
        <v>54</v>
      </c>
      <c r="G2" s="4" t="s">
        <v>25</v>
      </c>
      <c r="H2" s="4" t="s">
        <v>34</v>
      </c>
      <c r="I2" s="5">
        <v>44287</v>
      </c>
      <c r="J2" s="6">
        <v>0</v>
      </c>
      <c r="K2" s="6">
        <v>0</v>
      </c>
      <c r="L2" s="6">
        <v>5.9349999999999996</v>
      </c>
      <c r="M2" s="6">
        <v>1.7805</v>
      </c>
      <c r="N2" s="6">
        <v>5.9349999999999996</v>
      </c>
      <c r="O2" s="6">
        <v>1.7805</v>
      </c>
      <c r="P2" s="6">
        <v>0</v>
      </c>
      <c r="Q2" s="4" t="s">
        <v>26</v>
      </c>
      <c r="R2" s="4">
        <v>0</v>
      </c>
      <c r="S2" s="4">
        <v>0</v>
      </c>
      <c r="T2" s="4">
        <v>2</v>
      </c>
      <c r="U2" s="4">
        <v>74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93.48</v>
      </c>
      <c r="X2" s="6">
        <f>IF(ISERROR(VLOOKUP($U$2,'TAR FIN'!$A$1:$O$85,15,0)),0,VLOOKUP($U$2,'TAR FIN'!$A$1:$O$85,15,0))</f>
        <v>240.29</v>
      </c>
      <c r="Y2" s="6"/>
      <c r="Z2" s="6">
        <f ca="1">('TUSD BE'!$AM$12+'TUSD BF'!$AM$12+'TUSD CVA'!$AM$12)*1</f>
        <v>133.17611987332398</v>
      </c>
      <c r="AA2" s="6">
        <f>('TE BE'!$AA$6+'TE BF'!$AA$6+'TE CVA'!$AA$6)*1</f>
        <v>330.73086315618451</v>
      </c>
      <c r="AB2" s="6">
        <f t="shared" ref="AB2:AB13" si="0">(J2-K2)*V2</f>
        <v>0</v>
      </c>
      <c r="AC2" s="6">
        <f t="shared" ref="AC2:AC13" si="1">(L2-M2)*W2+(N2-O2)*X2</f>
        <v>1386.647465</v>
      </c>
      <c r="AD2" s="6">
        <f t="shared" ref="AD2:AD13" si="2">(J2-K2)*Y2</f>
        <v>0</v>
      </c>
      <c r="AE2" s="6">
        <f t="shared" ref="AE2:AE13" ca="1" si="3">(L2-M2)*Z2+(N2-O2)*AA2</f>
        <v>1927.3015609960928</v>
      </c>
      <c r="AF2" s="4" t="s">
        <v>667</v>
      </c>
      <c r="AH2" s="53" t="s">
        <v>672</v>
      </c>
      <c r="AI2" s="54">
        <f t="shared" ref="AI2:AI9" si="4">SUMIF($AF$2:$AF$476,AH2,$AB$2:$AB$476)+SUMIF($AF$2:$AF$476,AH2,$AC$2:$AC$476)</f>
        <v>0</v>
      </c>
      <c r="AJ2" s="54">
        <f t="shared" ref="AJ2:AJ9" si="5">SUMIF($AF$2:$AF$476,AH2,$AD$2:$AD$476)+SUMIF($AF$2:$AF$476,AH2,$AE$2:$AE$476)</f>
        <v>0</v>
      </c>
    </row>
    <row r="3" spans="1:36" ht="11.25" customHeight="1" x14ac:dyDescent="0.3">
      <c r="A3" s="4" t="s">
        <v>21</v>
      </c>
      <c r="B3" s="4" t="s">
        <v>37</v>
      </c>
      <c r="C3" s="4" t="s">
        <v>38</v>
      </c>
      <c r="D3" s="4" t="s">
        <v>44</v>
      </c>
      <c r="E3" s="4" t="s">
        <v>52</v>
      </c>
      <c r="F3" s="4" t="s">
        <v>54</v>
      </c>
      <c r="G3" s="4" t="s">
        <v>25</v>
      </c>
      <c r="H3" s="4" t="s">
        <v>34</v>
      </c>
      <c r="I3" s="5">
        <v>44317</v>
      </c>
      <c r="J3" s="6">
        <v>0</v>
      </c>
      <c r="K3" s="6">
        <v>0</v>
      </c>
      <c r="L3" s="6">
        <v>2.78</v>
      </c>
      <c r="M3" s="6">
        <v>0.83399999999999996</v>
      </c>
      <c r="N3" s="6">
        <v>2.78</v>
      </c>
      <c r="O3" s="6">
        <v>0.83399999999999996</v>
      </c>
      <c r="P3" s="6">
        <v>0</v>
      </c>
      <c r="Q3" s="4" t="s">
        <v>26</v>
      </c>
      <c r="R3" s="4">
        <v>0</v>
      </c>
      <c r="S3" s="4">
        <v>0</v>
      </c>
      <c r="T3" s="4">
        <v>2</v>
      </c>
      <c r="U3" s="4">
        <v>74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93.48</v>
      </c>
      <c r="X3" s="6">
        <f>IF(ISERROR(VLOOKUP($U$3,'TAR FIN'!$A$1:$O$85,15,0)),0,VLOOKUP($U$3,'TAR FIN'!$A$1:$O$85,15,0))</f>
        <v>240.29</v>
      </c>
      <c r="Y3" s="6"/>
      <c r="Z3" s="6">
        <f ca="1">('TUSD BE'!$AM$12+'TUSD BF'!$AM$12+'TUSD CVA'!$AM$12)*1</f>
        <v>133.17611987332398</v>
      </c>
      <c r="AA3" s="6">
        <f>('TE BE'!$AA$6+'TE BF'!$AA$6+'TE CVA'!$AA$6)*1</f>
        <v>330.73086315618451</v>
      </c>
      <c r="AB3" s="6">
        <f t="shared" si="0"/>
        <v>0</v>
      </c>
      <c r="AC3" s="6">
        <f t="shared" si="1"/>
        <v>649.51641999999993</v>
      </c>
      <c r="AD3" s="6">
        <f t="shared" si="2"/>
        <v>0</v>
      </c>
      <c r="AE3" s="6">
        <f t="shared" ca="1" si="3"/>
        <v>902.76298897542335</v>
      </c>
      <c r="AF3" s="4" t="s">
        <v>667</v>
      </c>
      <c r="AH3" s="53" t="s">
        <v>673</v>
      </c>
      <c r="AI3" s="54">
        <f t="shared" si="4"/>
        <v>0</v>
      </c>
      <c r="AJ3" s="54">
        <f t="shared" si="5"/>
        <v>0</v>
      </c>
    </row>
    <row r="4" spans="1:36" ht="11.25" customHeight="1" x14ac:dyDescent="0.3">
      <c r="A4" s="4" t="s">
        <v>21</v>
      </c>
      <c r="B4" s="4" t="s">
        <v>37</v>
      </c>
      <c r="C4" s="4" t="s">
        <v>38</v>
      </c>
      <c r="D4" s="4" t="s">
        <v>44</v>
      </c>
      <c r="E4" s="4" t="s">
        <v>52</v>
      </c>
      <c r="F4" s="4" t="s">
        <v>54</v>
      </c>
      <c r="G4" s="4" t="s">
        <v>25</v>
      </c>
      <c r="H4" s="4" t="s">
        <v>34</v>
      </c>
      <c r="I4" s="5">
        <v>44348</v>
      </c>
      <c r="J4" s="6">
        <v>0</v>
      </c>
      <c r="K4" s="6">
        <v>0</v>
      </c>
      <c r="L4" s="6">
        <v>5.0410000000000004</v>
      </c>
      <c r="M4" s="6">
        <v>1.5123</v>
      </c>
      <c r="N4" s="6">
        <v>5.0410000000000004</v>
      </c>
      <c r="O4" s="6">
        <v>1.5123</v>
      </c>
      <c r="P4" s="6">
        <v>0</v>
      </c>
      <c r="Q4" s="4" t="s">
        <v>26</v>
      </c>
      <c r="R4" s="4">
        <v>0</v>
      </c>
      <c r="S4" s="4">
        <v>0</v>
      </c>
      <c r="T4" s="4">
        <v>2</v>
      </c>
      <c r="U4" s="4">
        <v>74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93.48</v>
      </c>
      <c r="X4" s="6">
        <f>IF(ISERROR(VLOOKUP($U$4,'TAR FIN'!$A$1:$O$85,15,0)),0,VLOOKUP($U$4,'TAR FIN'!$A$1:$O$85,15,0))</f>
        <v>240.29</v>
      </c>
      <c r="Y4" s="6"/>
      <c r="Z4" s="6">
        <f ca="1">('TUSD BE'!$AM$12+'TUSD BF'!$AM$12+'TUSD CVA'!$AM$12)*1</f>
        <v>133.17611987332398</v>
      </c>
      <c r="AA4" s="6">
        <f>('TE BE'!$AA$6+'TE BF'!$AA$6+'TE CVA'!$AA$6)*1</f>
        <v>330.73086315618451</v>
      </c>
      <c r="AB4" s="6">
        <f t="shared" si="0"/>
        <v>0</v>
      </c>
      <c r="AC4" s="6">
        <f t="shared" si="1"/>
        <v>1177.7741990000002</v>
      </c>
      <c r="AD4" s="6">
        <f t="shared" si="2"/>
        <v>0</v>
      </c>
      <c r="AE4" s="6">
        <f t="shared" ca="1" si="3"/>
        <v>1636.9885710162268</v>
      </c>
      <c r="AF4" s="4" t="s">
        <v>667</v>
      </c>
      <c r="AH4" s="53" t="s">
        <v>674</v>
      </c>
      <c r="AI4" s="54">
        <f t="shared" si="4"/>
        <v>0</v>
      </c>
      <c r="AJ4" s="54">
        <f t="shared" si="5"/>
        <v>0</v>
      </c>
    </row>
    <row r="5" spans="1:36" ht="11.25" customHeight="1" x14ac:dyDescent="0.3">
      <c r="A5" s="4" t="s">
        <v>21</v>
      </c>
      <c r="B5" s="4" t="s">
        <v>37</v>
      </c>
      <c r="C5" s="4" t="s">
        <v>38</v>
      </c>
      <c r="D5" s="4" t="s">
        <v>44</v>
      </c>
      <c r="E5" s="4" t="s">
        <v>52</v>
      </c>
      <c r="F5" s="4" t="s">
        <v>54</v>
      </c>
      <c r="G5" s="4" t="s">
        <v>25</v>
      </c>
      <c r="H5" s="4" t="s">
        <v>34</v>
      </c>
      <c r="I5" s="5">
        <v>44378</v>
      </c>
      <c r="J5" s="6">
        <v>0</v>
      </c>
      <c r="K5" s="6">
        <v>0</v>
      </c>
      <c r="L5" s="6">
        <v>13.784000000000001</v>
      </c>
      <c r="M5" s="6">
        <v>4.1352000000000002</v>
      </c>
      <c r="N5" s="6">
        <v>13.784000000000001</v>
      </c>
      <c r="O5" s="6">
        <v>4.1352000000000002</v>
      </c>
      <c r="P5" s="6">
        <v>0</v>
      </c>
      <c r="Q5" s="4" t="s">
        <v>26</v>
      </c>
      <c r="R5" s="4">
        <v>0</v>
      </c>
      <c r="S5" s="4">
        <v>0</v>
      </c>
      <c r="T5" s="4">
        <v>2</v>
      </c>
      <c r="U5" s="4">
        <v>74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93.48</v>
      </c>
      <c r="X5" s="6">
        <f>IF(ISERROR(VLOOKUP($U$5,'TAR FIN'!$A$1:$O$85,15,0)),0,VLOOKUP($U$5,'TAR FIN'!$A$1:$O$85,15,0))</f>
        <v>240.29</v>
      </c>
      <c r="Y5" s="6"/>
      <c r="Z5" s="6">
        <f ca="1">('TUSD BE'!$AM$12+'TUSD BF'!$AM$12+'TUSD CVA'!$AM$12)*1</f>
        <v>133.17611987332398</v>
      </c>
      <c r="AA5" s="6">
        <f>('TE BE'!$AA$6+'TE BF'!$AA$6+'TE CVA'!$AA$6)*1</f>
        <v>330.73086315618451</v>
      </c>
      <c r="AB5" s="6">
        <f t="shared" si="0"/>
        <v>0</v>
      </c>
      <c r="AC5" s="6">
        <f t="shared" si="1"/>
        <v>3220.4799760000005</v>
      </c>
      <c r="AD5" s="6">
        <f t="shared" si="2"/>
        <v>0</v>
      </c>
      <c r="AE5" s="6">
        <f t="shared" ca="1" si="3"/>
        <v>4476.1456978551223</v>
      </c>
      <c r="AF5" s="4" t="s">
        <v>667</v>
      </c>
      <c r="AH5" s="53" t="s">
        <v>668</v>
      </c>
      <c r="AI5" s="54">
        <f t="shared" si="4"/>
        <v>24993.0801684</v>
      </c>
      <c r="AJ5" s="54">
        <f t="shared" ca="1" si="5"/>
        <v>14872.385762124717</v>
      </c>
    </row>
    <row r="6" spans="1:36" ht="11.25" customHeight="1" x14ac:dyDescent="0.3">
      <c r="A6" s="4" t="s">
        <v>21</v>
      </c>
      <c r="B6" s="4" t="s">
        <v>37</v>
      </c>
      <c r="C6" s="4" t="s">
        <v>38</v>
      </c>
      <c r="D6" s="4" t="s">
        <v>44</v>
      </c>
      <c r="E6" s="4" t="s">
        <v>52</v>
      </c>
      <c r="F6" s="4" t="s">
        <v>54</v>
      </c>
      <c r="G6" s="4" t="s">
        <v>25</v>
      </c>
      <c r="H6" s="4" t="s">
        <v>34</v>
      </c>
      <c r="I6" s="5">
        <v>44409</v>
      </c>
      <c r="J6" s="6">
        <v>0</v>
      </c>
      <c r="K6" s="6">
        <v>0</v>
      </c>
      <c r="L6" s="6">
        <v>14.56</v>
      </c>
      <c r="M6" s="6">
        <v>4.3680000000000003</v>
      </c>
      <c r="N6" s="6">
        <v>14.56</v>
      </c>
      <c r="O6" s="6">
        <v>4.3680000000000003</v>
      </c>
      <c r="P6" s="6">
        <v>0</v>
      </c>
      <c r="Q6" s="4" t="s">
        <v>26</v>
      </c>
      <c r="R6" s="4">
        <v>0</v>
      </c>
      <c r="S6" s="4">
        <v>0</v>
      </c>
      <c r="T6" s="4">
        <v>2</v>
      </c>
      <c r="U6" s="4">
        <v>74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93.48</v>
      </c>
      <c r="X6" s="6">
        <f>IF(ISERROR(VLOOKUP($U$6,'TAR FIN'!$A$1:$O$85,15,0)),0,VLOOKUP($U$6,'TAR FIN'!$A$1:$O$85,15,0))</f>
        <v>240.29</v>
      </c>
      <c r="Y6" s="6"/>
      <c r="Z6" s="6">
        <f ca="1">('TUSD BE'!$AM$12+'TUSD BF'!$AM$12+'TUSD CVA'!$AM$12)*1</f>
        <v>133.17611987332398</v>
      </c>
      <c r="AA6" s="6">
        <f>('TE BE'!$AA$6+'TE BF'!$AA$6+'TE CVA'!$AA$6)*1</f>
        <v>330.73086315618451</v>
      </c>
      <c r="AB6" s="6">
        <f t="shared" si="0"/>
        <v>0</v>
      </c>
      <c r="AC6" s="6">
        <f t="shared" si="1"/>
        <v>3401.7838400000001</v>
      </c>
      <c r="AD6" s="6">
        <f t="shared" si="2"/>
        <v>0</v>
      </c>
      <c r="AE6" s="6">
        <f t="shared" ca="1" si="3"/>
        <v>4728.1399710367505</v>
      </c>
      <c r="AF6" s="4" t="s">
        <v>667</v>
      </c>
      <c r="AH6" s="53" t="s">
        <v>666</v>
      </c>
      <c r="AI6" s="54">
        <f t="shared" si="4"/>
        <v>91291.581697200061</v>
      </c>
      <c r="AJ6" s="54">
        <f t="shared" ca="1" si="5"/>
        <v>53889.910076067201</v>
      </c>
    </row>
    <row r="7" spans="1:36" ht="11.25" customHeight="1" x14ac:dyDescent="0.3">
      <c r="A7" s="4" t="s">
        <v>21</v>
      </c>
      <c r="B7" s="4" t="s">
        <v>37</v>
      </c>
      <c r="C7" s="4" t="s">
        <v>38</v>
      </c>
      <c r="D7" s="4" t="s">
        <v>44</v>
      </c>
      <c r="E7" s="4" t="s">
        <v>52</v>
      </c>
      <c r="F7" s="4" t="s">
        <v>54</v>
      </c>
      <c r="G7" s="4" t="s">
        <v>25</v>
      </c>
      <c r="H7" s="4" t="s">
        <v>34</v>
      </c>
      <c r="I7" s="5">
        <v>44440</v>
      </c>
      <c r="J7" s="6">
        <v>0</v>
      </c>
      <c r="K7" s="6">
        <v>0</v>
      </c>
      <c r="L7" s="6">
        <v>13.875</v>
      </c>
      <c r="M7" s="6">
        <v>4.1624999999999996</v>
      </c>
      <c r="N7" s="6">
        <v>13.875</v>
      </c>
      <c r="O7" s="6">
        <v>4.1624999999999996</v>
      </c>
      <c r="P7" s="6">
        <v>0</v>
      </c>
      <c r="Q7" s="4" t="s">
        <v>26</v>
      </c>
      <c r="R7" s="4">
        <v>0</v>
      </c>
      <c r="S7" s="4">
        <v>0</v>
      </c>
      <c r="T7" s="4">
        <v>2</v>
      </c>
      <c r="U7" s="4">
        <v>74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93.48</v>
      </c>
      <c r="X7" s="6">
        <f>IF(ISERROR(VLOOKUP($U$7,'TAR FIN'!$A$1:$O$85,15,0)),0,VLOOKUP($U$7,'TAR FIN'!$A$1:$O$85,15,0))</f>
        <v>240.29</v>
      </c>
      <c r="Y7" s="6"/>
      <c r="Z7" s="6">
        <f ca="1">('TUSD BE'!$AM$12+'TUSD BF'!$AM$12+'TUSD CVA'!$AM$12)*1</f>
        <v>133.17611987332398</v>
      </c>
      <c r="AA7" s="6">
        <f>('TE BE'!$AA$6+'TE BF'!$AA$6+'TE CVA'!$AA$6)*1</f>
        <v>330.73086315618451</v>
      </c>
      <c r="AB7" s="6">
        <f t="shared" si="0"/>
        <v>0</v>
      </c>
      <c r="AC7" s="6">
        <f t="shared" si="1"/>
        <v>3241.741125</v>
      </c>
      <c r="AD7" s="6">
        <f t="shared" si="2"/>
        <v>0</v>
      </c>
      <c r="AE7" s="6">
        <f t="shared" ca="1" si="3"/>
        <v>4505.6965726741018</v>
      </c>
      <c r="AF7" s="4" t="s">
        <v>667</v>
      </c>
      <c r="AH7" s="53" t="s">
        <v>667</v>
      </c>
      <c r="AI7" s="54">
        <f t="shared" si="4"/>
        <v>35707.777615999999</v>
      </c>
      <c r="AJ7" s="54">
        <f t="shared" ca="1" si="5"/>
        <v>48078.812540656203</v>
      </c>
    </row>
    <row r="8" spans="1:36" ht="11.25" customHeight="1" x14ac:dyDescent="0.3">
      <c r="A8" s="4" t="s">
        <v>21</v>
      </c>
      <c r="B8" s="4" t="s">
        <v>37</v>
      </c>
      <c r="C8" s="4" t="s">
        <v>38</v>
      </c>
      <c r="D8" s="4" t="s">
        <v>44</v>
      </c>
      <c r="E8" s="4" t="s">
        <v>52</v>
      </c>
      <c r="F8" s="4" t="s">
        <v>54</v>
      </c>
      <c r="G8" s="4" t="s">
        <v>25</v>
      </c>
      <c r="H8" s="4" t="s">
        <v>34</v>
      </c>
      <c r="I8" s="5">
        <v>44470</v>
      </c>
      <c r="J8" s="6">
        <v>0</v>
      </c>
      <c r="K8" s="6">
        <v>0</v>
      </c>
      <c r="L8" s="6">
        <v>6.3449999999999998</v>
      </c>
      <c r="M8" s="6">
        <v>1.9035</v>
      </c>
      <c r="N8" s="6">
        <v>6.3449999999999998</v>
      </c>
      <c r="O8" s="6">
        <v>1.9035</v>
      </c>
      <c r="P8" s="6">
        <v>0</v>
      </c>
      <c r="Q8" s="4" t="s">
        <v>26</v>
      </c>
      <c r="R8" s="4">
        <v>0</v>
      </c>
      <c r="S8" s="4">
        <v>0</v>
      </c>
      <c r="T8" s="4">
        <v>2</v>
      </c>
      <c r="U8" s="4">
        <v>74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93.48</v>
      </c>
      <c r="X8" s="6">
        <f>IF(ISERROR(VLOOKUP($U$8,'TAR FIN'!$A$1:$O$85,15,0)),0,VLOOKUP($U$8,'TAR FIN'!$A$1:$O$85,15,0))</f>
        <v>240.29</v>
      </c>
      <c r="Y8" s="6"/>
      <c r="Z8" s="6">
        <f ca="1">('TUSD BE'!$AM$12+'TUSD BF'!$AM$12+'TUSD CVA'!$AM$12)*1</f>
        <v>133.17611987332398</v>
      </c>
      <c r="AA8" s="6">
        <f>('TE BE'!$AA$6+'TE BF'!$AA$6+'TE CVA'!$AA$6)*1</f>
        <v>330.73086315618451</v>
      </c>
      <c r="AB8" s="6">
        <f t="shared" si="0"/>
        <v>0</v>
      </c>
      <c r="AC8" s="6">
        <f t="shared" si="1"/>
        <v>1482.4394549999997</v>
      </c>
      <c r="AD8" s="6">
        <f t="shared" si="2"/>
        <v>0</v>
      </c>
      <c r="AE8" s="6">
        <f t="shared" ca="1" si="3"/>
        <v>2060.4428651255621</v>
      </c>
      <c r="AF8" s="4" t="s">
        <v>667</v>
      </c>
      <c r="AH8" s="53" t="s">
        <v>669</v>
      </c>
      <c r="AI8" s="54">
        <f t="shared" si="4"/>
        <v>62735.253079999995</v>
      </c>
      <c r="AJ8" s="54">
        <f t="shared" ca="1" si="5"/>
        <v>73117.2424451642</v>
      </c>
    </row>
    <row r="9" spans="1:36" ht="11.25" customHeight="1" x14ac:dyDescent="0.3">
      <c r="A9" s="4" t="s">
        <v>21</v>
      </c>
      <c r="B9" s="4" t="s">
        <v>37</v>
      </c>
      <c r="C9" s="4" t="s">
        <v>38</v>
      </c>
      <c r="D9" s="4" t="s">
        <v>44</v>
      </c>
      <c r="E9" s="4" t="s">
        <v>52</v>
      </c>
      <c r="F9" s="4" t="s">
        <v>54</v>
      </c>
      <c r="G9" s="4" t="s">
        <v>25</v>
      </c>
      <c r="H9" s="4" t="s">
        <v>34</v>
      </c>
      <c r="I9" s="5">
        <v>44501</v>
      </c>
      <c r="J9" s="6">
        <v>0</v>
      </c>
      <c r="K9" s="6">
        <v>0</v>
      </c>
      <c r="L9" s="6">
        <v>10.101000000000001</v>
      </c>
      <c r="M9" s="6">
        <v>3.0303</v>
      </c>
      <c r="N9" s="6">
        <v>10.101000000000001</v>
      </c>
      <c r="O9" s="6">
        <v>3.0303</v>
      </c>
      <c r="P9" s="6">
        <v>0</v>
      </c>
      <c r="Q9" s="4" t="s">
        <v>26</v>
      </c>
      <c r="R9" s="4">
        <v>0</v>
      </c>
      <c r="S9" s="4">
        <v>0</v>
      </c>
      <c r="T9" s="4">
        <v>2</v>
      </c>
      <c r="U9" s="4">
        <v>74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93.48</v>
      </c>
      <c r="X9" s="6">
        <f>IF(ISERROR(VLOOKUP($U$9,'TAR FIN'!$A$1:$O$85,15,0)),0,VLOOKUP($U$9,'TAR FIN'!$A$1:$O$85,15,0))</f>
        <v>240.29</v>
      </c>
      <c r="Y9" s="6"/>
      <c r="Z9" s="6">
        <f ca="1">('TUSD BE'!$AM$12+'TUSD BF'!$AM$12+'TUSD CVA'!$AM$12)*1</f>
        <v>133.17611987332398</v>
      </c>
      <c r="AA9" s="6">
        <f>('TE BE'!$AA$6+'TE BF'!$AA$6+'TE CVA'!$AA$6)*1</f>
        <v>330.73086315618451</v>
      </c>
      <c r="AB9" s="6">
        <f t="shared" si="0"/>
        <v>0</v>
      </c>
      <c r="AC9" s="6">
        <f t="shared" si="1"/>
        <v>2359.9875390000002</v>
      </c>
      <c r="AD9" s="6">
        <f t="shared" si="2"/>
        <v>0</v>
      </c>
      <c r="AE9" s="6">
        <f t="shared" ca="1" si="3"/>
        <v>3280.1471049067459</v>
      </c>
      <c r="AF9" s="4" t="s">
        <v>667</v>
      </c>
      <c r="AH9" s="53" t="s">
        <v>675</v>
      </c>
      <c r="AI9" s="54">
        <f t="shared" si="4"/>
        <v>0</v>
      </c>
      <c r="AJ9" s="54">
        <f t="shared" si="5"/>
        <v>0</v>
      </c>
    </row>
    <row r="10" spans="1:36" ht="11.25" customHeight="1" x14ac:dyDescent="0.3">
      <c r="A10" s="4" t="s">
        <v>21</v>
      </c>
      <c r="B10" s="4" t="s">
        <v>37</v>
      </c>
      <c r="C10" s="4" t="s">
        <v>38</v>
      </c>
      <c r="D10" s="4" t="s">
        <v>44</v>
      </c>
      <c r="E10" s="4" t="s">
        <v>52</v>
      </c>
      <c r="F10" s="4" t="s">
        <v>54</v>
      </c>
      <c r="G10" s="4" t="s">
        <v>25</v>
      </c>
      <c r="H10" s="4" t="s">
        <v>34</v>
      </c>
      <c r="I10" s="5">
        <v>44531</v>
      </c>
      <c r="J10" s="6">
        <v>0</v>
      </c>
      <c r="K10" s="6">
        <v>0</v>
      </c>
      <c r="L10" s="6">
        <v>5.0709999999999997</v>
      </c>
      <c r="M10" s="6">
        <v>1.5213000000000001</v>
      </c>
      <c r="N10" s="6">
        <v>5.0709999999999997</v>
      </c>
      <c r="O10" s="6">
        <v>1.5213000000000001</v>
      </c>
      <c r="P10" s="6">
        <v>0</v>
      </c>
      <c r="Q10" s="4" t="s">
        <v>26</v>
      </c>
      <c r="R10" s="4">
        <v>0</v>
      </c>
      <c r="S10" s="4">
        <v>0</v>
      </c>
      <c r="T10" s="4">
        <v>2</v>
      </c>
      <c r="U10" s="4">
        <v>74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93.48</v>
      </c>
      <c r="X10" s="6">
        <f>IF(ISERROR(VLOOKUP($U$10,'TAR FIN'!$A$1:$O$85,15,0)),0,VLOOKUP($U$10,'TAR FIN'!$A$1:$O$85,15,0))</f>
        <v>240.29</v>
      </c>
      <c r="Y10" s="6"/>
      <c r="Z10" s="6">
        <f ca="1">('TUSD BE'!$AM$12+'TUSD BF'!$AM$12+'TUSD CVA'!$AM$12)*1</f>
        <v>133.17611987332398</v>
      </c>
      <c r="AA10" s="6">
        <f>('TE BE'!$AA$6+'TE BF'!$AA$6+'TE CVA'!$AA$6)*1</f>
        <v>330.73086315618451</v>
      </c>
      <c r="AB10" s="6">
        <f t="shared" si="0"/>
        <v>0</v>
      </c>
      <c r="AC10" s="6">
        <f t="shared" si="1"/>
        <v>1184.7833689999998</v>
      </c>
      <c r="AD10" s="6">
        <f t="shared" si="2"/>
        <v>0</v>
      </c>
      <c r="AE10" s="6">
        <f t="shared" ca="1" si="3"/>
        <v>1646.7306176598463</v>
      </c>
      <c r="AF10" s="4" t="s">
        <v>667</v>
      </c>
    </row>
    <row r="11" spans="1:36" ht="11.25" customHeight="1" x14ac:dyDescent="0.3">
      <c r="A11" s="4" t="s">
        <v>21</v>
      </c>
      <c r="B11" s="4" t="s">
        <v>37</v>
      </c>
      <c r="C11" s="4" t="s">
        <v>38</v>
      </c>
      <c r="D11" s="4" t="s">
        <v>44</v>
      </c>
      <c r="E11" s="4" t="s">
        <v>52</v>
      </c>
      <c r="F11" s="4" t="s">
        <v>54</v>
      </c>
      <c r="G11" s="4" t="s">
        <v>25</v>
      </c>
      <c r="H11" s="4" t="s">
        <v>34</v>
      </c>
      <c r="I11" s="5">
        <v>44562</v>
      </c>
      <c r="J11" s="6">
        <v>0</v>
      </c>
      <c r="K11" s="6">
        <v>0</v>
      </c>
      <c r="L11" s="6">
        <v>11.662000000000001</v>
      </c>
      <c r="M11" s="6">
        <v>3.4986000000000002</v>
      </c>
      <c r="N11" s="6">
        <v>11.662000000000001</v>
      </c>
      <c r="O11" s="6">
        <v>3.4986000000000002</v>
      </c>
      <c r="P11" s="6">
        <v>0</v>
      </c>
      <c r="Q11" s="4" t="s">
        <v>26</v>
      </c>
      <c r="R11" s="4">
        <v>0</v>
      </c>
      <c r="S11" s="4">
        <v>0</v>
      </c>
      <c r="T11" s="4">
        <v>2</v>
      </c>
      <c r="U11" s="4">
        <v>74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93.48</v>
      </c>
      <c r="X11" s="6">
        <f>IF(ISERROR(VLOOKUP($U$11,'TAR FIN'!$A$1:$O$85,15,0)),0,VLOOKUP($U$11,'TAR FIN'!$A$1:$O$85,15,0))</f>
        <v>240.29</v>
      </c>
      <c r="Y11" s="6"/>
      <c r="Z11" s="6">
        <f ca="1">('TUSD BE'!$AM$12+'TUSD BF'!$AM$12+'TUSD CVA'!$AM$12)*1</f>
        <v>133.17611987332398</v>
      </c>
      <c r="AA11" s="6">
        <f>('TE BE'!$AA$6+'TE BF'!$AA$6+'TE CVA'!$AA$6)*1</f>
        <v>330.73086315618451</v>
      </c>
      <c r="AB11" s="6">
        <f t="shared" si="0"/>
        <v>0</v>
      </c>
      <c r="AC11" s="6">
        <f t="shared" si="1"/>
        <v>2724.6980180000005</v>
      </c>
      <c r="AD11" s="6">
        <f t="shared" si="2"/>
        <v>0</v>
      </c>
      <c r="AE11" s="6">
        <f t="shared" ca="1" si="3"/>
        <v>3787.0582652630901</v>
      </c>
      <c r="AF11" s="4" t="s">
        <v>667</v>
      </c>
    </row>
    <row r="12" spans="1:36" ht="11.25" customHeight="1" x14ac:dyDescent="0.3">
      <c r="A12" s="4" t="s">
        <v>21</v>
      </c>
      <c r="B12" s="4" t="s">
        <v>37</v>
      </c>
      <c r="C12" s="4" t="s">
        <v>38</v>
      </c>
      <c r="D12" s="4" t="s">
        <v>44</v>
      </c>
      <c r="E12" s="4" t="s">
        <v>52</v>
      </c>
      <c r="F12" s="4" t="s">
        <v>54</v>
      </c>
      <c r="G12" s="4" t="s">
        <v>25</v>
      </c>
      <c r="H12" s="4" t="s">
        <v>34</v>
      </c>
      <c r="I12" s="5">
        <v>44593</v>
      </c>
      <c r="J12" s="6">
        <v>0</v>
      </c>
      <c r="K12" s="6">
        <v>0</v>
      </c>
      <c r="L12" s="6">
        <v>3.1</v>
      </c>
      <c r="M12" s="6">
        <v>0.93</v>
      </c>
      <c r="N12" s="6">
        <v>3.1</v>
      </c>
      <c r="O12" s="6">
        <v>0.93</v>
      </c>
      <c r="P12" s="6">
        <v>0</v>
      </c>
      <c r="Q12" s="4" t="s">
        <v>26</v>
      </c>
      <c r="R12" s="4">
        <v>0</v>
      </c>
      <c r="S12" s="4">
        <v>0</v>
      </c>
      <c r="T12" s="4">
        <v>2</v>
      </c>
      <c r="U12" s="4">
        <v>74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93.48</v>
      </c>
      <c r="X12" s="6">
        <f>IF(ISERROR(VLOOKUP($U$12,'TAR FIN'!$A$1:$O$85,15,0)),0,VLOOKUP($U$12,'TAR FIN'!$A$1:$O$85,15,0))</f>
        <v>240.29</v>
      </c>
      <c r="Y12" s="6"/>
      <c r="Z12" s="6">
        <f ca="1">('TUSD BE'!$AM$12+'TUSD BF'!$AM$12+'TUSD CVA'!$AM$12)*1</f>
        <v>133.17611987332398</v>
      </c>
      <c r="AA12" s="6">
        <f>('TE BE'!$AA$6+'TE BF'!$AA$6+'TE CVA'!$AA$6)*1</f>
        <v>330.73086315618451</v>
      </c>
      <c r="AB12" s="6">
        <f t="shared" si="0"/>
        <v>0</v>
      </c>
      <c r="AC12" s="6">
        <f t="shared" si="1"/>
        <v>724.28089999999997</v>
      </c>
      <c r="AD12" s="6">
        <f t="shared" si="2"/>
        <v>0</v>
      </c>
      <c r="AE12" s="6">
        <f t="shared" ca="1" si="3"/>
        <v>1006.6781531740334</v>
      </c>
      <c r="AF12" s="4" t="s">
        <v>667</v>
      </c>
    </row>
    <row r="13" spans="1:36" ht="11.25" customHeight="1" x14ac:dyDescent="0.3">
      <c r="A13" s="4" t="s">
        <v>21</v>
      </c>
      <c r="B13" s="4" t="s">
        <v>37</v>
      </c>
      <c r="C13" s="4" t="s">
        <v>38</v>
      </c>
      <c r="D13" s="4" t="s">
        <v>44</v>
      </c>
      <c r="E13" s="4" t="s">
        <v>52</v>
      </c>
      <c r="F13" s="4" t="s">
        <v>54</v>
      </c>
      <c r="G13" s="4" t="s">
        <v>25</v>
      </c>
      <c r="H13" s="4" t="s">
        <v>34</v>
      </c>
      <c r="I13" s="5">
        <v>44621</v>
      </c>
      <c r="J13" s="6">
        <v>0</v>
      </c>
      <c r="K13" s="6">
        <v>0</v>
      </c>
      <c r="L13" s="6">
        <v>33.869999999999997</v>
      </c>
      <c r="M13" s="6">
        <v>10.161</v>
      </c>
      <c r="N13" s="6">
        <v>33.869999999999997</v>
      </c>
      <c r="O13" s="6">
        <v>10.161</v>
      </c>
      <c r="P13" s="6">
        <v>0</v>
      </c>
      <c r="Q13" s="4" t="s">
        <v>26</v>
      </c>
      <c r="R13" s="4">
        <v>0</v>
      </c>
      <c r="S13" s="4">
        <v>0</v>
      </c>
      <c r="T13" s="4">
        <v>2</v>
      </c>
      <c r="U13" s="4">
        <v>74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93.48</v>
      </c>
      <c r="X13" s="6">
        <f>IF(ISERROR(VLOOKUP($U$13,'TAR FIN'!$A$1:$O$85,15,0)),0,VLOOKUP($U$13,'TAR FIN'!$A$1:$O$85,15,0))</f>
        <v>240.29</v>
      </c>
      <c r="Y13" s="6"/>
      <c r="Z13" s="6">
        <f ca="1">('TUSD BE'!$AM$12+'TUSD BF'!$AM$12+'TUSD CVA'!$AM$12)*1</f>
        <v>133.17611987332398</v>
      </c>
      <c r="AA13" s="6">
        <f>('TE BE'!$AA$6+'TE BF'!$AA$6+'TE CVA'!$AA$6)*1</f>
        <v>330.73086315618451</v>
      </c>
      <c r="AB13" s="6">
        <f t="shared" si="0"/>
        <v>0</v>
      </c>
      <c r="AC13" s="6">
        <f t="shared" si="1"/>
        <v>7913.3529299999991</v>
      </c>
      <c r="AD13" s="6">
        <f t="shared" si="2"/>
        <v>0</v>
      </c>
      <c r="AE13" s="6">
        <f t="shared" ca="1" si="3"/>
        <v>10998.770660646614</v>
      </c>
      <c r="AF13" s="4" t="s">
        <v>667</v>
      </c>
    </row>
    <row r="14" spans="1:36" ht="11.25" customHeight="1" x14ac:dyDescent="0.3">
      <c r="A14" s="4" t="s">
        <v>21</v>
      </c>
      <c r="B14" s="4" t="s">
        <v>37</v>
      </c>
      <c r="C14" s="4" t="s">
        <v>38</v>
      </c>
      <c r="D14" s="4" t="s">
        <v>44</v>
      </c>
      <c r="E14" s="4" t="s">
        <v>52</v>
      </c>
      <c r="F14" s="4" t="s">
        <v>25</v>
      </c>
      <c r="G14" s="4" t="s">
        <v>25</v>
      </c>
      <c r="H14" s="4" t="s">
        <v>34</v>
      </c>
      <c r="I14" s="5">
        <v>44287</v>
      </c>
      <c r="J14" s="6">
        <v>0</v>
      </c>
      <c r="K14" s="70">
        <v>0</v>
      </c>
      <c r="L14" s="6">
        <v>9.7230000000000008</v>
      </c>
      <c r="M14" s="70">
        <v>9.7230000000000008</v>
      </c>
      <c r="N14" s="6">
        <v>9.7230000000000008</v>
      </c>
      <c r="O14" s="70">
        <v>9.7230000000000008</v>
      </c>
      <c r="P14" s="6">
        <v>0</v>
      </c>
      <c r="Q14" s="4" t="s">
        <v>26</v>
      </c>
      <c r="R14" s="4">
        <v>0</v>
      </c>
      <c r="S14" s="4">
        <v>0</v>
      </c>
      <c r="T14" s="4">
        <v>2</v>
      </c>
      <c r="U14" s="4">
        <v>74</v>
      </c>
      <c r="V14" s="70">
        <f>IF(ISERROR(VLOOKUP($S$14,'TAR FIN'!$A$1:$O$85,15,0)),0,VLOOKUP($S$14,'TAR FIN'!$A$1:$O$85,15,0))</f>
        <v>0</v>
      </c>
      <c r="W14" s="70">
        <f>IF(ISERROR(VLOOKUP($T$14,'TAR FIN'!$A$1:$O$85,15,0)),0,VLOOKUP($T$14,'TAR FIN'!$A$1:$O$85,15,0))*(1-0.04)</f>
        <v>89.740800000000007</v>
      </c>
      <c r="X14" s="70">
        <f>IF(ISERROR(VLOOKUP($U$14,'TAR FIN'!$A$1:$O$85,15,0)),0,VLOOKUP($U$14,'TAR FIN'!$A$1:$O$85,15,0))*(1-0.04)</f>
        <v>230.67839999999998</v>
      </c>
      <c r="Y14" s="70"/>
      <c r="Z14" s="70">
        <f ca="1">('TUSD BE'!$AM$12+'TUSD BF'!$AM$12+'TUSD CVA'!$AM$12)*1*(1-0.02)</f>
        <v>130.51259747585749</v>
      </c>
      <c r="AA14" s="70">
        <f>('TE BE'!$AA$6+'TE BF'!$AA$6+'TE CVA'!$AA$6)*1*(1-0.02)</f>
        <v>324.11624589306081</v>
      </c>
      <c r="AB14" s="70">
        <f>(SUBSIDIO!$J$14*SUBSIDIO!$V$14)*(0.04)/(1-0.04)</f>
        <v>0</v>
      </c>
      <c r="AC14" s="70">
        <f>((SUBSIDIO!$L$14*SUBSIDIO!$W$14)+(SUBSIDIO!$N$14*SUBSIDIO!$X$14))*(0.04)/(1-0.04)</f>
        <v>129.80982840000001</v>
      </c>
      <c r="AD14" s="70">
        <f>(SUBSIDIO!$J$14*SUBSIDIO!$Y$14)*(0.02)/(1-0.02)</f>
        <v>0</v>
      </c>
      <c r="AE14" s="70">
        <f ca="1">((SUBSIDIO!$L$14*SUBSIDIO!$Z$14)+(SUBSIDIO!$N$14*SUBSIDIO!$AA$14))*(0.02)/(1-0.02)</f>
        <v>90.211351919918229</v>
      </c>
      <c r="AF14" s="4" t="s">
        <v>666</v>
      </c>
    </row>
    <row r="15" spans="1:36" ht="11.25" customHeight="1" x14ac:dyDescent="0.3">
      <c r="A15" s="4" t="s">
        <v>21</v>
      </c>
      <c r="B15" s="4" t="s">
        <v>37</v>
      </c>
      <c r="C15" s="4" t="s">
        <v>38</v>
      </c>
      <c r="D15" s="4" t="s">
        <v>44</v>
      </c>
      <c r="E15" s="4" t="s">
        <v>52</v>
      </c>
      <c r="F15" s="4" t="s">
        <v>25</v>
      </c>
      <c r="G15" s="4" t="s">
        <v>25</v>
      </c>
      <c r="H15" s="4" t="s">
        <v>34</v>
      </c>
      <c r="I15" s="5">
        <v>44317</v>
      </c>
      <c r="J15" s="6">
        <v>0</v>
      </c>
      <c r="K15" s="70">
        <v>0</v>
      </c>
      <c r="L15" s="6">
        <v>5.8380000000000001</v>
      </c>
      <c r="M15" s="70">
        <v>5.8380000000000001</v>
      </c>
      <c r="N15" s="6">
        <v>5.8380000000000001</v>
      </c>
      <c r="O15" s="70">
        <v>5.8380000000000001</v>
      </c>
      <c r="P15" s="6">
        <v>0</v>
      </c>
      <c r="Q15" s="4" t="s">
        <v>26</v>
      </c>
      <c r="R15" s="4">
        <v>0</v>
      </c>
      <c r="S15" s="4">
        <v>0</v>
      </c>
      <c r="T15" s="4">
        <v>2</v>
      </c>
      <c r="U15" s="4">
        <v>74</v>
      </c>
      <c r="V15" s="70">
        <f>IF(ISERROR(VLOOKUP($S$15,'TAR FIN'!$A$1:$O$85,15,0)),0,VLOOKUP($S$15,'TAR FIN'!$A$1:$O$85,15,0))</f>
        <v>0</v>
      </c>
      <c r="W15" s="70">
        <f>IF(ISERROR(VLOOKUP($T$15,'TAR FIN'!$A$1:$O$85,15,0)),0,VLOOKUP($T$15,'TAR FIN'!$A$1:$O$85,15,0))*(1-0.04)</f>
        <v>89.740800000000007</v>
      </c>
      <c r="X15" s="70">
        <f>IF(ISERROR(VLOOKUP($U$15,'TAR FIN'!$A$1:$O$85,15,0)),0,VLOOKUP($U$15,'TAR FIN'!$A$1:$O$85,15,0))*(1-0.04)</f>
        <v>230.67839999999998</v>
      </c>
      <c r="Y15" s="70"/>
      <c r="Z15" s="70">
        <f ca="1">('TUSD BE'!$AM$12+'TUSD BF'!$AM$12+'TUSD CVA'!$AM$12)*1*(1-0.02)</f>
        <v>130.51259747585749</v>
      </c>
      <c r="AA15" s="70">
        <f>('TE BE'!$AA$6+'TE BF'!$AA$6+'TE CVA'!$AA$6)*1*(1-0.02)</f>
        <v>324.11624589306081</v>
      </c>
      <c r="AB15" s="70">
        <f>(SUBSIDIO!$J$15*SUBSIDIO!$V$15)*(0.04)/(1-0.04)</f>
        <v>0</v>
      </c>
      <c r="AC15" s="70">
        <f>((SUBSIDIO!$L$15*SUBSIDIO!$W$15)+(SUBSIDIO!$N$15*SUBSIDIO!$X$15))*(0.04)/(1-0.04)</f>
        <v>77.941970400000017</v>
      </c>
      <c r="AD15" s="70">
        <f>(SUBSIDIO!$J$15*SUBSIDIO!$Y$15)*(0.02)/(1-0.02)</f>
        <v>0</v>
      </c>
      <c r="AE15" s="70">
        <f ca="1">((SUBSIDIO!$L$15*SUBSIDIO!$Z$15)+(SUBSIDIO!$N$15*SUBSIDIO!$AA$15))*(0.02)/(1-0.02)</f>
        <v>54.165779338525418</v>
      </c>
      <c r="AF15" s="4" t="s">
        <v>666</v>
      </c>
    </row>
    <row r="16" spans="1:36" ht="11.25" customHeight="1" x14ac:dyDescent="0.3">
      <c r="A16" s="4" t="s">
        <v>21</v>
      </c>
      <c r="B16" s="4" t="s">
        <v>37</v>
      </c>
      <c r="C16" s="4" t="s">
        <v>38</v>
      </c>
      <c r="D16" s="4" t="s">
        <v>44</v>
      </c>
      <c r="E16" s="4" t="s">
        <v>52</v>
      </c>
      <c r="F16" s="4" t="s">
        <v>25</v>
      </c>
      <c r="G16" s="4" t="s">
        <v>25</v>
      </c>
      <c r="H16" s="4" t="s">
        <v>34</v>
      </c>
      <c r="I16" s="5">
        <v>44348</v>
      </c>
      <c r="J16" s="6">
        <v>0</v>
      </c>
      <c r="K16" s="70">
        <v>0</v>
      </c>
      <c r="L16" s="6">
        <v>11.494999999999999</v>
      </c>
      <c r="M16" s="70">
        <v>11.494999999999999</v>
      </c>
      <c r="N16" s="6">
        <v>11.494999999999999</v>
      </c>
      <c r="O16" s="70">
        <v>11.494999999999999</v>
      </c>
      <c r="P16" s="6">
        <v>0</v>
      </c>
      <c r="Q16" s="4" t="s">
        <v>26</v>
      </c>
      <c r="R16" s="4">
        <v>0</v>
      </c>
      <c r="S16" s="4">
        <v>0</v>
      </c>
      <c r="T16" s="4">
        <v>2</v>
      </c>
      <c r="U16" s="4">
        <v>74</v>
      </c>
      <c r="V16" s="70">
        <f>IF(ISERROR(VLOOKUP($S$16,'TAR FIN'!$A$1:$O$85,15,0)),0,VLOOKUP($S$16,'TAR FIN'!$A$1:$O$85,15,0))</f>
        <v>0</v>
      </c>
      <c r="W16" s="70">
        <f>IF(ISERROR(VLOOKUP($T$16,'TAR FIN'!$A$1:$O$85,15,0)),0,VLOOKUP($T$16,'TAR FIN'!$A$1:$O$85,15,0))*(1-0.04)</f>
        <v>89.740800000000007</v>
      </c>
      <c r="X16" s="70">
        <f>IF(ISERROR(VLOOKUP($U$16,'TAR FIN'!$A$1:$O$85,15,0)),0,VLOOKUP($U$16,'TAR FIN'!$A$1:$O$85,15,0))*(1-0.04)</f>
        <v>230.67839999999998</v>
      </c>
      <c r="Y16" s="70"/>
      <c r="Z16" s="70">
        <f ca="1">('TUSD BE'!$AM$12+'TUSD BF'!$AM$12+'TUSD CVA'!$AM$12)*1*(1-0.02)</f>
        <v>130.51259747585749</v>
      </c>
      <c r="AA16" s="70">
        <f>('TE BE'!$AA$6+'TE BF'!$AA$6+'TE CVA'!$AA$6)*1*(1-0.02)</f>
        <v>324.11624589306081</v>
      </c>
      <c r="AB16" s="70">
        <f>(SUBSIDIO!$J$16*SUBSIDIO!$V$16)*(0.04)/(1-0.04)</f>
        <v>0</v>
      </c>
      <c r="AC16" s="70">
        <f>((SUBSIDIO!$L$16*SUBSIDIO!$W$16)+(SUBSIDIO!$N$16*SUBSIDIO!$X$16))*(0.04)/(1-0.04)</f>
        <v>153.467446</v>
      </c>
      <c r="AD16" s="70">
        <f>(SUBSIDIO!$J$16*SUBSIDIO!$Y$16)*(0.02)/(1-0.02)</f>
        <v>0</v>
      </c>
      <c r="AE16" s="70">
        <f ca="1">((SUBSIDIO!$L$16*SUBSIDIO!$Z$16)+(SUBSIDIO!$N$16*SUBSIDIO!$AA$16))*(0.02)/(1-0.02)</f>
        <v>106.652215398484</v>
      </c>
      <c r="AF16" s="4" t="s">
        <v>666</v>
      </c>
    </row>
    <row r="17" spans="1:32" ht="11.25" customHeight="1" x14ac:dyDescent="0.3">
      <c r="A17" s="4" t="s">
        <v>21</v>
      </c>
      <c r="B17" s="4" t="s">
        <v>37</v>
      </c>
      <c r="C17" s="4" t="s">
        <v>38</v>
      </c>
      <c r="D17" s="4" t="s">
        <v>44</v>
      </c>
      <c r="E17" s="4" t="s">
        <v>52</v>
      </c>
      <c r="F17" s="4" t="s">
        <v>25</v>
      </c>
      <c r="G17" s="4" t="s">
        <v>25</v>
      </c>
      <c r="H17" s="4" t="s">
        <v>34</v>
      </c>
      <c r="I17" s="5">
        <v>44378</v>
      </c>
      <c r="J17" s="6">
        <v>0</v>
      </c>
      <c r="K17" s="70">
        <v>0</v>
      </c>
      <c r="L17" s="6">
        <v>26.024999999999999</v>
      </c>
      <c r="M17" s="70">
        <v>26.024999999999999</v>
      </c>
      <c r="N17" s="6">
        <v>26.024999999999999</v>
      </c>
      <c r="O17" s="70">
        <v>26.024999999999999</v>
      </c>
      <c r="P17" s="6">
        <v>0</v>
      </c>
      <c r="Q17" s="4" t="s">
        <v>26</v>
      </c>
      <c r="R17" s="4">
        <v>0</v>
      </c>
      <c r="S17" s="4">
        <v>0</v>
      </c>
      <c r="T17" s="4">
        <v>2</v>
      </c>
      <c r="U17" s="4">
        <v>74</v>
      </c>
      <c r="V17" s="70">
        <f>IF(ISERROR(VLOOKUP($S$17,'TAR FIN'!$A$1:$O$85,15,0)),0,VLOOKUP($S$17,'TAR FIN'!$A$1:$O$85,15,0))</f>
        <v>0</v>
      </c>
      <c r="W17" s="70">
        <f>IF(ISERROR(VLOOKUP($T$17,'TAR FIN'!$A$1:$O$85,15,0)),0,VLOOKUP($T$17,'TAR FIN'!$A$1:$O$85,15,0))*(1-0.04)</f>
        <v>89.740800000000007</v>
      </c>
      <c r="X17" s="70">
        <f>IF(ISERROR(VLOOKUP($U$17,'TAR FIN'!$A$1:$O$85,15,0)),0,VLOOKUP($U$17,'TAR FIN'!$A$1:$O$85,15,0))*(1-0.04)</f>
        <v>230.67839999999998</v>
      </c>
      <c r="Y17" s="70"/>
      <c r="Z17" s="70">
        <f ca="1">('TUSD BE'!$AM$12+'TUSD BF'!$AM$12+'TUSD CVA'!$AM$12)*1*(1-0.02)</f>
        <v>130.51259747585749</v>
      </c>
      <c r="AA17" s="70">
        <f>('TE BE'!$AA$6+'TE BF'!$AA$6+'TE CVA'!$AA$6)*1*(1-0.02)</f>
        <v>324.11624589306081</v>
      </c>
      <c r="AB17" s="70">
        <f>(SUBSIDIO!$J$17*SUBSIDIO!$V$17)*(0.04)/(1-0.04)</f>
        <v>0</v>
      </c>
      <c r="AC17" s="70">
        <f>((SUBSIDIO!$L$17*SUBSIDIO!$W$17)+(SUBSIDIO!$N$17*SUBSIDIO!$X$17))*(0.04)/(1-0.04)</f>
        <v>347.45456999999999</v>
      </c>
      <c r="AD17" s="70">
        <f>(SUBSIDIO!$J$17*SUBSIDIO!$Y$17)*(0.02)/(1-0.02)</f>
        <v>0</v>
      </c>
      <c r="AE17" s="70">
        <f ca="1">((SUBSIDIO!$L$17*SUBSIDIO!$Z$17)+(SUBSIDIO!$N$17*SUBSIDIO!$AA$17))*(0.02)/(1-0.02)</f>
        <v>241.46358466685913</v>
      </c>
      <c r="AF17" s="4" t="s">
        <v>666</v>
      </c>
    </row>
    <row r="18" spans="1:32" ht="11.25" customHeight="1" x14ac:dyDescent="0.3">
      <c r="A18" s="4" t="s">
        <v>21</v>
      </c>
      <c r="B18" s="4" t="s">
        <v>37</v>
      </c>
      <c r="C18" s="4" t="s">
        <v>38</v>
      </c>
      <c r="D18" s="4" t="s">
        <v>44</v>
      </c>
      <c r="E18" s="4" t="s">
        <v>52</v>
      </c>
      <c r="F18" s="4" t="s">
        <v>25</v>
      </c>
      <c r="G18" s="4" t="s">
        <v>25</v>
      </c>
      <c r="H18" s="4" t="s">
        <v>34</v>
      </c>
      <c r="I18" s="5">
        <v>44409</v>
      </c>
      <c r="J18" s="6">
        <v>0</v>
      </c>
      <c r="K18" s="70">
        <v>0</v>
      </c>
      <c r="L18" s="6">
        <v>25.484999999999999</v>
      </c>
      <c r="M18" s="70">
        <v>25.484999999999999</v>
      </c>
      <c r="N18" s="6">
        <v>25.484999999999999</v>
      </c>
      <c r="O18" s="70">
        <v>25.484999999999999</v>
      </c>
      <c r="P18" s="6">
        <v>0</v>
      </c>
      <c r="Q18" s="4" t="s">
        <v>26</v>
      </c>
      <c r="R18" s="4">
        <v>0</v>
      </c>
      <c r="S18" s="4">
        <v>0</v>
      </c>
      <c r="T18" s="4">
        <v>2</v>
      </c>
      <c r="U18" s="4">
        <v>74</v>
      </c>
      <c r="V18" s="70">
        <f>IF(ISERROR(VLOOKUP($S$18,'TAR FIN'!$A$1:$O$85,15,0)),0,VLOOKUP($S$18,'TAR FIN'!$A$1:$O$85,15,0))</f>
        <v>0</v>
      </c>
      <c r="W18" s="70">
        <f>IF(ISERROR(VLOOKUP($T$18,'TAR FIN'!$A$1:$O$85,15,0)),0,VLOOKUP($T$18,'TAR FIN'!$A$1:$O$85,15,0))*(1-0.04)</f>
        <v>89.740800000000007</v>
      </c>
      <c r="X18" s="70">
        <f>IF(ISERROR(VLOOKUP($U$18,'TAR FIN'!$A$1:$O$85,15,0)),0,VLOOKUP($U$18,'TAR FIN'!$A$1:$O$85,15,0))*(1-0.04)</f>
        <v>230.67839999999998</v>
      </c>
      <c r="Y18" s="70"/>
      <c r="Z18" s="70">
        <f ca="1">('TUSD BE'!$AM$12+'TUSD BF'!$AM$12+'TUSD CVA'!$AM$12)*1*(1-0.02)</f>
        <v>130.51259747585749</v>
      </c>
      <c r="AA18" s="70">
        <f>('TE BE'!$AA$6+'TE BF'!$AA$6+'TE CVA'!$AA$6)*1*(1-0.02)</f>
        <v>324.11624589306081</v>
      </c>
      <c r="AB18" s="70">
        <f>(SUBSIDIO!$J$18*SUBSIDIO!$V$18)*(0.04)/(1-0.04)</f>
        <v>0</v>
      </c>
      <c r="AC18" s="70">
        <f>((SUBSIDIO!$L$18*SUBSIDIO!$W$18)+(SUBSIDIO!$N$18*SUBSIDIO!$X$18))*(0.04)/(1-0.04)</f>
        <v>340.245138</v>
      </c>
      <c r="AD18" s="70">
        <f>(SUBSIDIO!$J$18*SUBSIDIO!$Y$18)*(0.02)/(1-0.02)</f>
        <v>0</v>
      </c>
      <c r="AE18" s="70">
        <f ca="1">((SUBSIDIO!$L$18*SUBSIDIO!$Z$18)+(SUBSIDIO!$N$18*SUBSIDIO!$AA$18))*(0.02)/(1-0.02)</f>
        <v>236.45338925014048</v>
      </c>
      <c r="AF18" s="4" t="s">
        <v>666</v>
      </c>
    </row>
    <row r="19" spans="1:32" ht="11.25" customHeight="1" x14ac:dyDescent="0.3">
      <c r="A19" s="4" t="s">
        <v>21</v>
      </c>
      <c r="B19" s="4" t="s">
        <v>37</v>
      </c>
      <c r="C19" s="4" t="s">
        <v>38</v>
      </c>
      <c r="D19" s="4" t="s">
        <v>44</v>
      </c>
      <c r="E19" s="4" t="s">
        <v>52</v>
      </c>
      <c r="F19" s="4" t="s">
        <v>25</v>
      </c>
      <c r="G19" s="4" t="s">
        <v>25</v>
      </c>
      <c r="H19" s="4" t="s">
        <v>34</v>
      </c>
      <c r="I19" s="5">
        <v>44440</v>
      </c>
      <c r="J19" s="6">
        <v>0</v>
      </c>
      <c r="K19" s="70">
        <v>0</v>
      </c>
      <c r="L19" s="6">
        <v>23.448</v>
      </c>
      <c r="M19" s="70">
        <v>23.448</v>
      </c>
      <c r="N19" s="6">
        <v>23.448</v>
      </c>
      <c r="O19" s="70">
        <v>23.448</v>
      </c>
      <c r="P19" s="6">
        <v>0</v>
      </c>
      <c r="Q19" s="4" t="s">
        <v>26</v>
      </c>
      <c r="R19" s="4">
        <v>0</v>
      </c>
      <c r="S19" s="4">
        <v>0</v>
      </c>
      <c r="T19" s="4">
        <v>2</v>
      </c>
      <c r="U19" s="4">
        <v>74</v>
      </c>
      <c r="V19" s="70">
        <f>IF(ISERROR(VLOOKUP($S$19,'TAR FIN'!$A$1:$O$85,15,0)),0,VLOOKUP($S$19,'TAR FIN'!$A$1:$O$85,15,0))</f>
        <v>0</v>
      </c>
      <c r="W19" s="70">
        <f>IF(ISERROR(VLOOKUP($T$19,'TAR FIN'!$A$1:$O$85,15,0)),0,VLOOKUP($T$19,'TAR FIN'!$A$1:$O$85,15,0))*(1-0.04)</f>
        <v>89.740800000000007</v>
      </c>
      <c r="X19" s="70">
        <f>IF(ISERROR(VLOOKUP($U$19,'TAR FIN'!$A$1:$O$85,15,0)),0,VLOOKUP($U$19,'TAR FIN'!$A$1:$O$85,15,0))*(1-0.04)</f>
        <v>230.67839999999998</v>
      </c>
      <c r="Y19" s="70"/>
      <c r="Z19" s="70">
        <f ca="1">('TUSD BE'!$AM$12+'TUSD BF'!$AM$12+'TUSD CVA'!$AM$12)*1*(1-0.02)</f>
        <v>130.51259747585749</v>
      </c>
      <c r="AA19" s="70">
        <f>('TE BE'!$AA$6+'TE BF'!$AA$6+'TE CVA'!$AA$6)*1*(1-0.02)</f>
        <v>324.11624589306081</v>
      </c>
      <c r="AB19" s="70">
        <f>(SUBSIDIO!$J$19*SUBSIDIO!$V$19)*(0.04)/(1-0.04)</f>
        <v>0</v>
      </c>
      <c r="AC19" s="70">
        <f>((SUBSIDIO!$L$19*SUBSIDIO!$W$19)+(SUBSIDIO!$N$19*SUBSIDIO!$X$19))*(0.04)/(1-0.04)</f>
        <v>313.04955840000002</v>
      </c>
      <c r="AD19" s="70">
        <f>(SUBSIDIO!$J$19*SUBSIDIO!$Y$19)*(0.02)/(1-0.02)</f>
        <v>0</v>
      </c>
      <c r="AE19" s="70">
        <f ca="1">((SUBSIDIO!$L$19*SUBSIDIO!$Z$19)+(SUBSIDIO!$N$19*SUBSIDIO!$AA$19))*(0.02)/(1-0.02)</f>
        <v>217.55381876151833</v>
      </c>
      <c r="AF19" s="4" t="s">
        <v>666</v>
      </c>
    </row>
    <row r="20" spans="1:32" ht="11.25" customHeight="1" x14ac:dyDescent="0.3">
      <c r="A20" s="4" t="s">
        <v>21</v>
      </c>
      <c r="B20" s="4" t="s">
        <v>37</v>
      </c>
      <c r="C20" s="4" t="s">
        <v>38</v>
      </c>
      <c r="D20" s="4" t="s">
        <v>44</v>
      </c>
      <c r="E20" s="4" t="s">
        <v>52</v>
      </c>
      <c r="F20" s="4" t="s">
        <v>25</v>
      </c>
      <c r="G20" s="4" t="s">
        <v>25</v>
      </c>
      <c r="H20" s="4" t="s">
        <v>34</v>
      </c>
      <c r="I20" s="5">
        <v>44470</v>
      </c>
      <c r="J20" s="6">
        <v>0</v>
      </c>
      <c r="K20" s="70">
        <v>0</v>
      </c>
      <c r="L20" s="6">
        <v>12.372999999999999</v>
      </c>
      <c r="M20" s="70">
        <v>12.372999999999999</v>
      </c>
      <c r="N20" s="6">
        <v>12.372999999999999</v>
      </c>
      <c r="O20" s="70">
        <v>12.372999999999999</v>
      </c>
      <c r="P20" s="6">
        <v>0</v>
      </c>
      <c r="Q20" s="4" t="s">
        <v>26</v>
      </c>
      <c r="R20" s="4">
        <v>0</v>
      </c>
      <c r="S20" s="4">
        <v>0</v>
      </c>
      <c r="T20" s="4">
        <v>2</v>
      </c>
      <c r="U20" s="4">
        <v>74</v>
      </c>
      <c r="V20" s="70">
        <f>IF(ISERROR(VLOOKUP($S$20,'TAR FIN'!$A$1:$O$85,15,0)),0,VLOOKUP($S$20,'TAR FIN'!$A$1:$O$85,15,0))</f>
        <v>0</v>
      </c>
      <c r="W20" s="70">
        <f>IF(ISERROR(VLOOKUP($T$20,'TAR FIN'!$A$1:$O$85,15,0)),0,VLOOKUP($T$20,'TAR FIN'!$A$1:$O$85,15,0))*(1-0.04)</f>
        <v>89.740800000000007</v>
      </c>
      <c r="X20" s="70">
        <f>IF(ISERROR(VLOOKUP($U$20,'TAR FIN'!$A$1:$O$85,15,0)),0,VLOOKUP($U$20,'TAR FIN'!$A$1:$O$85,15,0))*(1-0.04)</f>
        <v>230.67839999999998</v>
      </c>
      <c r="Y20" s="70"/>
      <c r="Z20" s="70">
        <f ca="1">('TUSD BE'!$AM$12+'TUSD BF'!$AM$12+'TUSD CVA'!$AM$12)*1*(1-0.02)</f>
        <v>130.51259747585749</v>
      </c>
      <c r="AA20" s="70">
        <f>('TE BE'!$AA$6+'TE BF'!$AA$6+'TE CVA'!$AA$6)*1*(1-0.02)</f>
        <v>324.11624589306081</v>
      </c>
      <c r="AB20" s="70">
        <f>(SUBSIDIO!$J$20*SUBSIDIO!$V$20)*(0.04)/(1-0.04)</f>
        <v>0</v>
      </c>
      <c r="AC20" s="70">
        <f>((SUBSIDIO!$L$20*SUBSIDIO!$W$20)+(SUBSIDIO!$N$20*SUBSIDIO!$X$20))*(0.04)/(1-0.04)</f>
        <v>165.1894484</v>
      </c>
      <c r="AD20" s="70">
        <f>(SUBSIDIO!$J$20*SUBSIDIO!$Y$20)*(0.02)/(1-0.02)</f>
        <v>0</v>
      </c>
      <c r="AE20" s="70">
        <f ca="1">((SUBSIDIO!$L$20*SUBSIDIO!$Z$20)+(SUBSIDIO!$N$20*SUBSIDIO!$AA$20))*(0.02)/(1-0.02)</f>
        <v>114.79842202048216</v>
      </c>
      <c r="AF20" s="4" t="s">
        <v>666</v>
      </c>
    </row>
    <row r="21" spans="1:32" ht="11.25" customHeight="1" x14ac:dyDescent="0.3">
      <c r="A21" s="4" t="s">
        <v>21</v>
      </c>
      <c r="B21" s="4" t="s">
        <v>37</v>
      </c>
      <c r="C21" s="4" t="s">
        <v>38</v>
      </c>
      <c r="D21" s="4" t="s">
        <v>44</v>
      </c>
      <c r="E21" s="4" t="s">
        <v>52</v>
      </c>
      <c r="F21" s="4" t="s">
        <v>25</v>
      </c>
      <c r="G21" s="4" t="s">
        <v>25</v>
      </c>
      <c r="H21" s="4" t="s">
        <v>34</v>
      </c>
      <c r="I21" s="5">
        <v>44501</v>
      </c>
      <c r="J21" s="6">
        <v>0</v>
      </c>
      <c r="K21" s="70">
        <v>0</v>
      </c>
      <c r="L21" s="6">
        <v>10.742000000000001</v>
      </c>
      <c r="M21" s="70">
        <v>10.742000000000001</v>
      </c>
      <c r="N21" s="6">
        <v>10.742000000000001</v>
      </c>
      <c r="O21" s="70">
        <v>10.742000000000001</v>
      </c>
      <c r="P21" s="6">
        <v>0</v>
      </c>
      <c r="Q21" s="4" t="s">
        <v>26</v>
      </c>
      <c r="R21" s="4">
        <v>0</v>
      </c>
      <c r="S21" s="4">
        <v>0</v>
      </c>
      <c r="T21" s="4">
        <v>2</v>
      </c>
      <c r="U21" s="4">
        <v>74</v>
      </c>
      <c r="V21" s="70">
        <f>IF(ISERROR(VLOOKUP($S$21,'TAR FIN'!$A$1:$O$85,15,0)),0,VLOOKUP($S$21,'TAR FIN'!$A$1:$O$85,15,0))</f>
        <v>0</v>
      </c>
      <c r="W21" s="70">
        <f>IF(ISERROR(VLOOKUP($T$21,'TAR FIN'!$A$1:$O$85,15,0)),0,VLOOKUP($T$21,'TAR FIN'!$A$1:$O$85,15,0))*(1-0.04)</f>
        <v>89.740800000000007</v>
      </c>
      <c r="X21" s="70">
        <f>IF(ISERROR(VLOOKUP($U$21,'TAR FIN'!$A$1:$O$85,15,0)),0,VLOOKUP($U$21,'TAR FIN'!$A$1:$O$85,15,0))*(1-0.04)</f>
        <v>230.67839999999998</v>
      </c>
      <c r="Y21" s="70"/>
      <c r="Z21" s="70">
        <f ca="1">('TUSD BE'!$AM$12+'TUSD BF'!$AM$12+'TUSD CVA'!$AM$12)*1*(1-0.02)</f>
        <v>130.51259747585749</v>
      </c>
      <c r="AA21" s="70">
        <f>('TE BE'!$AA$6+'TE BF'!$AA$6+'TE CVA'!$AA$6)*1*(1-0.02)</f>
        <v>324.11624589306081</v>
      </c>
      <c r="AB21" s="70">
        <f>(SUBSIDIO!$J$21*SUBSIDIO!$V$21)*(0.04)/(1-0.04)</f>
        <v>0</v>
      </c>
      <c r="AC21" s="70">
        <f>((SUBSIDIO!$L$21*SUBSIDIO!$W$21)+(SUBSIDIO!$N$21*SUBSIDIO!$X$21))*(0.04)/(1-0.04)</f>
        <v>143.41429360000001</v>
      </c>
      <c r="AD21" s="70">
        <f>(SUBSIDIO!$J$21*SUBSIDIO!$Y$21)*(0.02)/(1-0.02)</f>
        <v>0</v>
      </c>
      <c r="AE21" s="70">
        <f ca="1">((SUBSIDIO!$L$21*SUBSIDIO!$Z$21)+(SUBSIDIO!$N$21*SUBSIDIO!$AA$21))*(0.02)/(1-0.02)</f>
        <v>99.665776234059607</v>
      </c>
      <c r="AF21" s="4" t="s">
        <v>666</v>
      </c>
    </row>
    <row r="22" spans="1:32" ht="11.25" customHeight="1" x14ac:dyDescent="0.3">
      <c r="A22" s="4" t="s">
        <v>21</v>
      </c>
      <c r="B22" s="4" t="s">
        <v>37</v>
      </c>
      <c r="C22" s="4" t="s">
        <v>38</v>
      </c>
      <c r="D22" s="4" t="s">
        <v>44</v>
      </c>
      <c r="E22" s="4" t="s">
        <v>52</v>
      </c>
      <c r="F22" s="4" t="s">
        <v>25</v>
      </c>
      <c r="G22" s="4" t="s">
        <v>25</v>
      </c>
      <c r="H22" s="4" t="s">
        <v>34</v>
      </c>
      <c r="I22" s="5">
        <v>44531</v>
      </c>
      <c r="J22" s="6">
        <v>0</v>
      </c>
      <c r="K22" s="70">
        <v>0</v>
      </c>
      <c r="L22" s="6">
        <v>7.7220000000000004</v>
      </c>
      <c r="M22" s="70">
        <v>7.7220000000000004</v>
      </c>
      <c r="N22" s="6">
        <v>7.7220000000000004</v>
      </c>
      <c r="O22" s="70">
        <v>7.7220000000000004</v>
      </c>
      <c r="P22" s="6">
        <v>0</v>
      </c>
      <c r="Q22" s="4" t="s">
        <v>26</v>
      </c>
      <c r="R22" s="4">
        <v>0</v>
      </c>
      <c r="S22" s="4">
        <v>0</v>
      </c>
      <c r="T22" s="4">
        <v>2</v>
      </c>
      <c r="U22" s="4">
        <v>74</v>
      </c>
      <c r="V22" s="70">
        <f>IF(ISERROR(VLOOKUP($S$22,'TAR FIN'!$A$1:$O$85,15,0)),0,VLOOKUP($S$22,'TAR FIN'!$A$1:$O$85,15,0))</f>
        <v>0</v>
      </c>
      <c r="W22" s="70">
        <f>IF(ISERROR(VLOOKUP($T$22,'TAR FIN'!$A$1:$O$85,15,0)),0,VLOOKUP($T$22,'TAR FIN'!$A$1:$O$85,15,0))*(1-0.04)</f>
        <v>89.740800000000007</v>
      </c>
      <c r="X22" s="70">
        <f>IF(ISERROR(VLOOKUP($U$22,'TAR FIN'!$A$1:$O$85,15,0)),0,VLOOKUP($U$22,'TAR FIN'!$A$1:$O$85,15,0))*(1-0.04)</f>
        <v>230.67839999999998</v>
      </c>
      <c r="Y22" s="70"/>
      <c r="Z22" s="70">
        <f ca="1">('TUSD BE'!$AM$12+'TUSD BF'!$AM$12+'TUSD CVA'!$AM$12)*1*(1-0.02)</f>
        <v>130.51259747585749</v>
      </c>
      <c r="AA22" s="70">
        <f>('TE BE'!$AA$6+'TE BF'!$AA$6+'TE CVA'!$AA$6)*1*(1-0.02)</f>
        <v>324.11624589306081</v>
      </c>
      <c r="AB22" s="70">
        <f>(SUBSIDIO!$J$22*SUBSIDIO!$V$22)*(0.04)/(1-0.04)</f>
        <v>0</v>
      </c>
      <c r="AC22" s="70">
        <f>((SUBSIDIO!$L$22*SUBSIDIO!$W$22)+(SUBSIDIO!$N$22*SUBSIDIO!$X$22))*(0.04)/(1-0.04)</f>
        <v>103.09487760000002</v>
      </c>
      <c r="AD22" s="70">
        <f>(SUBSIDIO!$J$22*SUBSIDIO!$Y$22)*(0.02)/(1-0.02)</f>
        <v>0</v>
      </c>
      <c r="AE22" s="70">
        <f ca="1">((SUBSIDIO!$L$22*SUBSIDIO!$Z$22)+(SUBSIDIO!$N$22*SUBSIDIO!$AA$22))*(0.02)/(1-0.02)</f>
        <v>71.645794459077294</v>
      </c>
      <c r="AF22" s="4" t="s">
        <v>666</v>
      </c>
    </row>
    <row r="23" spans="1:32" ht="11.25" customHeight="1" x14ac:dyDescent="0.3">
      <c r="A23" s="4" t="s">
        <v>21</v>
      </c>
      <c r="B23" s="4" t="s">
        <v>37</v>
      </c>
      <c r="C23" s="4" t="s">
        <v>38</v>
      </c>
      <c r="D23" s="4" t="s">
        <v>44</v>
      </c>
      <c r="E23" s="4" t="s">
        <v>52</v>
      </c>
      <c r="F23" s="4" t="s">
        <v>25</v>
      </c>
      <c r="G23" s="4" t="s">
        <v>25</v>
      </c>
      <c r="H23" s="4" t="s">
        <v>34</v>
      </c>
      <c r="I23" s="5">
        <v>44562</v>
      </c>
      <c r="J23" s="6">
        <v>0</v>
      </c>
      <c r="K23" s="70">
        <v>0</v>
      </c>
      <c r="L23" s="6">
        <v>13.231999999999999</v>
      </c>
      <c r="M23" s="70">
        <v>13.231999999999999</v>
      </c>
      <c r="N23" s="6">
        <v>13.231999999999999</v>
      </c>
      <c r="O23" s="70">
        <v>13.231999999999999</v>
      </c>
      <c r="P23" s="6">
        <v>0</v>
      </c>
      <c r="Q23" s="4" t="s">
        <v>26</v>
      </c>
      <c r="R23" s="4">
        <v>0</v>
      </c>
      <c r="S23" s="4">
        <v>0</v>
      </c>
      <c r="T23" s="4">
        <v>2</v>
      </c>
      <c r="U23" s="4">
        <v>74</v>
      </c>
      <c r="V23" s="70">
        <f>IF(ISERROR(VLOOKUP($S$23,'TAR FIN'!$A$1:$O$85,15,0)),0,VLOOKUP($S$23,'TAR FIN'!$A$1:$O$85,15,0))</f>
        <v>0</v>
      </c>
      <c r="W23" s="70">
        <f>IF(ISERROR(VLOOKUP($T$23,'TAR FIN'!$A$1:$O$85,15,0)),0,VLOOKUP($T$23,'TAR FIN'!$A$1:$O$85,15,0))*(1-0.04)</f>
        <v>89.740800000000007</v>
      </c>
      <c r="X23" s="70">
        <f>IF(ISERROR(VLOOKUP($U$23,'TAR FIN'!$A$1:$O$85,15,0)),0,VLOOKUP($U$23,'TAR FIN'!$A$1:$O$85,15,0))*(1-0.04)</f>
        <v>230.67839999999998</v>
      </c>
      <c r="Y23" s="70"/>
      <c r="Z23" s="70">
        <f ca="1">('TUSD BE'!$AM$12+'TUSD BF'!$AM$12+'TUSD CVA'!$AM$12)*1*(1-0.02)</f>
        <v>130.51259747585749</v>
      </c>
      <c r="AA23" s="70">
        <f>('TE BE'!$AA$6+'TE BF'!$AA$6+'TE CVA'!$AA$6)*1*(1-0.02)</f>
        <v>324.11624589306081</v>
      </c>
      <c r="AB23" s="70">
        <f>(SUBSIDIO!$J$23*SUBSIDIO!$V$23)*(0.04)/(1-0.04)</f>
        <v>0</v>
      </c>
      <c r="AC23" s="70">
        <f>((SUBSIDIO!$L$23*SUBSIDIO!$W$23)+(SUBSIDIO!$N$23*SUBSIDIO!$X$23))*(0.04)/(1-0.04)</f>
        <v>176.65778560000001</v>
      </c>
      <c r="AD23" s="70">
        <f>(SUBSIDIO!$J$23*SUBSIDIO!$Y$23)*(0.02)/(1-0.02)</f>
        <v>0</v>
      </c>
      <c r="AE23" s="70">
        <f ca="1">((SUBSIDIO!$L$23*SUBSIDIO!$Z$23)+(SUBSIDIO!$N$23*SUBSIDIO!$AA$23))*(0.02)/(1-0.02)</f>
        <v>122.7683439889291</v>
      </c>
      <c r="AF23" s="4" t="s">
        <v>666</v>
      </c>
    </row>
    <row r="24" spans="1:32" ht="11.25" customHeight="1" x14ac:dyDescent="0.3">
      <c r="A24" s="4" t="s">
        <v>21</v>
      </c>
      <c r="B24" s="4" t="s">
        <v>37</v>
      </c>
      <c r="C24" s="4" t="s">
        <v>38</v>
      </c>
      <c r="D24" s="4" t="s">
        <v>44</v>
      </c>
      <c r="E24" s="4" t="s">
        <v>52</v>
      </c>
      <c r="F24" s="4" t="s">
        <v>25</v>
      </c>
      <c r="G24" s="4" t="s">
        <v>25</v>
      </c>
      <c r="H24" s="4" t="s">
        <v>34</v>
      </c>
      <c r="I24" s="5">
        <v>44593</v>
      </c>
      <c r="J24" s="6">
        <v>0</v>
      </c>
      <c r="K24" s="70">
        <v>0</v>
      </c>
      <c r="L24" s="6">
        <v>8.24</v>
      </c>
      <c r="M24" s="70">
        <v>8.24</v>
      </c>
      <c r="N24" s="6">
        <v>8.24</v>
      </c>
      <c r="O24" s="70">
        <v>8.24</v>
      </c>
      <c r="P24" s="6">
        <v>0</v>
      </c>
      <c r="Q24" s="4" t="s">
        <v>26</v>
      </c>
      <c r="R24" s="4">
        <v>0</v>
      </c>
      <c r="S24" s="4">
        <v>0</v>
      </c>
      <c r="T24" s="4">
        <v>2</v>
      </c>
      <c r="U24" s="4">
        <v>74</v>
      </c>
      <c r="V24" s="70">
        <f>IF(ISERROR(VLOOKUP($S$24,'TAR FIN'!$A$1:$O$85,15,0)),0,VLOOKUP($S$24,'TAR FIN'!$A$1:$O$85,15,0))</f>
        <v>0</v>
      </c>
      <c r="W24" s="70">
        <f>IF(ISERROR(VLOOKUP($T$24,'TAR FIN'!$A$1:$O$85,15,0)),0,VLOOKUP($T$24,'TAR FIN'!$A$1:$O$85,15,0))*(1-0.04)</f>
        <v>89.740800000000007</v>
      </c>
      <c r="X24" s="70">
        <f>IF(ISERROR(VLOOKUP($U$24,'TAR FIN'!$A$1:$O$85,15,0)),0,VLOOKUP($U$24,'TAR FIN'!$A$1:$O$85,15,0))*(1-0.04)</f>
        <v>230.67839999999998</v>
      </c>
      <c r="Y24" s="70"/>
      <c r="Z24" s="70">
        <f ca="1">('TUSD BE'!$AM$12+'TUSD BF'!$AM$12+'TUSD CVA'!$AM$12)*1*(1-0.02)</f>
        <v>130.51259747585749</v>
      </c>
      <c r="AA24" s="70">
        <f>('TE BE'!$AA$6+'TE BF'!$AA$6+'TE CVA'!$AA$6)*1*(1-0.02)</f>
        <v>324.11624589306081</v>
      </c>
      <c r="AB24" s="70">
        <f>(SUBSIDIO!$J$24*SUBSIDIO!$V$24)*(0.04)/(1-0.04)</f>
        <v>0</v>
      </c>
      <c r="AC24" s="70">
        <f>((SUBSIDIO!$L$24*SUBSIDIO!$W$24)+(SUBSIDIO!$N$24*SUBSIDIO!$X$24))*(0.04)/(1-0.04)</f>
        <v>110.010592</v>
      </c>
      <c r="AD24" s="70">
        <f>(SUBSIDIO!$J$24*SUBSIDIO!$Y$24)*(0.02)/(1-0.02)</f>
        <v>0</v>
      </c>
      <c r="AE24" s="70">
        <f ca="1">((SUBSIDIO!$L$24*SUBSIDIO!$Z$24)+(SUBSIDIO!$N$24*SUBSIDIO!$AA$24))*(0.02)/(1-0.02)</f>
        <v>76.451870803263006</v>
      </c>
      <c r="AF24" s="4" t="s">
        <v>666</v>
      </c>
    </row>
    <row r="25" spans="1:32" ht="11.25" customHeight="1" x14ac:dyDescent="0.3">
      <c r="A25" s="4" t="s">
        <v>21</v>
      </c>
      <c r="B25" s="4" t="s">
        <v>37</v>
      </c>
      <c r="C25" s="4" t="s">
        <v>38</v>
      </c>
      <c r="D25" s="4" t="s">
        <v>44</v>
      </c>
      <c r="E25" s="4" t="s">
        <v>52</v>
      </c>
      <c r="F25" s="4" t="s">
        <v>25</v>
      </c>
      <c r="G25" s="4" t="s">
        <v>25</v>
      </c>
      <c r="H25" s="4" t="s">
        <v>34</v>
      </c>
      <c r="I25" s="5">
        <v>44621</v>
      </c>
      <c r="J25" s="6">
        <v>0</v>
      </c>
      <c r="K25" s="70">
        <v>0</v>
      </c>
      <c r="L25" s="6">
        <v>38.784999999999997</v>
      </c>
      <c r="M25" s="70">
        <v>38.784999999999997</v>
      </c>
      <c r="N25" s="6">
        <v>38.784999999999997</v>
      </c>
      <c r="O25" s="70">
        <v>38.784999999999997</v>
      </c>
      <c r="P25" s="6">
        <v>0</v>
      </c>
      <c r="Q25" s="4" t="s">
        <v>26</v>
      </c>
      <c r="R25" s="4">
        <v>0</v>
      </c>
      <c r="S25" s="4">
        <v>0</v>
      </c>
      <c r="T25" s="4">
        <v>2</v>
      </c>
      <c r="U25" s="4">
        <v>74</v>
      </c>
      <c r="V25" s="70">
        <f>IF(ISERROR(VLOOKUP($S$25,'TAR FIN'!$A$1:$O$85,15,0)),0,VLOOKUP($S$25,'TAR FIN'!$A$1:$O$85,15,0))</f>
        <v>0</v>
      </c>
      <c r="W25" s="70">
        <f>IF(ISERROR(VLOOKUP($T$25,'TAR FIN'!$A$1:$O$85,15,0)),0,VLOOKUP($T$25,'TAR FIN'!$A$1:$O$85,15,0))*(1-0.04)</f>
        <v>89.740800000000007</v>
      </c>
      <c r="X25" s="70">
        <f>IF(ISERROR(VLOOKUP($U$25,'TAR FIN'!$A$1:$O$85,15,0)),0,VLOOKUP($U$25,'TAR FIN'!$A$1:$O$85,15,0))*(1-0.04)</f>
        <v>230.67839999999998</v>
      </c>
      <c r="Y25" s="70"/>
      <c r="Z25" s="70">
        <f ca="1">('TUSD BE'!$AM$12+'TUSD BF'!$AM$12+'TUSD CVA'!$AM$12)*1*(1-0.02)</f>
        <v>130.51259747585749</v>
      </c>
      <c r="AA25" s="70">
        <f>('TE BE'!$AA$6+'TE BF'!$AA$6+'TE CVA'!$AA$6)*1*(1-0.02)</f>
        <v>324.11624589306081</v>
      </c>
      <c r="AB25" s="70">
        <f>(SUBSIDIO!$J$25*SUBSIDIO!$V$25)*(0.04)/(1-0.04)</f>
        <v>0</v>
      </c>
      <c r="AC25" s="70">
        <f>((SUBSIDIO!$L$25*SUBSIDIO!$W$25)+(SUBSIDIO!$N$25*SUBSIDIO!$X$25))*(0.04)/(1-0.04)</f>
        <v>517.81077799999991</v>
      </c>
      <c r="AD25" s="70">
        <f>(SUBSIDIO!$J$25*SUBSIDIO!$Y$25)*(0.02)/(1-0.02)</f>
        <v>0</v>
      </c>
      <c r="AE25" s="70">
        <f ca="1">((SUBSIDIO!$L$25*SUBSIDIO!$Z$25)+(SUBSIDIO!$N$25*SUBSIDIO!$AA$25))*(0.02)/(1-0.02)</f>
        <v>359.85264673598965</v>
      </c>
      <c r="AF25" s="4" t="s">
        <v>666</v>
      </c>
    </row>
    <row r="26" spans="1:32" ht="11.25" customHeight="1" x14ac:dyDescent="0.3">
      <c r="A26" s="4" t="s">
        <v>21</v>
      </c>
      <c r="B26" s="4" t="s">
        <v>37</v>
      </c>
      <c r="C26" s="4" t="s">
        <v>38</v>
      </c>
      <c r="D26" s="4" t="s">
        <v>44</v>
      </c>
      <c r="E26" s="4" t="s">
        <v>52</v>
      </c>
      <c r="F26" s="4" t="s">
        <v>25</v>
      </c>
      <c r="G26" s="4" t="s">
        <v>25</v>
      </c>
      <c r="H26" s="4" t="s">
        <v>25</v>
      </c>
      <c r="I26" s="5">
        <v>44287</v>
      </c>
      <c r="J26" s="6">
        <v>217</v>
      </c>
      <c r="K26" s="70">
        <v>217</v>
      </c>
      <c r="L26" s="6">
        <v>0</v>
      </c>
      <c r="M26" s="70">
        <v>0</v>
      </c>
      <c r="N26" s="6">
        <v>0</v>
      </c>
      <c r="O26" s="70">
        <v>0</v>
      </c>
      <c r="P26" s="6">
        <v>2</v>
      </c>
      <c r="Q26" s="4" t="s">
        <v>26</v>
      </c>
      <c r="R26" s="4">
        <v>0</v>
      </c>
      <c r="S26" s="4">
        <v>50</v>
      </c>
      <c r="T26" s="4">
        <v>0</v>
      </c>
      <c r="U26" s="4">
        <v>0</v>
      </c>
      <c r="V26" s="70">
        <f>IF(ISERROR(VLOOKUP($S$26,'TAR FIN'!$A$1:$O$85,15,0)),0,VLOOKUP($S$26,'TAR FIN'!$A$1:$O$85,15,0))*(1-0.04)</f>
        <v>71.433599999999998</v>
      </c>
      <c r="W26" s="70">
        <f>IF(ISERROR(VLOOKUP($T$26,'TAR FIN'!$A$1:$O$85,15,0)),0,VLOOKUP($T$26,'TAR FIN'!$A$1:$O$85,15,0))</f>
        <v>0</v>
      </c>
      <c r="X26" s="70">
        <f>IF(ISERROR(VLOOKUP($U$26,'TAR FIN'!$A$1:$O$85,15,0)),0,VLOOKUP($U$26,'TAR FIN'!$A$1:$O$85,15,0))</f>
        <v>0</v>
      </c>
      <c r="Y26" s="70">
        <f ca="1">('TUSD BE'!$AM$10+'TUSD BF'!$AM$10+'TUSD CVA'!$AM$10)*1*(1-0.02)</f>
        <v>79.42015681272045</v>
      </c>
      <c r="Z26" s="70"/>
      <c r="AA26" s="70"/>
      <c r="AB26" s="70">
        <f>(SUBSIDIO!$J$26*SUBSIDIO!$V$26)*(0.04)/(1-0.04)</f>
        <v>645.87879999999996</v>
      </c>
      <c r="AC26" s="70">
        <f>((SUBSIDIO!$L$26*SUBSIDIO!$W$26)+(SUBSIDIO!$N$26*SUBSIDIO!$X$26))*(0.04)/(1-0.04)</f>
        <v>0</v>
      </c>
      <c r="AD26" s="70">
        <f ca="1">(SUBSIDIO!$J$26*SUBSIDIO!$Y$26)*(0.02)/(1-0.02)</f>
        <v>351.71783731347625</v>
      </c>
      <c r="AE26" s="70">
        <f>((SUBSIDIO!$L$26*SUBSIDIO!$Z$26)+(SUBSIDIO!$N$26*SUBSIDIO!$AA$26))*(0.02)/(1-0.02)</f>
        <v>0</v>
      </c>
      <c r="AF26" s="4" t="s">
        <v>666</v>
      </c>
    </row>
    <row r="27" spans="1:32" ht="11.25" customHeight="1" x14ac:dyDescent="0.3">
      <c r="A27" s="4" t="s">
        <v>21</v>
      </c>
      <c r="B27" s="4" t="s">
        <v>37</v>
      </c>
      <c r="C27" s="4" t="s">
        <v>38</v>
      </c>
      <c r="D27" s="4" t="s">
        <v>44</v>
      </c>
      <c r="E27" s="4" t="s">
        <v>52</v>
      </c>
      <c r="F27" s="4" t="s">
        <v>25</v>
      </c>
      <c r="G27" s="4" t="s">
        <v>25</v>
      </c>
      <c r="H27" s="4" t="s">
        <v>25</v>
      </c>
      <c r="I27" s="5">
        <v>44317</v>
      </c>
      <c r="J27" s="6">
        <v>226</v>
      </c>
      <c r="K27" s="70">
        <v>226</v>
      </c>
      <c r="L27" s="6">
        <v>0</v>
      </c>
      <c r="M27" s="70">
        <v>0</v>
      </c>
      <c r="N27" s="6">
        <v>0</v>
      </c>
      <c r="O27" s="70">
        <v>0</v>
      </c>
      <c r="P27" s="6">
        <v>2</v>
      </c>
      <c r="Q27" s="4" t="s">
        <v>26</v>
      </c>
      <c r="R27" s="4">
        <v>0</v>
      </c>
      <c r="S27" s="4">
        <v>50</v>
      </c>
      <c r="T27" s="4">
        <v>0</v>
      </c>
      <c r="U27" s="4">
        <v>0</v>
      </c>
      <c r="V27" s="70">
        <f>IF(ISERROR(VLOOKUP($S$27,'TAR FIN'!$A$1:$O$85,15,0)),0,VLOOKUP($S$27,'TAR FIN'!$A$1:$O$85,15,0))*(1-0.04)</f>
        <v>71.433599999999998</v>
      </c>
      <c r="W27" s="70">
        <f>IF(ISERROR(VLOOKUP($T$27,'TAR FIN'!$A$1:$O$85,15,0)),0,VLOOKUP($T$27,'TAR FIN'!$A$1:$O$85,15,0))</f>
        <v>0</v>
      </c>
      <c r="X27" s="70">
        <f>IF(ISERROR(VLOOKUP($U$27,'TAR FIN'!$A$1:$O$85,15,0)),0,VLOOKUP($U$27,'TAR FIN'!$A$1:$O$85,15,0))</f>
        <v>0</v>
      </c>
      <c r="Y27" s="70">
        <f ca="1">('TUSD BE'!$AM$10+'TUSD BF'!$AM$10+'TUSD CVA'!$AM$10)*1*(1-0.02)</f>
        <v>79.42015681272045</v>
      </c>
      <c r="Z27" s="70"/>
      <c r="AA27" s="70"/>
      <c r="AB27" s="70">
        <f>(SUBSIDIO!$J$27*SUBSIDIO!$V$27)*(0.04)/(1-0.04)</f>
        <v>672.66639999999995</v>
      </c>
      <c r="AC27" s="70">
        <f>((SUBSIDIO!$L$27*SUBSIDIO!$W$27)+(SUBSIDIO!$N$27*SUBSIDIO!$X$27))*(0.04)/(1-0.04)</f>
        <v>0</v>
      </c>
      <c r="AD27" s="70">
        <f ca="1">(SUBSIDIO!$J$27*SUBSIDIO!$Y$27)*(0.02)/(1-0.02)</f>
        <v>366.30521305458819</v>
      </c>
      <c r="AE27" s="70">
        <f>((SUBSIDIO!$L$27*SUBSIDIO!$Z$27)+(SUBSIDIO!$N$27*SUBSIDIO!$AA$27))*(0.02)/(1-0.02)</f>
        <v>0</v>
      </c>
      <c r="AF27" s="4" t="s">
        <v>666</v>
      </c>
    </row>
    <row r="28" spans="1:32" ht="11.25" customHeight="1" x14ac:dyDescent="0.3">
      <c r="A28" s="4" t="s">
        <v>21</v>
      </c>
      <c r="B28" s="4" t="s">
        <v>37</v>
      </c>
      <c r="C28" s="4" t="s">
        <v>38</v>
      </c>
      <c r="D28" s="4" t="s">
        <v>44</v>
      </c>
      <c r="E28" s="4" t="s">
        <v>52</v>
      </c>
      <c r="F28" s="4" t="s">
        <v>25</v>
      </c>
      <c r="G28" s="4" t="s">
        <v>25</v>
      </c>
      <c r="H28" s="4" t="s">
        <v>25</v>
      </c>
      <c r="I28" s="5">
        <v>44348</v>
      </c>
      <c r="J28" s="6">
        <v>224</v>
      </c>
      <c r="K28" s="70">
        <v>224</v>
      </c>
      <c r="L28" s="6">
        <v>0</v>
      </c>
      <c r="M28" s="70">
        <v>0</v>
      </c>
      <c r="N28" s="6">
        <v>0</v>
      </c>
      <c r="O28" s="70">
        <v>0</v>
      </c>
      <c r="P28" s="6">
        <v>2</v>
      </c>
      <c r="Q28" s="4" t="s">
        <v>26</v>
      </c>
      <c r="R28" s="4">
        <v>0</v>
      </c>
      <c r="S28" s="4">
        <v>50</v>
      </c>
      <c r="T28" s="4">
        <v>0</v>
      </c>
      <c r="U28" s="4">
        <v>0</v>
      </c>
      <c r="V28" s="70">
        <f>IF(ISERROR(VLOOKUP($S$28,'TAR FIN'!$A$1:$O$85,15,0)),0,VLOOKUP($S$28,'TAR FIN'!$A$1:$O$85,15,0))*(1-0.04)</f>
        <v>71.433599999999998</v>
      </c>
      <c r="W28" s="70">
        <f>IF(ISERROR(VLOOKUP($T$28,'TAR FIN'!$A$1:$O$85,15,0)),0,VLOOKUP($T$28,'TAR FIN'!$A$1:$O$85,15,0))</f>
        <v>0</v>
      </c>
      <c r="X28" s="70">
        <f>IF(ISERROR(VLOOKUP($U$28,'TAR FIN'!$A$1:$O$85,15,0)),0,VLOOKUP($U$28,'TAR FIN'!$A$1:$O$85,15,0))</f>
        <v>0</v>
      </c>
      <c r="Y28" s="70">
        <f ca="1">('TUSD BE'!$AM$10+'TUSD BF'!$AM$10+'TUSD CVA'!$AM$10)*1*(1-0.02)</f>
        <v>79.42015681272045</v>
      </c>
      <c r="Z28" s="70"/>
      <c r="AA28" s="70"/>
      <c r="AB28" s="70">
        <f>(SUBSIDIO!$J$28*SUBSIDIO!$V$28)*(0.04)/(1-0.04)</f>
        <v>666.71359999999993</v>
      </c>
      <c r="AC28" s="70">
        <f>((SUBSIDIO!$L$28*SUBSIDIO!$W$28)+(SUBSIDIO!$N$28*SUBSIDIO!$X$28))*(0.04)/(1-0.04)</f>
        <v>0</v>
      </c>
      <c r="AD28" s="70">
        <f ca="1">(SUBSIDIO!$J$28*SUBSIDIO!$Y$28)*(0.02)/(1-0.02)</f>
        <v>363.06357400100779</v>
      </c>
      <c r="AE28" s="70">
        <f>((SUBSIDIO!$L$28*SUBSIDIO!$Z$28)+(SUBSIDIO!$N$28*SUBSIDIO!$AA$28))*(0.02)/(1-0.02)</f>
        <v>0</v>
      </c>
      <c r="AF28" s="4" t="s">
        <v>666</v>
      </c>
    </row>
    <row r="29" spans="1:32" ht="11.25" customHeight="1" x14ac:dyDescent="0.3">
      <c r="A29" s="4" t="s">
        <v>21</v>
      </c>
      <c r="B29" s="4" t="s">
        <v>37</v>
      </c>
      <c r="C29" s="4" t="s">
        <v>38</v>
      </c>
      <c r="D29" s="4" t="s">
        <v>44</v>
      </c>
      <c r="E29" s="4" t="s">
        <v>52</v>
      </c>
      <c r="F29" s="4" t="s">
        <v>25</v>
      </c>
      <c r="G29" s="4" t="s">
        <v>25</v>
      </c>
      <c r="H29" s="4" t="s">
        <v>25</v>
      </c>
      <c r="I29" s="5">
        <v>44378</v>
      </c>
      <c r="J29" s="6">
        <v>230</v>
      </c>
      <c r="K29" s="70">
        <v>230</v>
      </c>
      <c r="L29" s="6">
        <v>0</v>
      </c>
      <c r="M29" s="70">
        <v>0</v>
      </c>
      <c r="N29" s="6">
        <v>0</v>
      </c>
      <c r="O29" s="70">
        <v>0</v>
      </c>
      <c r="P29" s="6">
        <v>2</v>
      </c>
      <c r="Q29" s="4" t="s">
        <v>26</v>
      </c>
      <c r="R29" s="4">
        <v>0</v>
      </c>
      <c r="S29" s="4">
        <v>50</v>
      </c>
      <c r="T29" s="4">
        <v>0</v>
      </c>
      <c r="U29" s="4">
        <v>0</v>
      </c>
      <c r="V29" s="70">
        <f>IF(ISERROR(VLOOKUP($S$29,'TAR FIN'!$A$1:$O$85,15,0)),0,VLOOKUP($S$29,'TAR FIN'!$A$1:$O$85,15,0))*(1-0.04)</f>
        <v>71.433599999999998</v>
      </c>
      <c r="W29" s="70">
        <f>IF(ISERROR(VLOOKUP($T$29,'TAR FIN'!$A$1:$O$85,15,0)),0,VLOOKUP($T$29,'TAR FIN'!$A$1:$O$85,15,0))</f>
        <v>0</v>
      </c>
      <c r="X29" s="70">
        <f>IF(ISERROR(VLOOKUP($U$29,'TAR FIN'!$A$1:$O$85,15,0)),0,VLOOKUP($U$29,'TAR FIN'!$A$1:$O$85,15,0))</f>
        <v>0</v>
      </c>
      <c r="Y29" s="70">
        <f ca="1">('TUSD BE'!$AM$10+'TUSD BF'!$AM$10+'TUSD CVA'!$AM$10)*1*(1-0.02)</f>
        <v>79.42015681272045</v>
      </c>
      <c r="Z29" s="70"/>
      <c r="AA29" s="70"/>
      <c r="AB29" s="70">
        <f>(SUBSIDIO!$J$29*SUBSIDIO!$V$29)*(0.04)/(1-0.04)</f>
        <v>684.572</v>
      </c>
      <c r="AC29" s="70">
        <f>((SUBSIDIO!$L$29*SUBSIDIO!$W$29)+(SUBSIDIO!$N$29*SUBSIDIO!$X$29))*(0.04)/(1-0.04)</f>
        <v>0</v>
      </c>
      <c r="AD29" s="70">
        <f ca="1">(SUBSIDIO!$J$29*SUBSIDIO!$Y$29)*(0.02)/(1-0.02)</f>
        <v>372.78849116174911</v>
      </c>
      <c r="AE29" s="70">
        <f>((SUBSIDIO!$L$29*SUBSIDIO!$Z$29)+(SUBSIDIO!$N$29*SUBSIDIO!$AA$29))*(0.02)/(1-0.02)</f>
        <v>0</v>
      </c>
      <c r="AF29" s="4" t="s">
        <v>666</v>
      </c>
    </row>
    <row r="30" spans="1:32" ht="11.25" customHeight="1" x14ac:dyDescent="0.3">
      <c r="A30" s="4" t="s">
        <v>21</v>
      </c>
      <c r="B30" s="4" t="s">
        <v>37</v>
      </c>
      <c r="C30" s="4" t="s">
        <v>38</v>
      </c>
      <c r="D30" s="4" t="s">
        <v>44</v>
      </c>
      <c r="E30" s="4" t="s">
        <v>52</v>
      </c>
      <c r="F30" s="4" t="s">
        <v>25</v>
      </c>
      <c r="G30" s="4" t="s">
        <v>25</v>
      </c>
      <c r="H30" s="4" t="s">
        <v>25</v>
      </c>
      <c r="I30" s="5">
        <v>44409</v>
      </c>
      <c r="J30" s="6">
        <v>272</v>
      </c>
      <c r="K30" s="70">
        <v>272</v>
      </c>
      <c r="L30" s="6">
        <v>0</v>
      </c>
      <c r="M30" s="70">
        <v>0</v>
      </c>
      <c r="N30" s="6">
        <v>0</v>
      </c>
      <c r="O30" s="70">
        <v>0</v>
      </c>
      <c r="P30" s="6">
        <v>2</v>
      </c>
      <c r="Q30" s="4" t="s">
        <v>26</v>
      </c>
      <c r="R30" s="4">
        <v>0</v>
      </c>
      <c r="S30" s="4">
        <v>50</v>
      </c>
      <c r="T30" s="4">
        <v>0</v>
      </c>
      <c r="U30" s="4">
        <v>0</v>
      </c>
      <c r="V30" s="70">
        <f>IF(ISERROR(VLOOKUP($S$30,'TAR FIN'!$A$1:$O$85,15,0)),0,VLOOKUP($S$30,'TAR FIN'!$A$1:$O$85,15,0))*(1-0.04)</f>
        <v>71.433599999999998</v>
      </c>
      <c r="W30" s="70">
        <f>IF(ISERROR(VLOOKUP($T$30,'TAR FIN'!$A$1:$O$85,15,0)),0,VLOOKUP($T$30,'TAR FIN'!$A$1:$O$85,15,0))</f>
        <v>0</v>
      </c>
      <c r="X30" s="70">
        <f>IF(ISERROR(VLOOKUP($U$30,'TAR FIN'!$A$1:$O$85,15,0)),0,VLOOKUP($U$30,'TAR FIN'!$A$1:$O$85,15,0))</f>
        <v>0</v>
      </c>
      <c r="Y30" s="70">
        <f ca="1">('TUSD BE'!$AM$10+'TUSD BF'!$AM$10+'TUSD CVA'!$AM$10)*1*(1-0.02)</f>
        <v>79.42015681272045</v>
      </c>
      <c r="Z30" s="70"/>
      <c r="AA30" s="70"/>
      <c r="AB30" s="70">
        <f>(SUBSIDIO!$J$30*SUBSIDIO!$V$30)*(0.04)/(1-0.04)</f>
        <v>809.58080000000007</v>
      </c>
      <c r="AC30" s="70">
        <f>((SUBSIDIO!$L$30*SUBSIDIO!$W$30)+(SUBSIDIO!$N$30*SUBSIDIO!$X$30))*(0.04)/(1-0.04)</f>
        <v>0</v>
      </c>
      <c r="AD30" s="70">
        <f ca="1">(SUBSIDIO!$J$30*SUBSIDIO!$Y$30)*(0.02)/(1-0.02)</f>
        <v>440.86291128693807</v>
      </c>
      <c r="AE30" s="70">
        <f>((SUBSIDIO!$L$30*SUBSIDIO!$Z$30)+(SUBSIDIO!$N$30*SUBSIDIO!$AA$30))*(0.02)/(1-0.02)</f>
        <v>0</v>
      </c>
      <c r="AF30" s="4" t="s">
        <v>666</v>
      </c>
    </row>
    <row r="31" spans="1:32" ht="11.25" customHeight="1" x14ac:dyDescent="0.3">
      <c r="A31" s="4" t="s">
        <v>21</v>
      </c>
      <c r="B31" s="4" t="s">
        <v>37</v>
      </c>
      <c r="C31" s="4" t="s">
        <v>38</v>
      </c>
      <c r="D31" s="4" t="s">
        <v>44</v>
      </c>
      <c r="E31" s="4" t="s">
        <v>52</v>
      </c>
      <c r="F31" s="4" t="s">
        <v>25</v>
      </c>
      <c r="G31" s="4" t="s">
        <v>25</v>
      </c>
      <c r="H31" s="4" t="s">
        <v>25</v>
      </c>
      <c r="I31" s="5">
        <v>44440</v>
      </c>
      <c r="J31" s="6">
        <v>272</v>
      </c>
      <c r="K31" s="70">
        <v>272</v>
      </c>
      <c r="L31" s="6">
        <v>0</v>
      </c>
      <c r="M31" s="70">
        <v>0</v>
      </c>
      <c r="N31" s="6">
        <v>0</v>
      </c>
      <c r="O31" s="70">
        <v>0</v>
      </c>
      <c r="P31" s="6">
        <v>2</v>
      </c>
      <c r="Q31" s="4" t="s">
        <v>26</v>
      </c>
      <c r="R31" s="4">
        <v>0</v>
      </c>
      <c r="S31" s="4">
        <v>50</v>
      </c>
      <c r="T31" s="4">
        <v>0</v>
      </c>
      <c r="U31" s="4">
        <v>0</v>
      </c>
      <c r="V31" s="70">
        <f>IF(ISERROR(VLOOKUP($S$31,'TAR FIN'!$A$1:$O$85,15,0)),0,VLOOKUP($S$31,'TAR FIN'!$A$1:$O$85,15,0))*(1-0.04)</f>
        <v>71.433599999999998</v>
      </c>
      <c r="W31" s="70">
        <f>IF(ISERROR(VLOOKUP($T$31,'TAR FIN'!$A$1:$O$85,15,0)),0,VLOOKUP($T$31,'TAR FIN'!$A$1:$O$85,15,0))</f>
        <v>0</v>
      </c>
      <c r="X31" s="70">
        <f>IF(ISERROR(VLOOKUP($U$31,'TAR FIN'!$A$1:$O$85,15,0)),0,VLOOKUP($U$31,'TAR FIN'!$A$1:$O$85,15,0))</f>
        <v>0</v>
      </c>
      <c r="Y31" s="70">
        <f ca="1">('TUSD BE'!$AM$10+'TUSD BF'!$AM$10+'TUSD CVA'!$AM$10)*1*(1-0.02)</f>
        <v>79.42015681272045</v>
      </c>
      <c r="Z31" s="70"/>
      <c r="AA31" s="70"/>
      <c r="AB31" s="70">
        <f>(SUBSIDIO!$J$31*SUBSIDIO!$V$31)*(0.04)/(1-0.04)</f>
        <v>809.58080000000007</v>
      </c>
      <c r="AC31" s="70">
        <f>((SUBSIDIO!$L$31*SUBSIDIO!$W$31)+(SUBSIDIO!$N$31*SUBSIDIO!$X$31))*(0.04)/(1-0.04)</f>
        <v>0</v>
      </c>
      <c r="AD31" s="70">
        <f ca="1">(SUBSIDIO!$J$31*SUBSIDIO!$Y$31)*(0.02)/(1-0.02)</f>
        <v>440.86291128693807</v>
      </c>
      <c r="AE31" s="70">
        <f>((SUBSIDIO!$L$31*SUBSIDIO!$Z$31)+(SUBSIDIO!$N$31*SUBSIDIO!$AA$31))*(0.02)/(1-0.02)</f>
        <v>0</v>
      </c>
      <c r="AF31" s="4" t="s">
        <v>666</v>
      </c>
    </row>
    <row r="32" spans="1:32" ht="11.25" customHeight="1" x14ac:dyDescent="0.3">
      <c r="A32" s="4" t="s">
        <v>21</v>
      </c>
      <c r="B32" s="4" t="s">
        <v>37</v>
      </c>
      <c r="C32" s="4" t="s">
        <v>38</v>
      </c>
      <c r="D32" s="4" t="s">
        <v>44</v>
      </c>
      <c r="E32" s="4" t="s">
        <v>52</v>
      </c>
      <c r="F32" s="4" t="s">
        <v>25</v>
      </c>
      <c r="G32" s="4" t="s">
        <v>25</v>
      </c>
      <c r="H32" s="4" t="s">
        <v>25</v>
      </c>
      <c r="I32" s="5">
        <v>44470</v>
      </c>
      <c r="J32" s="6">
        <v>269</v>
      </c>
      <c r="K32" s="70">
        <v>269</v>
      </c>
      <c r="L32" s="6">
        <v>0</v>
      </c>
      <c r="M32" s="70">
        <v>0</v>
      </c>
      <c r="N32" s="6">
        <v>0</v>
      </c>
      <c r="O32" s="70">
        <v>0</v>
      </c>
      <c r="P32" s="6">
        <v>2</v>
      </c>
      <c r="Q32" s="4" t="s">
        <v>26</v>
      </c>
      <c r="R32" s="4">
        <v>0</v>
      </c>
      <c r="S32" s="4">
        <v>50</v>
      </c>
      <c r="T32" s="4">
        <v>0</v>
      </c>
      <c r="U32" s="4">
        <v>0</v>
      </c>
      <c r="V32" s="70">
        <f>IF(ISERROR(VLOOKUP($S$32,'TAR FIN'!$A$1:$O$85,15,0)),0,VLOOKUP($S$32,'TAR FIN'!$A$1:$O$85,15,0))*(1-0.04)</f>
        <v>71.433599999999998</v>
      </c>
      <c r="W32" s="70">
        <f>IF(ISERROR(VLOOKUP($T$32,'TAR FIN'!$A$1:$O$85,15,0)),0,VLOOKUP($T$32,'TAR FIN'!$A$1:$O$85,15,0))</f>
        <v>0</v>
      </c>
      <c r="X32" s="70">
        <f>IF(ISERROR(VLOOKUP($U$32,'TAR FIN'!$A$1:$O$85,15,0)),0,VLOOKUP($U$32,'TAR FIN'!$A$1:$O$85,15,0))</f>
        <v>0</v>
      </c>
      <c r="Y32" s="70">
        <f ca="1">('TUSD BE'!$AM$10+'TUSD BF'!$AM$10+'TUSD CVA'!$AM$10)*1*(1-0.02)</f>
        <v>79.42015681272045</v>
      </c>
      <c r="Z32" s="70"/>
      <c r="AA32" s="70"/>
      <c r="AB32" s="70">
        <f>(SUBSIDIO!$J$32*SUBSIDIO!$V$32)*(0.04)/(1-0.04)</f>
        <v>800.65160000000003</v>
      </c>
      <c r="AC32" s="70">
        <f>((SUBSIDIO!$L$32*SUBSIDIO!$W$32)+(SUBSIDIO!$N$32*SUBSIDIO!$X$32))*(0.04)/(1-0.04)</f>
        <v>0</v>
      </c>
      <c r="AD32" s="70">
        <f ca="1">(SUBSIDIO!$J$32*SUBSIDIO!$Y$32)*(0.02)/(1-0.02)</f>
        <v>436.00045270656739</v>
      </c>
      <c r="AE32" s="70">
        <f>((SUBSIDIO!$L$32*SUBSIDIO!$Z$32)+(SUBSIDIO!$N$32*SUBSIDIO!$AA$32))*(0.02)/(1-0.02)</f>
        <v>0</v>
      </c>
      <c r="AF32" s="4" t="s">
        <v>666</v>
      </c>
    </row>
    <row r="33" spans="1:32" ht="11.25" customHeight="1" x14ac:dyDescent="0.3">
      <c r="A33" s="4" t="s">
        <v>21</v>
      </c>
      <c r="B33" s="4" t="s">
        <v>37</v>
      </c>
      <c r="C33" s="4" t="s">
        <v>38</v>
      </c>
      <c r="D33" s="4" t="s">
        <v>44</v>
      </c>
      <c r="E33" s="4" t="s">
        <v>52</v>
      </c>
      <c r="F33" s="4" t="s">
        <v>25</v>
      </c>
      <c r="G33" s="4" t="s">
        <v>25</v>
      </c>
      <c r="H33" s="4" t="s">
        <v>25</v>
      </c>
      <c r="I33" s="5">
        <v>44501</v>
      </c>
      <c r="J33" s="6">
        <v>273</v>
      </c>
      <c r="K33" s="70">
        <v>273</v>
      </c>
      <c r="L33" s="6">
        <v>0</v>
      </c>
      <c r="M33" s="70">
        <v>0</v>
      </c>
      <c r="N33" s="6">
        <v>0</v>
      </c>
      <c r="O33" s="70">
        <v>0</v>
      </c>
      <c r="P33" s="6">
        <v>2</v>
      </c>
      <c r="Q33" s="4" t="s">
        <v>26</v>
      </c>
      <c r="R33" s="4">
        <v>0</v>
      </c>
      <c r="S33" s="4">
        <v>50</v>
      </c>
      <c r="T33" s="4">
        <v>0</v>
      </c>
      <c r="U33" s="4">
        <v>0</v>
      </c>
      <c r="V33" s="70">
        <f>IF(ISERROR(VLOOKUP($S$33,'TAR FIN'!$A$1:$O$85,15,0)),0,VLOOKUP($S$33,'TAR FIN'!$A$1:$O$85,15,0))*(1-0.04)</f>
        <v>71.433599999999998</v>
      </c>
      <c r="W33" s="70">
        <f>IF(ISERROR(VLOOKUP($T$33,'TAR FIN'!$A$1:$O$85,15,0)),0,VLOOKUP($T$33,'TAR FIN'!$A$1:$O$85,15,0))</f>
        <v>0</v>
      </c>
      <c r="X33" s="70">
        <f>IF(ISERROR(VLOOKUP($U$33,'TAR FIN'!$A$1:$O$85,15,0)),0,VLOOKUP($U$33,'TAR FIN'!$A$1:$O$85,15,0))</f>
        <v>0</v>
      </c>
      <c r="Y33" s="70">
        <f ca="1">('TUSD BE'!$AM$10+'TUSD BF'!$AM$10+'TUSD CVA'!$AM$10)*1*(1-0.02)</f>
        <v>79.42015681272045</v>
      </c>
      <c r="Z33" s="70"/>
      <c r="AA33" s="70"/>
      <c r="AB33" s="70">
        <f>(SUBSIDIO!$J$33*SUBSIDIO!$V$33)*(0.04)/(1-0.04)</f>
        <v>812.55720000000008</v>
      </c>
      <c r="AC33" s="70">
        <f>((SUBSIDIO!$L$33*SUBSIDIO!$W$33)+(SUBSIDIO!$N$33*SUBSIDIO!$X$33))*(0.04)/(1-0.04)</f>
        <v>0</v>
      </c>
      <c r="AD33" s="70">
        <f ca="1">(SUBSIDIO!$J$33*SUBSIDIO!$Y$33)*(0.02)/(1-0.02)</f>
        <v>442.48373081372824</v>
      </c>
      <c r="AE33" s="70">
        <f>((SUBSIDIO!$L$33*SUBSIDIO!$Z$33)+(SUBSIDIO!$N$33*SUBSIDIO!$AA$33))*(0.02)/(1-0.02)</f>
        <v>0</v>
      </c>
      <c r="AF33" s="4" t="s">
        <v>666</v>
      </c>
    </row>
    <row r="34" spans="1:32" ht="11.25" customHeight="1" x14ac:dyDescent="0.3">
      <c r="A34" s="4" t="s">
        <v>21</v>
      </c>
      <c r="B34" s="4" t="s">
        <v>37</v>
      </c>
      <c r="C34" s="4" t="s">
        <v>38</v>
      </c>
      <c r="D34" s="4" t="s">
        <v>44</v>
      </c>
      <c r="E34" s="4" t="s">
        <v>52</v>
      </c>
      <c r="F34" s="4" t="s">
        <v>25</v>
      </c>
      <c r="G34" s="4" t="s">
        <v>25</v>
      </c>
      <c r="H34" s="4" t="s">
        <v>25</v>
      </c>
      <c r="I34" s="5">
        <v>44531</v>
      </c>
      <c r="J34" s="6">
        <v>269</v>
      </c>
      <c r="K34" s="70">
        <v>269</v>
      </c>
      <c r="L34" s="6">
        <v>0</v>
      </c>
      <c r="M34" s="70">
        <v>0</v>
      </c>
      <c r="N34" s="6">
        <v>0</v>
      </c>
      <c r="O34" s="70">
        <v>0</v>
      </c>
      <c r="P34" s="6">
        <v>2</v>
      </c>
      <c r="Q34" s="4" t="s">
        <v>26</v>
      </c>
      <c r="R34" s="4">
        <v>0</v>
      </c>
      <c r="S34" s="4">
        <v>50</v>
      </c>
      <c r="T34" s="4">
        <v>0</v>
      </c>
      <c r="U34" s="4">
        <v>0</v>
      </c>
      <c r="V34" s="70">
        <f>IF(ISERROR(VLOOKUP($S$34,'TAR FIN'!$A$1:$O$85,15,0)),0,VLOOKUP($S$34,'TAR FIN'!$A$1:$O$85,15,0))*(1-0.04)</f>
        <v>71.433599999999998</v>
      </c>
      <c r="W34" s="70">
        <f>IF(ISERROR(VLOOKUP($T$34,'TAR FIN'!$A$1:$O$85,15,0)),0,VLOOKUP($T$34,'TAR FIN'!$A$1:$O$85,15,0))</f>
        <v>0</v>
      </c>
      <c r="X34" s="70">
        <f>IF(ISERROR(VLOOKUP($U$34,'TAR FIN'!$A$1:$O$85,15,0)),0,VLOOKUP($U$34,'TAR FIN'!$A$1:$O$85,15,0))</f>
        <v>0</v>
      </c>
      <c r="Y34" s="70">
        <f ca="1">('TUSD BE'!$AM$10+'TUSD BF'!$AM$10+'TUSD CVA'!$AM$10)*1*(1-0.02)</f>
        <v>79.42015681272045</v>
      </c>
      <c r="Z34" s="70"/>
      <c r="AA34" s="70"/>
      <c r="AB34" s="70">
        <f>(SUBSIDIO!$J$34*SUBSIDIO!$V$34)*(0.04)/(1-0.04)</f>
        <v>800.65160000000003</v>
      </c>
      <c r="AC34" s="70">
        <f>((SUBSIDIO!$L$34*SUBSIDIO!$W$34)+(SUBSIDIO!$N$34*SUBSIDIO!$X$34))*(0.04)/(1-0.04)</f>
        <v>0</v>
      </c>
      <c r="AD34" s="70">
        <f ca="1">(SUBSIDIO!$J$34*SUBSIDIO!$Y$34)*(0.02)/(1-0.02)</f>
        <v>436.00045270656739</v>
      </c>
      <c r="AE34" s="70">
        <f>((SUBSIDIO!$L$34*SUBSIDIO!$Z$34)+(SUBSIDIO!$N$34*SUBSIDIO!$AA$34))*(0.02)/(1-0.02)</f>
        <v>0</v>
      </c>
      <c r="AF34" s="4" t="s">
        <v>666</v>
      </c>
    </row>
    <row r="35" spans="1:32" ht="11.25" customHeight="1" x14ac:dyDescent="0.3">
      <c r="A35" s="4" t="s">
        <v>21</v>
      </c>
      <c r="B35" s="4" t="s">
        <v>37</v>
      </c>
      <c r="C35" s="4" t="s">
        <v>38</v>
      </c>
      <c r="D35" s="4" t="s">
        <v>44</v>
      </c>
      <c r="E35" s="4" t="s">
        <v>52</v>
      </c>
      <c r="F35" s="4" t="s">
        <v>25</v>
      </c>
      <c r="G35" s="4" t="s">
        <v>25</v>
      </c>
      <c r="H35" s="4" t="s">
        <v>25</v>
      </c>
      <c r="I35" s="5">
        <v>44562</v>
      </c>
      <c r="J35" s="6">
        <v>269</v>
      </c>
      <c r="K35" s="70">
        <v>269</v>
      </c>
      <c r="L35" s="6">
        <v>0</v>
      </c>
      <c r="M35" s="70">
        <v>0</v>
      </c>
      <c r="N35" s="6">
        <v>0</v>
      </c>
      <c r="O35" s="70">
        <v>0</v>
      </c>
      <c r="P35" s="6">
        <v>2</v>
      </c>
      <c r="Q35" s="4" t="s">
        <v>26</v>
      </c>
      <c r="R35" s="4">
        <v>0</v>
      </c>
      <c r="S35" s="4">
        <v>50</v>
      </c>
      <c r="T35" s="4">
        <v>0</v>
      </c>
      <c r="U35" s="4">
        <v>0</v>
      </c>
      <c r="V35" s="70">
        <f>IF(ISERROR(VLOOKUP($S$35,'TAR FIN'!$A$1:$O$85,15,0)),0,VLOOKUP($S$35,'TAR FIN'!$A$1:$O$85,15,0))*(1-0.04)</f>
        <v>71.433599999999998</v>
      </c>
      <c r="W35" s="70">
        <f>IF(ISERROR(VLOOKUP($T$35,'TAR FIN'!$A$1:$O$85,15,0)),0,VLOOKUP($T$35,'TAR FIN'!$A$1:$O$85,15,0))</f>
        <v>0</v>
      </c>
      <c r="X35" s="70">
        <f>IF(ISERROR(VLOOKUP($U$35,'TAR FIN'!$A$1:$O$85,15,0)),0,VLOOKUP($U$35,'TAR FIN'!$A$1:$O$85,15,0))</f>
        <v>0</v>
      </c>
      <c r="Y35" s="70">
        <f ca="1">('TUSD BE'!$AM$10+'TUSD BF'!$AM$10+'TUSD CVA'!$AM$10)*1*(1-0.02)</f>
        <v>79.42015681272045</v>
      </c>
      <c r="Z35" s="70"/>
      <c r="AA35" s="70"/>
      <c r="AB35" s="70">
        <f>(SUBSIDIO!$J$35*SUBSIDIO!$V$35)*(0.04)/(1-0.04)</f>
        <v>800.65160000000003</v>
      </c>
      <c r="AC35" s="70">
        <f>((SUBSIDIO!$L$35*SUBSIDIO!$W$35)+(SUBSIDIO!$N$35*SUBSIDIO!$X$35))*(0.04)/(1-0.04)</f>
        <v>0</v>
      </c>
      <c r="AD35" s="70">
        <f ca="1">(SUBSIDIO!$J$35*SUBSIDIO!$Y$35)*(0.02)/(1-0.02)</f>
        <v>436.00045270656739</v>
      </c>
      <c r="AE35" s="70">
        <f>((SUBSIDIO!$L$35*SUBSIDIO!$Z$35)+(SUBSIDIO!$N$35*SUBSIDIO!$AA$35))*(0.02)/(1-0.02)</f>
        <v>0</v>
      </c>
      <c r="AF35" s="4" t="s">
        <v>666</v>
      </c>
    </row>
    <row r="36" spans="1:32" ht="11.25" customHeight="1" x14ac:dyDescent="0.3">
      <c r="A36" s="4" t="s">
        <v>21</v>
      </c>
      <c r="B36" s="4" t="s">
        <v>37</v>
      </c>
      <c r="C36" s="4" t="s">
        <v>38</v>
      </c>
      <c r="D36" s="4" t="s">
        <v>44</v>
      </c>
      <c r="E36" s="4" t="s">
        <v>52</v>
      </c>
      <c r="F36" s="4" t="s">
        <v>25</v>
      </c>
      <c r="G36" s="4" t="s">
        <v>25</v>
      </c>
      <c r="H36" s="4" t="s">
        <v>25</v>
      </c>
      <c r="I36" s="5">
        <v>44593</v>
      </c>
      <c r="J36" s="6">
        <v>269</v>
      </c>
      <c r="K36" s="70">
        <v>269</v>
      </c>
      <c r="L36" s="6">
        <v>0</v>
      </c>
      <c r="M36" s="70">
        <v>0</v>
      </c>
      <c r="N36" s="6">
        <v>0</v>
      </c>
      <c r="O36" s="70">
        <v>0</v>
      </c>
      <c r="P36" s="6">
        <v>2</v>
      </c>
      <c r="Q36" s="4" t="s">
        <v>26</v>
      </c>
      <c r="R36" s="4">
        <v>0</v>
      </c>
      <c r="S36" s="4">
        <v>50</v>
      </c>
      <c r="T36" s="4">
        <v>0</v>
      </c>
      <c r="U36" s="4">
        <v>0</v>
      </c>
      <c r="V36" s="70">
        <f>IF(ISERROR(VLOOKUP($S$36,'TAR FIN'!$A$1:$O$85,15,0)),0,VLOOKUP($S$36,'TAR FIN'!$A$1:$O$85,15,0))*(1-0.04)</f>
        <v>71.433599999999998</v>
      </c>
      <c r="W36" s="70">
        <f>IF(ISERROR(VLOOKUP($T$36,'TAR FIN'!$A$1:$O$85,15,0)),0,VLOOKUP($T$36,'TAR FIN'!$A$1:$O$85,15,0))</f>
        <v>0</v>
      </c>
      <c r="X36" s="70">
        <f>IF(ISERROR(VLOOKUP($U$36,'TAR FIN'!$A$1:$O$85,15,0)),0,VLOOKUP($U$36,'TAR FIN'!$A$1:$O$85,15,0))</f>
        <v>0</v>
      </c>
      <c r="Y36" s="70">
        <f ca="1">('TUSD BE'!$AM$10+'TUSD BF'!$AM$10+'TUSD CVA'!$AM$10)*1*(1-0.02)</f>
        <v>79.42015681272045</v>
      </c>
      <c r="Z36" s="70"/>
      <c r="AA36" s="70"/>
      <c r="AB36" s="70">
        <f>(SUBSIDIO!$J$36*SUBSIDIO!$V$36)*(0.04)/(1-0.04)</f>
        <v>800.65160000000003</v>
      </c>
      <c r="AC36" s="70">
        <f>((SUBSIDIO!$L$36*SUBSIDIO!$W$36)+(SUBSIDIO!$N$36*SUBSIDIO!$X$36))*(0.04)/(1-0.04)</f>
        <v>0</v>
      </c>
      <c r="AD36" s="70">
        <f ca="1">(SUBSIDIO!$J$36*SUBSIDIO!$Y$36)*(0.02)/(1-0.02)</f>
        <v>436.00045270656739</v>
      </c>
      <c r="AE36" s="70">
        <f>((SUBSIDIO!$L$36*SUBSIDIO!$Z$36)+(SUBSIDIO!$N$36*SUBSIDIO!$AA$36))*(0.02)/(1-0.02)</f>
        <v>0</v>
      </c>
      <c r="AF36" s="4" t="s">
        <v>666</v>
      </c>
    </row>
    <row r="37" spans="1:32" ht="11.25" customHeight="1" x14ac:dyDescent="0.3">
      <c r="A37" s="4" t="s">
        <v>21</v>
      </c>
      <c r="B37" s="4" t="s">
        <v>37</v>
      </c>
      <c r="C37" s="4" t="s">
        <v>38</v>
      </c>
      <c r="D37" s="4" t="s">
        <v>44</v>
      </c>
      <c r="E37" s="4" t="s">
        <v>52</v>
      </c>
      <c r="F37" s="4" t="s">
        <v>25</v>
      </c>
      <c r="G37" s="4" t="s">
        <v>25</v>
      </c>
      <c r="H37" s="4" t="s">
        <v>25</v>
      </c>
      <c r="I37" s="5">
        <v>44621</v>
      </c>
      <c r="J37" s="6">
        <v>274</v>
      </c>
      <c r="K37" s="70">
        <v>274</v>
      </c>
      <c r="L37" s="6">
        <v>0</v>
      </c>
      <c r="M37" s="70">
        <v>0</v>
      </c>
      <c r="N37" s="6">
        <v>0</v>
      </c>
      <c r="O37" s="70">
        <v>0</v>
      </c>
      <c r="P37" s="6">
        <v>2</v>
      </c>
      <c r="Q37" s="4" t="s">
        <v>26</v>
      </c>
      <c r="R37" s="4">
        <v>0</v>
      </c>
      <c r="S37" s="4">
        <v>50</v>
      </c>
      <c r="T37" s="4">
        <v>0</v>
      </c>
      <c r="U37" s="4">
        <v>0</v>
      </c>
      <c r="V37" s="70">
        <f>IF(ISERROR(VLOOKUP($S$37,'TAR FIN'!$A$1:$O$85,15,0)),0,VLOOKUP($S$37,'TAR FIN'!$A$1:$O$85,15,0))*(1-0.04)</f>
        <v>71.433599999999998</v>
      </c>
      <c r="W37" s="70">
        <f>IF(ISERROR(VLOOKUP($T$37,'TAR FIN'!$A$1:$O$85,15,0)),0,VLOOKUP($T$37,'TAR FIN'!$A$1:$O$85,15,0))</f>
        <v>0</v>
      </c>
      <c r="X37" s="70">
        <f>IF(ISERROR(VLOOKUP($U$37,'TAR FIN'!$A$1:$O$85,15,0)),0,VLOOKUP($U$37,'TAR FIN'!$A$1:$O$85,15,0))</f>
        <v>0</v>
      </c>
      <c r="Y37" s="70">
        <f ca="1">('TUSD BE'!$AM$10+'TUSD BF'!$AM$10+'TUSD CVA'!$AM$10)*1*(1-0.02)</f>
        <v>79.42015681272045</v>
      </c>
      <c r="Z37" s="70"/>
      <c r="AA37" s="70"/>
      <c r="AB37" s="70">
        <f>(SUBSIDIO!$J$37*SUBSIDIO!$V$37)*(0.04)/(1-0.04)</f>
        <v>815.53360000000009</v>
      </c>
      <c r="AC37" s="70">
        <f>((SUBSIDIO!$L$37*SUBSIDIO!$W$37)+(SUBSIDIO!$N$37*SUBSIDIO!$X$37))*(0.04)/(1-0.04)</f>
        <v>0</v>
      </c>
      <c r="AD37" s="70">
        <f ca="1">(SUBSIDIO!$J$37*SUBSIDIO!$Y$37)*(0.02)/(1-0.02)</f>
        <v>444.10455034051841</v>
      </c>
      <c r="AE37" s="70">
        <f>((SUBSIDIO!$L$37*SUBSIDIO!$Z$37)+(SUBSIDIO!$N$37*SUBSIDIO!$AA$37))*(0.02)/(1-0.02)</f>
        <v>0</v>
      </c>
      <c r="AF37" s="4" t="s">
        <v>666</v>
      </c>
    </row>
    <row r="38" spans="1:32" ht="11.25" customHeight="1" x14ac:dyDescent="0.3">
      <c r="A38" s="4" t="s">
        <v>21</v>
      </c>
      <c r="B38" s="4" t="s">
        <v>37</v>
      </c>
      <c r="C38" s="4" t="s">
        <v>38</v>
      </c>
      <c r="D38" s="4" t="s">
        <v>44</v>
      </c>
      <c r="E38" s="4" t="s">
        <v>52</v>
      </c>
      <c r="F38" s="4" t="s">
        <v>25</v>
      </c>
      <c r="G38" s="4" t="s">
        <v>25</v>
      </c>
      <c r="H38" s="4" t="s">
        <v>39</v>
      </c>
      <c r="I38" s="5">
        <v>44287</v>
      </c>
      <c r="J38" s="6">
        <v>0</v>
      </c>
      <c r="K38" s="70">
        <v>0</v>
      </c>
      <c r="L38" s="6">
        <v>0.34200000000000003</v>
      </c>
      <c r="M38" s="70">
        <v>0.34200000000000003</v>
      </c>
      <c r="N38" s="6">
        <v>0.34200000000000003</v>
      </c>
      <c r="O38" s="70">
        <v>0.34200000000000003</v>
      </c>
      <c r="P38" s="6">
        <v>0</v>
      </c>
      <c r="Q38" s="4" t="s">
        <v>26</v>
      </c>
      <c r="R38" s="4">
        <v>0</v>
      </c>
      <c r="S38" s="4">
        <v>0</v>
      </c>
      <c r="T38" s="4">
        <v>1</v>
      </c>
      <c r="U38" s="4">
        <v>73</v>
      </c>
      <c r="V38" s="70">
        <f>IF(ISERROR(VLOOKUP($S$38,'TAR FIN'!$A$1:$O$85,15,0)),0,VLOOKUP($S$38,'TAR FIN'!$A$1:$O$85,15,0))</f>
        <v>0</v>
      </c>
      <c r="W38" s="70">
        <f>IF(ISERROR(VLOOKUP($T$38,'TAR FIN'!$A$1:$O$85,15,0)),0,VLOOKUP($T$38,'TAR FIN'!$A$1:$O$85,15,0))*(1-0.04)</f>
        <v>4406.0928000000004</v>
      </c>
      <c r="X38" s="70">
        <f>IF(ISERROR(VLOOKUP($U$38,'TAR FIN'!$A$1:$O$85,15,0)),0,VLOOKUP($U$38,'TAR FIN'!$A$1:$O$85,15,0))*(1-0.04)</f>
        <v>230.67839999999998</v>
      </c>
      <c r="Y38" s="70"/>
      <c r="Z38" s="70">
        <f ca="1">('TUSD BE'!$AM$11+'TUSD BF'!$AM$11+'TUSD CVA'!$AM$11)*1*(1-0.02)</f>
        <v>4946.5064285219523</v>
      </c>
      <c r="AA38" s="70">
        <f>('TE BE'!$AA$5+'TE BF'!$AA$5+'TE CVA'!$AA$5)*1*(1-0.02)</f>
        <v>324.11624589306081</v>
      </c>
      <c r="AB38" s="70">
        <f>(SUBSIDIO!$J$38*SUBSIDIO!$V$38)*(0.04)/(1-0.04)</f>
        <v>0</v>
      </c>
      <c r="AC38" s="70">
        <f>((SUBSIDIO!$L$38*SUBSIDIO!$W$38)+(SUBSIDIO!$N$38*SUBSIDIO!$X$38))*(0.04)/(1-0.04)</f>
        <v>66.073989600000004</v>
      </c>
      <c r="AD38" s="70">
        <f>(SUBSIDIO!$J$38*SUBSIDIO!$Y$38)*(0.02)/(1-0.02)</f>
        <v>0</v>
      </c>
      <c r="AE38" s="70">
        <f ca="1">((SUBSIDIO!$L$38*SUBSIDIO!$Z$38)+(SUBSIDIO!$N$38*SUBSIDIO!$AA$38))*(0.02)/(1-0.02)</f>
        <v>36.78679499285581</v>
      </c>
      <c r="AF38" s="4" t="s">
        <v>666</v>
      </c>
    </row>
    <row r="39" spans="1:32" ht="11.25" customHeight="1" x14ac:dyDescent="0.3">
      <c r="A39" s="4" t="s">
        <v>21</v>
      </c>
      <c r="B39" s="4" t="s">
        <v>37</v>
      </c>
      <c r="C39" s="4" t="s">
        <v>38</v>
      </c>
      <c r="D39" s="4" t="s">
        <v>44</v>
      </c>
      <c r="E39" s="4" t="s">
        <v>52</v>
      </c>
      <c r="F39" s="4" t="s">
        <v>25</v>
      </c>
      <c r="G39" s="4" t="s">
        <v>25</v>
      </c>
      <c r="H39" s="4" t="s">
        <v>39</v>
      </c>
      <c r="I39" s="5">
        <v>44317</v>
      </c>
      <c r="J39" s="6">
        <v>0</v>
      </c>
      <c r="K39" s="70">
        <v>0</v>
      </c>
      <c r="L39" s="6">
        <v>0.33</v>
      </c>
      <c r="M39" s="70">
        <v>0.33</v>
      </c>
      <c r="N39" s="6">
        <v>0.33</v>
      </c>
      <c r="O39" s="70">
        <v>0.33</v>
      </c>
      <c r="P39" s="6">
        <v>0</v>
      </c>
      <c r="Q39" s="4" t="s">
        <v>26</v>
      </c>
      <c r="R39" s="4">
        <v>0</v>
      </c>
      <c r="S39" s="4">
        <v>0</v>
      </c>
      <c r="T39" s="4">
        <v>1</v>
      </c>
      <c r="U39" s="4">
        <v>73</v>
      </c>
      <c r="V39" s="70">
        <f>IF(ISERROR(VLOOKUP($S$39,'TAR FIN'!$A$1:$O$85,15,0)),0,VLOOKUP($S$39,'TAR FIN'!$A$1:$O$85,15,0))</f>
        <v>0</v>
      </c>
      <c r="W39" s="70">
        <f>IF(ISERROR(VLOOKUP($T$39,'TAR FIN'!$A$1:$O$85,15,0)),0,VLOOKUP($T$39,'TAR FIN'!$A$1:$O$85,15,0))*(1-0.04)</f>
        <v>4406.0928000000004</v>
      </c>
      <c r="X39" s="70">
        <f>IF(ISERROR(VLOOKUP($U$39,'TAR FIN'!$A$1:$O$85,15,0)),0,VLOOKUP($U$39,'TAR FIN'!$A$1:$O$85,15,0))*(1-0.04)</f>
        <v>230.67839999999998</v>
      </c>
      <c r="Y39" s="70"/>
      <c r="Z39" s="70">
        <f ca="1">('TUSD BE'!$AM$11+'TUSD BF'!$AM$11+'TUSD CVA'!$AM$11)*1*(1-0.02)</f>
        <v>4946.5064285219523</v>
      </c>
      <c r="AA39" s="70">
        <f>('TE BE'!$AA$5+'TE BF'!$AA$5+'TE CVA'!$AA$5)*1*(1-0.02)</f>
        <v>324.11624589306081</v>
      </c>
      <c r="AB39" s="70">
        <f>(SUBSIDIO!$J$39*SUBSIDIO!$V$39)*(0.04)/(1-0.04)</f>
        <v>0</v>
      </c>
      <c r="AC39" s="70">
        <f>((SUBSIDIO!$L$39*SUBSIDIO!$W$39)+(SUBSIDIO!$N$39*SUBSIDIO!$X$39))*(0.04)/(1-0.04)</f>
        <v>63.755604000000005</v>
      </c>
      <c r="AD39" s="70">
        <f>(SUBSIDIO!$J$39*SUBSIDIO!$Y$39)*(0.02)/(1-0.02)</f>
        <v>0</v>
      </c>
      <c r="AE39" s="70">
        <f ca="1">((SUBSIDIO!$L$39*SUBSIDIO!$Z$39)+(SUBSIDIO!$N$39*SUBSIDIO!$AA$39))*(0.02)/(1-0.02)</f>
        <v>35.496030256264383</v>
      </c>
      <c r="AF39" s="4" t="s">
        <v>666</v>
      </c>
    </row>
    <row r="40" spans="1:32" ht="11.25" customHeight="1" x14ac:dyDescent="0.3">
      <c r="A40" s="4" t="s">
        <v>21</v>
      </c>
      <c r="B40" s="4" t="s">
        <v>37</v>
      </c>
      <c r="C40" s="4" t="s">
        <v>38</v>
      </c>
      <c r="D40" s="4" t="s">
        <v>44</v>
      </c>
      <c r="E40" s="4" t="s">
        <v>52</v>
      </c>
      <c r="F40" s="4" t="s">
        <v>25</v>
      </c>
      <c r="G40" s="4" t="s">
        <v>25</v>
      </c>
      <c r="H40" s="4" t="s">
        <v>39</v>
      </c>
      <c r="I40" s="5">
        <v>44348</v>
      </c>
      <c r="J40" s="6">
        <v>0</v>
      </c>
      <c r="K40" s="70">
        <v>0</v>
      </c>
      <c r="L40" s="6">
        <v>0.375</v>
      </c>
      <c r="M40" s="70">
        <v>0.375</v>
      </c>
      <c r="N40" s="6">
        <v>0.375</v>
      </c>
      <c r="O40" s="70">
        <v>0.375</v>
      </c>
      <c r="P40" s="6">
        <v>0</v>
      </c>
      <c r="Q40" s="4" t="s">
        <v>26</v>
      </c>
      <c r="R40" s="4">
        <v>0</v>
      </c>
      <c r="S40" s="4">
        <v>0</v>
      </c>
      <c r="T40" s="4">
        <v>1</v>
      </c>
      <c r="U40" s="4">
        <v>73</v>
      </c>
      <c r="V40" s="70">
        <f>IF(ISERROR(VLOOKUP($S$40,'TAR FIN'!$A$1:$O$85,15,0)),0,VLOOKUP($S$40,'TAR FIN'!$A$1:$O$85,15,0))</f>
        <v>0</v>
      </c>
      <c r="W40" s="70">
        <f>IF(ISERROR(VLOOKUP($T$40,'TAR FIN'!$A$1:$O$85,15,0)),0,VLOOKUP($T$40,'TAR FIN'!$A$1:$O$85,15,0))*(1-0.04)</f>
        <v>4406.0928000000004</v>
      </c>
      <c r="X40" s="70">
        <f>IF(ISERROR(VLOOKUP($U$40,'TAR FIN'!$A$1:$O$85,15,0)),0,VLOOKUP($U$40,'TAR FIN'!$A$1:$O$85,15,0))*(1-0.04)</f>
        <v>230.67839999999998</v>
      </c>
      <c r="Y40" s="70"/>
      <c r="Z40" s="70">
        <f ca="1">('TUSD BE'!$AM$11+'TUSD BF'!$AM$11+'TUSD CVA'!$AM$11)*1*(1-0.02)</f>
        <v>4946.5064285219523</v>
      </c>
      <c r="AA40" s="70">
        <f>('TE BE'!$AA$5+'TE BF'!$AA$5+'TE CVA'!$AA$5)*1*(1-0.02)</f>
        <v>324.11624589306081</v>
      </c>
      <c r="AB40" s="70">
        <f>(SUBSIDIO!$J$40*SUBSIDIO!$V$40)*(0.04)/(1-0.04)</f>
        <v>0</v>
      </c>
      <c r="AC40" s="70">
        <f>((SUBSIDIO!$L$40*SUBSIDIO!$W$40)+(SUBSIDIO!$N$40*SUBSIDIO!$X$40))*(0.04)/(1-0.04)</f>
        <v>72.449550000000002</v>
      </c>
      <c r="AD40" s="70">
        <f>(SUBSIDIO!$J$40*SUBSIDIO!$Y$40)*(0.02)/(1-0.02)</f>
        <v>0</v>
      </c>
      <c r="AE40" s="70">
        <f ca="1">((SUBSIDIO!$L$40*SUBSIDIO!$Z$40)+(SUBSIDIO!$N$40*SUBSIDIO!$AA$40))*(0.02)/(1-0.02)</f>
        <v>40.336398018482249</v>
      </c>
      <c r="AF40" s="4" t="s">
        <v>666</v>
      </c>
    </row>
    <row r="41" spans="1:32" ht="11.25" customHeight="1" x14ac:dyDescent="0.3">
      <c r="A41" s="4" t="s">
        <v>21</v>
      </c>
      <c r="B41" s="4" t="s">
        <v>37</v>
      </c>
      <c r="C41" s="4" t="s">
        <v>38</v>
      </c>
      <c r="D41" s="4" t="s">
        <v>44</v>
      </c>
      <c r="E41" s="4" t="s">
        <v>52</v>
      </c>
      <c r="F41" s="4" t="s">
        <v>25</v>
      </c>
      <c r="G41" s="4" t="s">
        <v>25</v>
      </c>
      <c r="H41" s="4" t="s">
        <v>39</v>
      </c>
      <c r="I41" s="5">
        <v>44378</v>
      </c>
      <c r="J41" s="6">
        <v>0</v>
      </c>
      <c r="K41" s="70">
        <v>0</v>
      </c>
      <c r="L41" s="6">
        <v>0.42399999999999999</v>
      </c>
      <c r="M41" s="70">
        <v>0.42399999999999999</v>
      </c>
      <c r="N41" s="6">
        <v>0.42399999999999999</v>
      </c>
      <c r="O41" s="70">
        <v>0.42399999999999999</v>
      </c>
      <c r="P41" s="6">
        <v>0</v>
      </c>
      <c r="Q41" s="4" t="s">
        <v>26</v>
      </c>
      <c r="R41" s="4">
        <v>0</v>
      </c>
      <c r="S41" s="4">
        <v>0</v>
      </c>
      <c r="T41" s="4">
        <v>1</v>
      </c>
      <c r="U41" s="4">
        <v>73</v>
      </c>
      <c r="V41" s="70">
        <f>IF(ISERROR(VLOOKUP($S$41,'TAR FIN'!$A$1:$O$85,15,0)),0,VLOOKUP($S$41,'TAR FIN'!$A$1:$O$85,15,0))</f>
        <v>0</v>
      </c>
      <c r="W41" s="70">
        <f>IF(ISERROR(VLOOKUP($T$41,'TAR FIN'!$A$1:$O$85,15,0)),0,VLOOKUP($T$41,'TAR FIN'!$A$1:$O$85,15,0))*(1-0.04)</f>
        <v>4406.0928000000004</v>
      </c>
      <c r="X41" s="70">
        <f>IF(ISERROR(VLOOKUP($U$41,'TAR FIN'!$A$1:$O$85,15,0)),0,VLOOKUP($U$41,'TAR FIN'!$A$1:$O$85,15,0))*(1-0.04)</f>
        <v>230.67839999999998</v>
      </c>
      <c r="Y41" s="70"/>
      <c r="Z41" s="70">
        <f ca="1">('TUSD BE'!$AM$11+'TUSD BF'!$AM$11+'TUSD CVA'!$AM$11)*1*(1-0.02)</f>
        <v>4946.5064285219523</v>
      </c>
      <c r="AA41" s="70">
        <f>('TE BE'!$AA$5+'TE BF'!$AA$5+'TE CVA'!$AA$5)*1*(1-0.02)</f>
        <v>324.11624589306081</v>
      </c>
      <c r="AB41" s="70">
        <f>(SUBSIDIO!$J$41*SUBSIDIO!$V$41)*(0.04)/(1-0.04)</f>
        <v>0</v>
      </c>
      <c r="AC41" s="70">
        <f>((SUBSIDIO!$L$41*SUBSIDIO!$W$41)+(SUBSIDIO!$N$41*SUBSIDIO!$X$41))*(0.04)/(1-0.04)</f>
        <v>81.916291200000003</v>
      </c>
      <c r="AD41" s="70">
        <f>(SUBSIDIO!$J$41*SUBSIDIO!$Y$41)*(0.02)/(1-0.02)</f>
        <v>0</v>
      </c>
      <c r="AE41" s="70">
        <f ca="1">((SUBSIDIO!$L$41*SUBSIDIO!$Z$41)+(SUBSIDIO!$N$41*SUBSIDIO!$AA$41))*(0.02)/(1-0.02)</f>
        <v>45.607020692897265</v>
      </c>
      <c r="AF41" s="4" t="s">
        <v>666</v>
      </c>
    </row>
    <row r="42" spans="1:32" ht="11.25" customHeight="1" x14ac:dyDescent="0.3">
      <c r="A42" s="4" t="s">
        <v>21</v>
      </c>
      <c r="B42" s="4" t="s">
        <v>37</v>
      </c>
      <c r="C42" s="4" t="s">
        <v>38</v>
      </c>
      <c r="D42" s="4" t="s">
        <v>44</v>
      </c>
      <c r="E42" s="4" t="s">
        <v>52</v>
      </c>
      <c r="F42" s="4" t="s">
        <v>25</v>
      </c>
      <c r="G42" s="4" t="s">
        <v>25</v>
      </c>
      <c r="H42" s="4" t="s">
        <v>39</v>
      </c>
      <c r="I42" s="5">
        <v>44409</v>
      </c>
      <c r="J42" s="6">
        <v>0</v>
      </c>
      <c r="K42" s="70">
        <v>0</v>
      </c>
      <c r="L42" s="6">
        <v>0.45700000000000002</v>
      </c>
      <c r="M42" s="70">
        <v>0.45700000000000002</v>
      </c>
      <c r="N42" s="6">
        <v>0.45700000000000002</v>
      </c>
      <c r="O42" s="70">
        <v>0.45700000000000002</v>
      </c>
      <c r="P42" s="6">
        <v>0</v>
      </c>
      <c r="Q42" s="4" t="s">
        <v>26</v>
      </c>
      <c r="R42" s="4">
        <v>0</v>
      </c>
      <c r="S42" s="4">
        <v>0</v>
      </c>
      <c r="T42" s="4">
        <v>1</v>
      </c>
      <c r="U42" s="4">
        <v>73</v>
      </c>
      <c r="V42" s="70">
        <f>IF(ISERROR(VLOOKUP($S$42,'TAR FIN'!$A$1:$O$85,15,0)),0,VLOOKUP($S$42,'TAR FIN'!$A$1:$O$85,15,0))</f>
        <v>0</v>
      </c>
      <c r="W42" s="70">
        <f>IF(ISERROR(VLOOKUP($T$42,'TAR FIN'!$A$1:$O$85,15,0)),0,VLOOKUP($T$42,'TAR FIN'!$A$1:$O$85,15,0))*(1-0.04)</f>
        <v>4406.0928000000004</v>
      </c>
      <c r="X42" s="70">
        <f>IF(ISERROR(VLOOKUP($U$42,'TAR FIN'!$A$1:$O$85,15,0)),0,VLOOKUP($U$42,'TAR FIN'!$A$1:$O$85,15,0))*(1-0.04)</f>
        <v>230.67839999999998</v>
      </c>
      <c r="Y42" s="70"/>
      <c r="Z42" s="70">
        <f ca="1">('TUSD BE'!$AM$11+'TUSD BF'!$AM$11+'TUSD CVA'!$AM$11)*1*(1-0.02)</f>
        <v>4946.5064285219523</v>
      </c>
      <c r="AA42" s="70">
        <f>('TE BE'!$AA$5+'TE BF'!$AA$5+'TE CVA'!$AA$5)*1*(1-0.02)</f>
        <v>324.11624589306081</v>
      </c>
      <c r="AB42" s="70">
        <f>(SUBSIDIO!$J$42*SUBSIDIO!$V$42)*(0.04)/(1-0.04)</f>
        <v>0</v>
      </c>
      <c r="AC42" s="70">
        <f>((SUBSIDIO!$L$42*SUBSIDIO!$W$42)+(SUBSIDIO!$N$42*SUBSIDIO!$X$42))*(0.04)/(1-0.04)</f>
        <v>88.291851600000015</v>
      </c>
      <c r="AD42" s="70">
        <f>(SUBSIDIO!$J$42*SUBSIDIO!$Y$42)*(0.02)/(1-0.02)</f>
        <v>0</v>
      </c>
      <c r="AE42" s="70">
        <f ca="1">((SUBSIDIO!$L$42*SUBSIDIO!$Z$42)+(SUBSIDIO!$N$42*SUBSIDIO!$AA$42))*(0.02)/(1-0.02)</f>
        <v>49.15662371852369</v>
      </c>
      <c r="AF42" s="4" t="s">
        <v>666</v>
      </c>
    </row>
    <row r="43" spans="1:32" ht="11.25" customHeight="1" x14ac:dyDescent="0.3">
      <c r="A43" s="4" t="s">
        <v>21</v>
      </c>
      <c r="B43" s="4" t="s">
        <v>37</v>
      </c>
      <c r="C43" s="4" t="s">
        <v>38</v>
      </c>
      <c r="D43" s="4" t="s">
        <v>44</v>
      </c>
      <c r="E43" s="4" t="s">
        <v>52</v>
      </c>
      <c r="F43" s="4" t="s">
        <v>25</v>
      </c>
      <c r="G43" s="4" t="s">
        <v>25</v>
      </c>
      <c r="H43" s="4" t="s">
        <v>39</v>
      </c>
      <c r="I43" s="5">
        <v>44440</v>
      </c>
      <c r="J43" s="6">
        <v>0</v>
      </c>
      <c r="K43" s="70">
        <v>0</v>
      </c>
      <c r="L43" s="6">
        <v>0.39700000000000002</v>
      </c>
      <c r="M43" s="70">
        <v>0.39700000000000002</v>
      </c>
      <c r="N43" s="6">
        <v>0.39700000000000002</v>
      </c>
      <c r="O43" s="70">
        <v>0.39700000000000002</v>
      </c>
      <c r="P43" s="6">
        <v>0</v>
      </c>
      <c r="Q43" s="4" t="s">
        <v>26</v>
      </c>
      <c r="R43" s="4">
        <v>0</v>
      </c>
      <c r="S43" s="4">
        <v>0</v>
      </c>
      <c r="T43" s="4">
        <v>1</v>
      </c>
      <c r="U43" s="4">
        <v>73</v>
      </c>
      <c r="V43" s="70">
        <f>IF(ISERROR(VLOOKUP($S$43,'TAR FIN'!$A$1:$O$85,15,0)),0,VLOOKUP($S$43,'TAR FIN'!$A$1:$O$85,15,0))</f>
        <v>0</v>
      </c>
      <c r="W43" s="70">
        <f>IF(ISERROR(VLOOKUP($T$43,'TAR FIN'!$A$1:$O$85,15,0)),0,VLOOKUP($T$43,'TAR FIN'!$A$1:$O$85,15,0))*(1-0.04)</f>
        <v>4406.0928000000004</v>
      </c>
      <c r="X43" s="70">
        <f>IF(ISERROR(VLOOKUP($U$43,'TAR FIN'!$A$1:$O$85,15,0)),0,VLOOKUP($U$43,'TAR FIN'!$A$1:$O$85,15,0))*(1-0.04)</f>
        <v>230.67839999999998</v>
      </c>
      <c r="Y43" s="70"/>
      <c r="Z43" s="70">
        <f ca="1">('TUSD BE'!$AM$11+'TUSD BF'!$AM$11+'TUSD CVA'!$AM$11)*1*(1-0.02)</f>
        <v>4946.5064285219523</v>
      </c>
      <c r="AA43" s="70">
        <f>('TE BE'!$AA$5+'TE BF'!$AA$5+'TE CVA'!$AA$5)*1*(1-0.02)</f>
        <v>324.11624589306081</v>
      </c>
      <c r="AB43" s="70">
        <f>(SUBSIDIO!$J$43*SUBSIDIO!$V$43)*(0.04)/(1-0.04)</f>
        <v>0</v>
      </c>
      <c r="AC43" s="70">
        <f>((SUBSIDIO!$L$43*SUBSIDIO!$W$43)+(SUBSIDIO!$N$43*SUBSIDIO!$X$43))*(0.04)/(1-0.04)</f>
        <v>76.699923600000005</v>
      </c>
      <c r="AD43" s="70">
        <f>(SUBSIDIO!$J$43*SUBSIDIO!$Y$43)*(0.02)/(1-0.02)</f>
        <v>0</v>
      </c>
      <c r="AE43" s="70">
        <f ca="1">((SUBSIDIO!$L$43*SUBSIDIO!$Z$43)+(SUBSIDIO!$N$43*SUBSIDIO!$AA$43))*(0.02)/(1-0.02)</f>
        <v>42.70280003556654</v>
      </c>
      <c r="AF43" s="4" t="s">
        <v>666</v>
      </c>
    </row>
    <row r="44" spans="1:32" ht="11.25" customHeight="1" x14ac:dyDescent="0.3">
      <c r="A44" s="4" t="s">
        <v>21</v>
      </c>
      <c r="B44" s="4" t="s">
        <v>37</v>
      </c>
      <c r="C44" s="4" t="s">
        <v>38</v>
      </c>
      <c r="D44" s="4" t="s">
        <v>44</v>
      </c>
      <c r="E44" s="4" t="s">
        <v>52</v>
      </c>
      <c r="F44" s="4" t="s">
        <v>25</v>
      </c>
      <c r="G44" s="4" t="s">
        <v>25</v>
      </c>
      <c r="H44" s="4" t="s">
        <v>39</v>
      </c>
      <c r="I44" s="5">
        <v>44470</v>
      </c>
      <c r="J44" s="6">
        <v>0</v>
      </c>
      <c r="K44" s="70">
        <v>0</v>
      </c>
      <c r="L44" s="6">
        <v>0.35099999999999998</v>
      </c>
      <c r="M44" s="70">
        <v>0.35099999999999998</v>
      </c>
      <c r="N44" s="6">
        <v>0.35099999999999998</v>
      </c>
      <c r="O44" s="70">
        <v>0.35099999999999998</v>
      </c>
      <c r="P44" s="6">
        <v>0</v>
      </c>
      <c r="Q44" s="4" t="s">
        <v>26</v>
      </c>
      <c r="R44" s="4">
        <v>0</v>
      </c>
      <c r="S44" s="4">
        <v>0</v>
      </c>
      <c r="T44" s="4">
        <v>1</v>
      </c>
      <c r="U44" s="4">
        <v>73</v>
      </c>
      <c r="V44" s="70">
        <f>IF(ISERROR(VLOOKUP($S$44,'TAR FIN'!$A$1:$O$85,15,0)),0,VLOOKUP($S$44,'TAR FIN'!$A$1:$O$85,15,0))</f>
        <v>0</v>
      </c>
      <c r="W44" s="70">
        <f>IF(ISERROR(VLOOKUP($T$44,'TAR FIN'!$A$1:$O$85,15,0)),0,VLOOKUP($T$44,'TAR FIN'!$A$1:$O$85,15,0))*(1-0.04)</f>
        <v>4406.0928000000004</v>
      </c>
      <c r="X44" s="70">
        <f>IF(ISERROR(VLOOKUP($U$44,'TAR FIN'!$A$1:$O$85,15,0)),0,VLOOKUP($U$44,'TAR FIN'!$A$1:$O$85,15,0))*(1-0.04)</f>
        <v>230.67839999999998</v>
      </c>
      <c r="Y44" s="70"/>
      <c r="Z44" s="70">
        <f ca="1">('TUSD BE'!$AM$11+'TUSD BF'!$AM$11+'TUSD CVA'!$AM$11)*1*(1-0.02)</f>
        <v>4946.5064285219523</v>
      </c>
      <c r="AA44" s="70">
        <f>('TE BE'!$AA$5+'TE BF'!$AA$5+'TE CVA'!$AA$5)*1*(1-0.02)</f>
        <v>324.11624589306081</v>
      </c>
      <c r="AB44" s="70">
        <f>(SUBSIDIO!$J$44*SUBSIDIO!$V$44)*(0.04)/(1-0.04)</f>
        <v>0</v>
      </c>
      <c r="AC44" s="70">
        <f>((SUBSIDIO!$L$44*SUBSIDIO!$W$44)+(SUBSIDIO!$N$44*SUBSIDIO!$X$44))*(0.04)/(1-0.04)</f>
        <v>67.812778800000018</v>
      </c>
      <c r="AD44" s="70">
        <f>(SUBSIDIO!$J$44*SUBSIDIO!$Y$44)*(0.02)/(1-0.02)</f>
        <v>0</v>
      </c>
      <c r="AE44" s="70">
        <f ca="1">((SUBSIDIO!$L$44*SUBSIDIO!$Z$44)+(SUBSIDIO!$N$44*SUBSIDIO!$AA$44))*(0.02)/(1-0.02)</f>
        <v>37.754868545299381</v>
      </c>
      <c r="AF44" s="4" t="s">
        <v>666</v>
      </c>
    </row>
    <row r="45" spans="1:32" ht="11.25" customHeight="1" x14ac:dyDescent="0.3">
      <c r="A45" s="4" t="s">
        <v>21</v>
      </c>
      <c r="B45" s="4" t="s">
        <v>37</v>
      </c>
      <c r="C45" s="4" t="s">
        <v>38</v>
      </c>
      <c r="D45" s="4" t="s">
        <v>44</v>
      </c>
      <c r="E45" s="4" t="s">
        <v>52</v>
      </c>
      <c r="F45" s="4" t="s">
        <v>25</v>
      </c>
      <c r="G45" s="4" t="s">
        <v>25</v>
      </c>
      <c r="H45" s="4" t="s">
        <v>39</v>
      </c>
      <c r="I45" s="5">
        <v>44501</v>
      </c>
      <c r="J45" s="6">
        <v>0</v>
      </c>
      <c r="K45" s="70">
        <v>0</v>
      </c>
      <c r="L45" s="6">
        <v>0.39700000000000002</v>
      </c>
      <c r="M45" s="70">
        <v>0.39700000000000002</v>
      </c>
      <c r="N45" s="6">
        <v>0.39700000000000002</v>
      </c>
      <c r="O45" s="70">
        <v>0.39700000000000002</v>
      </c>
      <c r="P45" s="6">
        <v>0</v>
      </c>
      <c r="Q45" s="4" t="s">
        <v>26</v>
      </c>
      <c r="R45" s="4">
        <v>0</v>
      </c>
      <c r="S45" s="4">
        <v>0</v>
      </c>
      <c r="T45" s="4">
        <v>1</v>
      </c>
      <c r="U45" s="4">
        <v>73</v>
      </c>
      <c r="V45" s="70">
        <f>IF(ISERROR(VLOOKUP($S$45,'TAR FIN'!$A$1:$O$85,15,0)),0,VLOOKUP($S$45,'TAR FIN'!$A$1:$O$85,15,0))</f>
        <v>0</v>
      </c>
      <c r="W45" s="70">
        <f>IF(ISERROR(VLOOKUP($T$45,'TAR FIN'!$A$1:$O$85,15,0)),0,VLOOKUP($T$45,'TAR FIN'!$A$1:$O$85,15,0))*(1-0.04)</f>
        <v>4406.0928000000004</v>
      </c>
      <c r="X45" s="70">
        <f>IF(ISERROR(VLOOKUP($U$45,'TAR FIN'!$A$1:$O$85,15,0)),0,VLOOKUP($U$45,'TAR FIN'!$A$1:$O$85,15,0))*(1-0.04)</f>
        <v>230.67839999999998</v>
      </c>
      <c r="Y45" s="70"/>
      <c r="Z45" s="70">
        <f ca="1">('TUSD BE'!$AM$11+'TUSD BF'!$AM$11+'TUSD CVA'!$AM$11)*1*(1-0.02)</f>
        <v>4946.5064285219523</v>
      </c>
      <c r="AA45" s="70">
        <f>('TE BE'!$AA$5+'TE BF'!$AA$5+'TE CVA'!$AA$5)*1*(1-0.02)</f>
        <v>324.11624589306081</v>
      </c>
      <c r="AB45" s="70">
        <f>(SUBSIDIO!$J$45*SUBSIDIO!$V$45)*(0.04)/(1-0.04)</f>
        <v>0</v>
      </c>
      <c r="AC45" s="70">
        <f>((SUBSIDIO!$L$45*SUBSIDIO!$W$45)+(SUBSIDIO!$N$45*SUBSIDIO!$X$45))*(0.04)/(1-0.04)</f>
        <v>76.699923600000005</v>
      </c>
      <c r="AD45" s="70">
        <f>(SUBSIDIO!$J$45*SUBSIDIO!$Y$45)*(0.02)/(1-0.02)</f>
        <v>0</v>
      </c>
      <c r="AE45" s="70">
        <f ca="1">((SUBSIDIO!$L$45*SUBSIDIO!$Z$45)+(SUBSIDIO!$N$45*SUBSIDIO!$AA$45))*(0.02)/(1-0.02)</f>
        <v>42.70280003556654</v>
      </c>
      <c r="AF45" s="4" t="s">
        <v>666</v>
      </c>
    </row>
    <row r="46" spans="1:32" ht="11.25" customHeight="1" x14ac:dyDescent="0.3">
      <c r="A46" s="4" t="s">
        <v>21</v>
      </c>
      <c r="B46" s="4" t="s">
        <v>37</v>
      </c>
      <c r="C46" s="4" t="s">
        <v>38</v>
      </c>
      <c r="D46" s="4" t="s">
        <v>44</v>
      </c>
      <c r="E46" s="4" t="s">
        <v>52</v>
      </c>
      <c r="F46" s="4" t="s">
        <v>25</v>
      </c>
      <c r="G46" s="4" t="s">
        <v>25</v>
      </c>
      <c r="H46" s="4" t="s">
        <v>39</v>
      </c>
      <c r="I46" s="5">
        <v>44531</v>
      </c>
      <c r="J46" s="6">
        <v>0</v>
      </c>
      <c r="K46" s="70">
        <v>0</v>
      </c>
      <c r="L46" s="6">
        <v>0.39500000000000002</v>
      </c>
      <c r="M46" s="70">
        <v>0.39500000000000002</v>
      </c>
      <c r="N46" s="6">
        <v>0.39500000000000002</v>
      </c>
      <c r="O46" s="70">
        <v>0.39500000000000002</v>
      </c>
      <c r="P46" s="6">
        <v>0</v>
      </c>
      <c r="Q46" s="4" t="s">
        <v>26</v>
      </c>
      <c r="R46" s="4">
        <v>0</v>
      </c>
      <c r="S46" s="4">
        <v>0</v>
      </c>
      <c r="T46" s="4">
        <v>1</v>
      </c>
      <c r="U46" s="4">
        <v>73</v>
      </c>
      <c r="V46" s="70">
        <f>IF(ISERROR(VLOOKUP($S$46,'TAR FIN'!$A$1:$O$85,15,0)),0,VLOOKUP($S$46,'TAR FIN'!$A$1:$O$85,15,0))</f>
        <v>0</v>
      </c>
      <c r="W46" s="70">
        <f>IF(ISERROR(VLOOKUP($T$46,'TAR FIN'!$A$1:$O$85,15,0)),0,VLOOKUP($T$46,'TAR FIN'!$A$1:$O$85,15,0))*(1-0.04)</f>
        <v>4406.0928000000004</v>
      </c>
      <c r="X46" s="70">
        <f>IF(ISERROR(VLOOKUP($U$46,'TAR FIN'!$A$1:$O$85,15,0)),0,VLOOKUP($U$46,'TAR FIN'!$A$1:$O$85,15,0))*(1-0.04)</f>
        <v>230.67839999999998</v>
      </c>
      <c r="Y46" s="70"/>
      <c r="Z46" s="70">
        <f ca="1">('TUSD BE'!$AM$11+'TUSD BF'!$AM$11+'TUSD CVA'!$AM$11)*1*(1-0.02)</f>
        <v>4946.5064285219523</v>
      </c>
      <c r="AA46" s="70">
        <f>('TE BE'!$AA$5+'TE BF'!$AA$5+'TE CVA'!$AA$5)*1*(1-0.02)</f>
        <v>324.11624589306081</v>
      </c>
      <c r="AB46" s="70">
        <f>(SUBSIDIO!$J$46*SUBSIDIO!$V$46)*(0.04)/(1-0.04)</f>
        <v>0</v>
      </c>
      <c r="AC46" s="70">
        <f>((SUBSIDIO!$L$46*SUBSIDIO!$W$46)+(SUBSIDIO!$N$46*SUBSIDIO!$X$46))*(0.04)/(1-0.04)</f>
        <v>76.31352600000001</v>
      </c>
      <c r="AD46" s="70">
        <f>(SUBSIDIO!$J$46*SUBSIDIO!$Y$46)*(0.02)/(1-0.02)</f>
        <v>0</v>
      </c>
      <c r="AE46" s="70">
        <f ca="1">((SUBSIDIO!$L$46*SUBSIDIO!$Z$46)+(SUBSIDIO!$N$46*SUBSIDIO!$AA$46))*(0.02)/(1-0.02)</f>
        <v>42.487672579467961</v>
      </c>
      <c r="AF46" s="4" t="s">
        <v>666</v>
      </c>
    </row>
    <row r="47" spans="1:32" ht="11.25" customHeight="1" x14ac:dyDescent="0.3">
      <c r="A47" s="4" t="s">
        <v>21</v>
      </c>
      <c r="B47" s="4" t="s">
        <v>37</v>
      </c>
      <c r="C47" s="4" t="s">
        <v>38</v>
      </c>
      <c r="D47" s="4" t="s">
        <v>44</v>
      </c>
      <c r="E47" s="4" t="s">
        <v>52</v>
      </c>
      <c r="F47" s="4" t="s">
        <v>25</v>
      </c>
      <c r="G47" s="4" t="s">
        <v>25</v>
      </c>
      <c r="H47" s="4" t="s">
        <v>39</v>
      </c>
      <c r="I47" s="5">
        <v>44562</v>
      </c>
      <c r="J47" s="6">
        <v>0</v>
      </c>
      <c r="K47" s="70">
        <v>0</v>
      </c>
      <c r="L47" s="6">
        <v>0.40300000000000002</v>
      </c>
      <c r="M47" s="70">
        <v>0.40300000000000002</v>
      </c>
      <c r="N47" s="6">
        <v>0.40300000000000002</v>
      </c>
      <c r="O47" s="70">
        <v>0.40300000000000002</v>
      </c>
      <c r="P47" s="6">
        <v>0</v>
      </c>
      <c r="Q47" s="4" t="s">
        <v>26</v>
      </c>
      <c r="R47" s="4">
        <v>0</v>
      </c>
      <c r="S47" s="4">
        <v>0</v>
      </c>
      <c r="T47" s="4">
        <v>1</v>
      </c>
      <c r="U47" s="4">
        <v>73</v>
      </c>
      <c r="V47" s="70">
        <f>IF(ISERROR(VLOOKUP($S$47,'TAR FIN'!$A$1:$O$85,15,0)),0,VLOOKUP($S$47,'TAR FIN'!$A$1:$O$85,15,0))</f>
        <v>0</v>
      </c>
      <c r="W47" s="70">
        <f>IF(ISERROR(VLOOKUP($T$47,'TAR FIN'!$A$1:$O$85,15,0)),0,VLOOKUP($T$47,'TAR FIN'!$A$1:$O$85,15,0))*(1-0.04)</f>
        <v>4406.0928000000004</v>
      </c>
      <c r="X47" s="70">
        <f>IF(ISERROR(VLOOKUP($U$47,'TAR FIN'!$A$1:$O$85,15,0)),0,VLOOKUP($U$47,'TAR FIN'!$A$1:$O$85,15,0))*(1-0.04)</f>
        <v>230.67839999999998</v>
      </c>
      <c r="Y47" s="70"/>
      <c r="Z47" s="70">
        <f ca="1">('TUSD BE'!$AM$11+'TUSD BF'!$AM$11+'TUSD CVA'!$AM$11)*1*(1-0.02)</f>
        <v>4946.5064285219523</v>
      </c>
      <c r="AA47" s="70">
        <f>('TE BE'!$AA$5+'TE BF'!$AA$5+'TE CVA'!$AA$5)*1*(1-0.02)</f>
        <v>324.11624589306081</v>
      </c>
      <c r="AB47" s="70">
        <f>(SUBSIDIO!$J$47*SUBSIDIO!$V$47)*(0.04)/(1-0.04)</f>
        <v>0</v>
      </c>
      <c r="AC47" s="70">
        <f>((SUBSIDIO!$L$47*SUBSIDIO!$W$47)+(SUBSIDIO!$N$47*SUBSIDIO!$X$47))*(0.04)/(1-0.04)</f>
        <v>77.859116400000019</v>
      </c>
      <c r="AD47" s="70">
        <f>(SUBSIDIO!$J$47*SUBSIDIO!$Y$47)*(0.02)/(1-0.02)</f>
        <v>0</v>
      </c>
      <c r="AE47" s="70">
        <f ca="1">((SUBSIDIO!$L$47*SUBSIDIO!$Z$47)+(SUBSIDIO!$N$47*SUBSIDIO!$AA$47))*(0.02)/(1-0.02)</f>
        <v>43.348182403862261</v>
      </c>
      <c r="AF47" s="4" t="s">
        <v>666</v>
      </c>
    </row>
    <row r="48" spans="1:32" ht="11.25" customHeight="1" x14ac:dyDescent="0.3">
      <c r="A48" s="4" t="s">
        <v>21</v>
      </c>
      <c r="B48" s="4" t="s">
        <v>37</v>
      </c>
      <c r="C48" s="4" t="s">
        <v>38</v>
      </c>
      <c r="D48" s="4" t="s">
        <v>44</v>
      </c>
      <c r="E48" s="4" t="s">
        <v>52</v>
      </c>
      <c r="F48" s="4" t="s">
        <v>25</v>
      </c>
      <c r="G48" s="4" t="s">
        <v>25</v>
      </c>
      <c r="H48" s="4" t="s">
        <v>39</v>
      </c>
      <c r="I48" s="5">
        <v>44593</v>
      </c>
      <c r="J48" s="6">
        <v>0</v>
      </c>
      <c r="K48" s="70">
        <v>0</v>
      </c>
      <c r="L48" s="6">
        <v>0.65700000000000003</v>
      </c>
      <c r="M48" s="70">
        <v>0.65700000000000003</v>
      </c>
      <c r="N48" s="6">
        <v>0.65700000000000003</v>
      </c>
      <c r="O48" s="70">
        <v>0.65700000000000003</v>
      </c>
      <c r="P48" s="6">
        <v>0</v>
      </c>
      <c r="Q48" s="4" t="s">
        <v>26</v>
      </c>
      <c r="R48" s="4">
        <v>0</v>
      </c>
      <c r="S48" s="4">
        <v>0</v>
      </c>
      <c r="T48" s="4">
        <v>1</v>
      </c>
      <c r="U48" s="4">
        <v>73</v>
      </c>
      <c r="V48" s="70">
        <f>IF(ISERROR(VLOOKUP($S$48,'TAR FIN'!$A$1:$O$85,15,0)),0,VLOOKUP($S$48,'TAR FIN'!$A$1:$O$85,15,0))</f>
        <v>0</v>
      </c>
      <c r="W48" s="70">
        <f>IF(ISERROR(VLOOKUP($T$48,'TAR FIN'!$A$1:$O$85,15,0)),0,VLOOKUP($T$48,'TAR FIN'!$A$1:$O$85,15,0))*(1-0.04)</f>
        <v>4406.0928000000004</v>
      </c>
      <c r="X48" s="70">
        <f>IF(ISERROR(VLOOKUP($U$48,'TAR FIN'!$A$1:$O$85,15,0)),0,VLOOKUP($U$48,'TAR FIN'!$A$1:$O$85,15,0))*(1-0.04)</f>
        <v>230.67839999999998</v>
      </c>
      <c r="Y48" s="70"/>
      <c r="Z48" s="70">
        <f ca="1">('TUSD BE'!$AM$11+'TUSD BF'!$AM$11+'TUSD CVA'!$AM$11)*1*(1-0.02)</f>
        <v>4946.5064285219523</v>
      </c>
      <c r="AA48" s="70">
        <f>('TE BE'!$AA$5+'TE BF'!$AA$5+'TE CVA'!$AA$5)*1*(1-0.02)</f>
        <v>324.11624589306081</v>
      </c>
      <c r="AB48" s="70">
        <f>(SUBSIDIO!$J$48*SUBSIDIO!$V$48)*(0.04)/(1-0.04)</f>
        <v>0</v>
      </c>
      <c r="AC48" s="70">
        <f>((SUBSIDIO!$L$48*SUBSIDIO!$W$48)+(SUBSIDIO!$N$48*SUBSIDIO!$X$48))*(0.04)/(1-0.04)</f>
        <v>126.93161160000002</v>
      </c>
      <c r="AD48" s="70">
        <f>(SUBSIDIO!$J$48*SUBSIDIO!$Y$48)*(0.02)/(1-0.02)</f>
        <v>0</v>
      </c>
      <c r="AE48" s="70">
        <f ca="1">((SUBSIDIO!$L$48*SUBSIDIO!$Z$48)+(SUBSIDIO!$N$48*SUBSIDIO!$AA$48))*(0.02)/(1-0.02)</f>
        <v>70.669369328380895</v>
      </c>
      <c r="AF48" s="4" t="s">
        <v>666</v>
      </c>
    </row>
    <row r="49" spans="1:32" ht="11.25" customHeight="1" x14ac:dyDescent="0.3">
      <c r="A49" s="4" t="s">
        <v>21</v>
      </c>
      <c r="B49" s="4" t="s">
        <v>37</v>
      </c>
      <c r="C49" s="4" t="s">
        <v>38</v>
      </c>
      <c r="D49" s="4" t="s">
        <v>44</v>
      </c>
      <c r="E49" s="4" t="s">
        <v>52</v>
      </c>
      <c r="F49" s="4" t="s">
        <v>25</v>
      </c>
      <c r="G49" s="4" t="s">
        <v>25</v>
      </c>
      <c r="H49" s="4" t="s">
        <v>39</v>
      </c>
      <c r="I49" s="5">
        <v>44621</v>
      </c>
      <c r="J49" s="6">
        <v>0</v>
      </c>
      <c r="K49" s="70">
        <v>0</v>
      </c>
      <c r="L49" s="6">
        <v>0.46300000000000002</v>
      </c>
      <c r="M49" s="70">
        <v>0.46300000000000002</v>
      </c>
      <c r="N49" s="6">
        <v>0.46300000000000002</v>
      </c>
      <c r="O49" s="70">
        <v>0.46300000000000002</v>
      </c>
      <c r="P49" s="6">
        <v>0</v>
      </c>
      <c r="Q49" s="4" t="s">
        <v>26</v>
      </c>
      <c r="R49" s="4">
        <v>0</v>
      </c>
      <c r="S49" s="4">
        <v>0</v>
      </c>
      <c r="T49" s="4">
        <v>1</v>
      </c>
      <c r="U49" s="4">
        <v>73</v>
      </c>
      <c r="V49" s="70">
        <f>IF(ISERROR(VLOOKUP($S$49,'TAR FIN'!$A$1:$O$85,15,0)),0,VLOOKUP($S$49,'TAR FIN'!$A$1:$O$85,15,0))</f>
        <v>0</v>
      </c>
      <c r="W49" s="70">
        <f>IF(ISERROR(VLOOKUP($T$49,'TAR FIN'!$A$1:$O$85,15,0)),0,VLOOKUP($T$49,'TAR FIN'!$A$1:$O$85,15,0))*(1-0.04)</f>
        <v>4406.0928000000004</v>
      </c>
      <c r="X49" s="70">
        <f>IF(ISERROR(VLOOKUP($U$49,'TAR FIN'!$A$1:$O$85,15,0)),0,VLOOKUP($U$49,'TAR FIN'!$A$1:$O$85,15,0))*(1-0.04)</f>
        <v>230.67839999999998</v>
      </c>
      <c r="Y49" s="70"/>
      <c r="Z49" s="70">
        <f ca="1">('TUSD BE'!$AM$11+'TUSD BF'!$AM$11+'TUSD CVA'!$AM$11)*1*(1-0.02)</f>
        <v>4946.5064285219523</v>
      </c>
      <c r="AA49" s="70">
        <f>('TE BE'!$AA$5+'TE BF'!$AA$5+'TE CVA'!$AA$5)*1*(1-0.02)</f>
        <v>324.11624589306081</v>
      </c>
      <c r="AB49" s="70">
        <f>(SUBSIDIO!$J$49*SUBSIDIO!$V$49)*(0.04)/(1-0.04)</f>
        <v>0</v>
      </c>
      <c r="AC49" s="70">
        <f>((SUBSIDIO!$L$49*SUBSIDIO!$W$49)+(SUBSIDIO!$N$49*SUBSIDIO!$X$49))*(0.04)/(1-0.04)</f>
        <v>89.451044400000029</v>
      </c>
      <c r="AD49" s="70">
        <f>(SUBSIDIO!$J$49*SUBSIDIO!$Y$49)*(0.02)/(1-0.02)</f>
        <v>0</v>
      </c>
      <c r="AE49" s="70">
        <f ca="1">((SUBSIDIO!$L$49*SUBSIDIO!$Z$49)+(SUBSIDIO!$N$49*SUBSIDIO!$AA$49))*(0.02)/(1-0.02)</f>
        <v>49.802006086819418</v>
      </c>
      <c r="AF49" s="4" t="s">
        <v>666</v>
      </c>
    </row>
    <row r="50" spans="1:32" ht="11.25" customHeight="1" x14ac:dyDescent="0.3">
      <c r="A50" s="4" t="s">
        <v>21</v>
      </c>
      <c r="B50" s="4" t="s">
        <v>37</v>
      </c>
      <c r="C50" s="4" t="s">
        <v>38</v>
      </c>
      <c r="D50" s="4" t="s">
        <v>49</v>
      </c>
      <c r="E50" s="4" t="s">
        <v>50</v>
      </c>
      <c r="F50" s="4" t="s">
        <v>25</v>
      </c>
      <c r="G50" s="4" t="s">
        <v>25</v>
      </c>
      <c r="H50" s="4" t="s">
        <v>34</v>
      </c>
      <c r="I50" s="5">
        <v>44287</v>
      </c>
      <c r="J50" s="6">
        <v>0</v>
      </c>
      <c r="K50" s="70">
        <v>0</v>
      </c>
      <c r="L50" s="6">
        <v>14.141</v>
      </c>
      <c r="M50" s="70">
        <v>14.141</v>
      </c>
      <c r="N50" s="6">
        <v>14.141</v>
      </c>
      <c r="O50" s="70">
        <v>14.141</v>
      </c>
      <c r="P50" s="6">
        <v>0</v>
      </c>
      <c r="Q50" s="4" t="s">
        <v>26</v>
      </c>
      <c r="R50" s="4">
        <v>0</v>
      </c>
      <c r="S50" s="4">
        <v>0</v>
      </c>
      <c r="T50" s="4">
        <v>2</v>
      </c>
      <c r="U50" s="4">
        <v>74</v>
      </c>
      <c r="V50" s="70">
        <f>IF(ISERROR(VLOOKUP($S$50,'TAR FIN'!$A$1:$O$85,15,0)),0,VLOOKUP($S$50,'TAR FIN'!$A$1:$O$85,15,0))</f>
        <v>0</v>
      </c>
      <c r="W50" s="70">
        <f>IF(ISERROR(VLOOKUP($T$50,'TAR FIN'!$A$1:$O$85,15,0)),0,VLOOKUP($T$50,'TAR FIN'!$A$1:$O$85,15,0))*(1-0.06)</f>
        <v>87.871200000000002</v>
      </c>
      <c r="X50" s="70">
        <f>IF(ISERROR(VLOOKUP($U$50,'TAR FIN'!$A$1:$O$85,15,0)),0,VLOOKUP($U$50,'TAR FIN'!$A$1:$O$85,15,0))*(1-0.06)</f>
        <v>225.87259999999998</v>
      </c>
      <c r="Y50" s="70"/>
      <c r="Z50" s="70">
        <f ca="1">('TUSD BE'!$AM$12+'TUSD BF'!$AM$12+'TUSD CVA'!$AM$12)*1*(1-0.03)</f>
        <v>129.18083627712426</v>
      </c>
      <c r="AA50" s="70">
        <f>('TE BE'!$AA$6+'TE BF'!$AA$6+'TE CVA'!$AA$6)*1*(1-0.03)</f>
        <v>320.80893726149895</v>
      </c>
      <c r="AB50" s="70">
        <f>(SUBSIDIO!$J$50*SUBSIDIO!$V$50)*(0.06)/(1-0.06)</f>
        <v>0</v>
      </c>
      <c r="AC50" s="70">
        <f>((SUBSIDIO!$L$50*SUBSIDIO!$W$50)+(SUBSIDIO!$N$50*SUBSIDIO!$X$50))*(0.06)/(1-0.06)</f>
        <v>283.19049419999999</v>
      </c>
      <c r="AD50" s="70">
        <f>(SUBSIDIO!$J$50*SUBSIDIO!$Y$50)*(0.03)/(1-0.03)</f>
        <v>0</v>
      </c>
      <c r="AE50" s="70">
        <f ca="1">((SUBSIDIO!$L$50*SUBSIDIO!$Z$50)+(SUBSIDIO!$N$50*SUBSIDIO!$AA$50))*(0.03)/(1-0.03)</f>
        <v>196.80325941060838</v>
      </c>
      <c r="AF50" s="4" t="s">
        <v>668</v>
      </c>
    </row>
    <row r="51" spans="1:32" ht="11.25" customHeight="1" x14ac:dyDescent="0.3">
      <c r="A51" s="4" t="s">
        <v>21</v>
      </c>
      <c r="B51" s="4" t="s">
        <v>37</v>
      </c>
      <c r="C51" s="4" t="s">
        <v>38</v>
      </c>
      <c r="D51" s="4" t="s">
        <v>49</v>
      </c>
      <c r="E51" s="4" t="s">
        <v>50</v>
      </c>
      <c r="F51" s="4" t="s">
        <v>25</v>
      </c>
      <c r="G51" s="4" t="s">
        <v>25</v>
      </c>
      <c r="H51" s="4" t="s">
        <v>34</v>
      </c>
      <c r="I51" s="5">
        <v>44317</v>
      </c>
      <c r="J51" s="6">
        <v>0</v>
      </c>
      <c r="K51" s="70">
        <v>0</v>
      </c>
      <c r="L51" s="6">
        <v>16.791</v>
      </c>
      <c r="M51" s="70">
        <v>16.791</v>
      </c>
      <c r="N51" s="6">
        <v>16.791</v>
      </c>
      <c r="O51" s="70">
        <v>16.791</v>
      </c>
      <c r="P51" s="6">
        <v>0</v>
      </c>
      <c r="Q51" s="4" t="s">
        <v>26</v>
      </c>
      <c r="R51" s="4">
        <v>0</v>
      </c>
      <c r="S51" s="4">
        <v>0</v>
      </c>
      <c r="T51" s="4">
        <v>2</v>
      </c>
      <c r="U51" s="4">
        <v>74</v>
      </c>
      <c r="V51" s="70">
        <f>IF(ISERROR(VLOOKUP($S$51,'TAR FIN'!$A$1:$O$85,15,0)),0,VLOOKUP($S$51,'TAR FIN'!$A$1:$O$85,15,0))</f>
        <v>0</v>
      </c>
      <c r="W51" s="70">
        <f>IF(ISERROR(VLOOKUP($T$51,'TAR FIN'!$A$1:$O$85,15,0)),0,VLOOKUP($T$51,'TAR FIN'!$A$1:$O$85,15,0))*(1-0.06)</f>
        <v>87.871200000000002</v>
      </c>
      <c r="X51" s="70">
        <f>IF(ISERROR(VLOOKUP($U$51,'TAR FIN'!$A$1:$O$85,15,0)),0,VLOOKUP($U$51,'TAR FIN'!$A$1:$O$85,15,0))*(1-0.06)</f>
        <v>225.87259999999998</v>
      </c>
      <c r="Y51" s="70"/>
      <c r="Z51" s="70">
        <f ca="1">('TUSD BE'!$AM$12+'TUSD BF'!$AM$12+'TUSD CVA'!$AM$12)*1*(1-0.03)</f>
        <v>129.18083627712426</v>
      </c>
      <c r="AA51" s="70">
        <f>('TE BE'!$AA$6+'TE BF'!$AA$6+'TE CVA'!$AA$6)*1*(1-0.03)</f>
        <v>320.80893726149895</v>
      </c>
      <c r="AB51" s="70">
        <f>(SUBSIDIO!$J$51*SUBSIDIO!$V$51)*(0.06)/(1-0.06)</f>
        <v>0</v>
      </c>
      <c r="AC51" s="70">
        <f>((SUBSIDIO!$L$51*SUBSIDIO!$W$51)+(SUBSIDIO!$N$51*SUBSIDIO!$X$51))*(0.06)/(1-0.06)</f>
        <v>336.2599242</v>
      </c>
      <c r="AD51" s="70">
        <f>(SUBSIDIO!$J$51*SUBSIDIO!$Y$51)*(0.03)/(1-0.03)</f>
        <v>0</v>
      </c>
      <c r="AE51" s="70">
        <f ca="1">((SUBSIDIO!$L$51*SUBSIDIO!$Z$51)+(SUBSIDIO!$N$51*SUBSIDIO!$AA$51))*(0.03)/(1-0.03)</f>
        <v>233.6838645614543</v>
      </c>
      <c r="AF51" s="4" t="s">
        <v>668</v>
      </c>
    </row>
    <row r="52" spans="1:32" ht="11.25" customHeight="1" x14ac:dyDescent="0.3">
      <c r="A52" s="4" t="s">
        <v>21</v>
      </c>
      <c r="B52" s="4" t="s">
        <v>37</v>
      </c>
      <c r="C52" s="4" t="s">
        <v>38</v>
      </c>
      <c r="D52" s="4" t="s">
        <v>49</v>
      </c>
      <c r="E52" s="4" t="s">
        <v>50</v>
      </c>
      <c r="F52" s="4" t="s">
        <v>25</v>
      </c>
      <c r="G52" s="4" t="s">
        <v>25</v>
      </c>
      <c r="H52" s="4" t="s">
        <v>34</v>
      </c>
      <c r="I52" s="5">
        <v>44348</v>
      </c>
      <c r="J52" s="6">
        <v>0</v>
      </c>
      <c r="K52" s="70">
        <v>0</v>
      </c>
      <c r="L52" s="6">
        <v>17.077000000000002</v>
      </c>
      <c r="M52" s="70">
        <v>17.077000000000002</v>
      </c>
      <c r="N52" s="6">
        <v>17.077000000000002</v>
      </c>
      <c r="O52" s="70">
        <v>17.077000000000002</v>
      </c>
      <c r="P52" s="6">
        <v>0</v>
      </c>
      <c r="Q52" s="4" t="s">
        <v>26</v>
      </c>
      <c r="R52" s="4">
        <v>0</v>
      </c>
      <c r="S52" s="4">
        <v>0</v>
      </c>
      <c r="T52" s="4">
        <v>2</v>
      </c>
      <c r="U52" s="4">
        <v>74</v>
      </c>
      <c r="V52" s="70">
        <f>IF(ISERROR(VLOOKUP($S$52,'TAR FIN'!$A$1:$O$85,15,0)),0,VLOOKUP($S$52,'TAR FIN'!$A$1:$O$85,15,0))</f>
        <v>0</v>
      </c>
      <c r="W52" s="70">
        <f>IF(ISERROR(VLOOKUP($T$52,'TAR FIN'!$A$1:$O$85,15,0)),0,VLOOKUP($T$52,'TAR FIN'!$A$1:$O$85,15,0))*(1-0.06)</f>
        <v>87.871200000000002</v>
      </c>
      <c r="X52" s="70">
        <f>IF(ISERROR(VLOOKUP($U$52,'TAR FIN'!$A$1:$O$85,15,0)),0,VLOOKUP($U$52,'TAR FIN'!$A$1:$O$85,15,0))*(1-0.06)</f>
        <v>225.87259999999998</v>
      </c>
      <c r="Y52" s="70"/>
      <c r="Z52" s="70">
        <f ca="1">('TUSD BE'!$AM$12+'TUSD BF'!$AM$12+'TUSD CVA'!$AM$12)*1*(1-0.03)</f>
        <v>129.18083627712426</v>
      </c>
      <c r="AA52" s="70">
        <f>('TE BE'!$AA$6+'TE BF'!$AA$6+'TE CVA'!$AA$6)*1*(1-0.03)</f>
        <v>320.80893726149895</v>
      </c>
      <c r="AB52" s="70">
        <f>(SUBSIDIO!$J$52*SUBSIDIO!$V$52)*(0.06)/(1-0.06)</f>
        <v>0</v>
      </c>
      <c r="AC52" s="70">
        <f>((SUBSIDIO!$L$52*SUBSIDIO!$W$52)+(SUBSIDIO!$N$52*SUBSIDIO!$X$52))*(0.06)/(1-0.06)</f>
        <v>341.98741740000003</v>
      </c>
      <c r="AD52" s="70">
        <f>(SUBSIDIO!$J$52*SUBSIDIO!$Y$52)*(0.03)/(1-0.03)</f>
        <v>0</v>
      </c>
      <c r="AE52" s="70">
        <f ca="1">((SUBSIDIO!$L$52*SUBSIDIO!$Z$52)+(SUBSIDIO!$N$52*SUBSIDIO!$AA$52))*(0.03)/(1-0.03)</f>
        <v>237.66418647584749</v>
      </c>
      <c r="AF52" s="4" t="s">
        <v>668</v>
      </c>
    </row>
    <row r="53" spans="1:32" ht="11.25" customHeight="1" x14ac:dyDescent="0.3">
      <c r="A53" s="4" t="s">
        <v>21</v>
      </c>
      <c r="B53" s="4" t="s">
        <v>37</v>
      </c>
      <c r="C53" s="4" t="s">
        <v>38</v>
      </c>
      <c r="D53" s="4" t="s">
        <v>49</v>
      </c>
      <c r="E53" s="4" t="s">
        <v>50</v>
      </c>
      <c r="F53" s="4" t="s">
        <v>25</v>
      </c>
      <c r="G53" s="4" t="s">
        <v>25</v>
      </c>
      <c r="H53" s="4" t="s">
        <v>34</v>
      </c>
      <c r="I53" s="5">
        <v>44378</v>
      </c>
      <c r="J53" s="6">
        <v>0</v>
      </c>
      <c r="K53" s="70">
        <v>0</v>
      </c>
      <c r="L53" s="6">
        <v>18.006</v>
      </c>
      <c r="M53" s="70">
        <v>18.006</v>
      </c>
      <c r="N53" s="6">
        <v>18.006</v>
      </c>
      <c r="O53" s="70">
        <v>18.006</v>
      </c>
      <c r="P53" s="6">
        <v>0</v>
      </c>
      <c r="Q53" s="4" t="s">
        <v>26</v>
      </c>
      <c r="R53" s="4">
        <v>0</v>
      </c>
      <c r="S53" s="4">
        <v>0</v>
      </c>
      <c r="T53" s="4">
        <v>2</v>
      </c>
      <c r="U53" s="4">
        <v>74</v>
      </c>
      <c r="V53" s="70">
        <f>IF(ISERROR(VLOOKUP($S$53,'TAR FIN'!$A$1:$O$85,15,0)),0,VLOOKUP($S$53,'TAR FIN'!$A$1:$O$85,15,0))</f>
        <v>0</v>
      </c>
      <c r="W53" s="70">
        <f>IF(ISERROR(VLOOKUP($T$53,'TAR FIN'!$A$1:$O$85,15,0)),0,VLOOKUP($T$53,'TAR FIN'!$A$1:$O$85,15,0))*(1-0.06)</f>
        <v>87.871200000000002</v>
      </c>
      <c r="X53" s="70">
        <f>IF(ISERROR(VLOOKUP($U$53,'TAR FIN'!$A$1:$O$85,15,0)),0,VLOOKUP($U$53,'TAR FIN'!$A$1:$O$85,15,0))*(1-0.06)</f>
        <v>225.87259999999998</v>
      </c>
      <c r="Y53" s="70"/>
      <c r="Z53" s="70">
        <f ca="1">('TUSD BE'!$AM$12+'TUSD BF'!$AM$12+'TUSD CVA'!$AM$12)*1*(1-0.03)</f>
        <v>129.18083627712426</v>
      </c>
      <c r="AA53" s="70">
        <f>('TE BE'!$AA$6+'TE BF'!$AA$6+'TE CVA'!$AA$6)*1*(1-0.03)</f>
        <v>320.80893726149895</v>
      </c>
      <c r="AB53" s="70">
        <f>(SUBSIDIO!$J$53*SUBSIDIO!$V$53)*(0.06)/(1-0.06)</f>
        <v>0</v>
      </c>
      <c r="AC53" s="70">
        <f>((SUBSIDIO!$L$53*SUBSIDIO!$W$53)+(SUBSIDIO!$N$53*SUBSIDIO!$X$53))*(0.06)/(1-0.06)</f>
        <v>360.59175720000002</v>
      </c>
      <c r="AD53" s="70">
        <f>(SUBSIDIO!$J$53*SUBSIDIO!$Y$53)*(0.03)/(1-0.03)</f>
        <v>0</v>
      </c>
      <c r="AE53" s="70">
        <f ca="1">((SUBSIDIO!$L$53*SUBSIDIO!$Z$53)+(SUBSIDIO!$N$53*SUBSIDIO!$AA$53))*(0.03)/(1-0.03)</f>
        <v>250.59327409287988</v>
      </c>
      <c r="AF53" s="4" t="s">
        <v>668</v>
      </c>
    </row>
    <row r="54" spans="1:32" ht="11.25" customHeight="1" x14ac:dyDescent="0.3">
      <c r="A54" s="4" t="s">
        <v>21</v>
      </c>
      <c r="B54" s="4" t="s">
        <v>37</v>
      </c>
      <c r="C54" s="4" t="s">
        <v>38</v>
      </c>
      <c r="D54" s="4" t="s">
        <v>49</v>
      </c>
      <c r="E54" s="4" t="s">
        <v>50</v>
      </c>
      <c r="F54" s="4" t="s">
        <v>25</v>
      </c>
      <c r="G54" s="4" t="s">
        <v>25</v>
      </c>
      <c r="H54" s="4" t="s">
        <v>34</v>
      </c>
      <c r="I54" s="5">
        <v>44409</v>
      </c>
      <c r="J54" s="6">
        <v>0</v>
      </c>
      <c r="K54" s="70">
        <v>0</v>
      </c>
      <c r="L54" s="6">
        <v>17.623999999999999</v>
      </c>
      <c r="M54" s="70">
        <v>17.623999999999999</v>
      </c>
      <c r="N54" s="6">
        <v>17.623999999999999</v>
      </c>
      <c r="O54" s="70">
        <v>17.623999999999999</v>
      </c>
      <c r="P54" s="6">
        <v>0</v>
      </c>
      <c r="Q54" s="4" t="s">
        <v>26</v>
      </c>
      <c r="R54" s="4">
        <v>0</v>
      </c>
      <c r="S54" s="4">
        <v>0</v>
      </c>
      <c r="T54" s="4">
        <v>2</v>
      </c>
      <c r="U54" s="4">
        <v>74</v>
      </c>
      <c r="V54" s="70">
        <f>IF(ISERROR(VLOOKUP($S$54,'TAR FIN'!$A$1:$O$85,15,0)),0,VLOOKUP($S$54,'TAR FIN'!$A$1:$O$85,15,0))</f>
        <v>0</v>
      </c>
      <c r="W54" s="70">
        <f>IF(ISERROR(VLOOKUP($T$54,'TAR FIN'!$A$1:$O$85,15,0)),0,VLOOKUP($T$54,'TAR FIN'!$A$1:$O$85,15,0))*(1-0.06)</f>
        <v>87.871200000000002</v>
      </c>
      <c r="X54" s="70">
        <f>IF(ISERROR(VLOOKUP($U$54,'TAR FIN'!$A$1:$O$85,15,0)),0,VLOOKUP($U$54,'TAR FIN'!$A$1:$O$85,15,0))*(1-0.06)</f>
        <v>225.87259999999998</v>
      </c>
      <c r="Y54" s="70"/>
      <c r="Z54" s="70">
        <f ca="1">('TUSD BE'!$AM$12+'TUSD BF'!$AM$12+'TUSD CVA'!$AM$12)*1*(1-0.03)</f>
        <v>129.18083627712426</v>
      </c>
      <c r="AA54" s="70">
        <f>('TE BE'!$AA$6+'TE BF'!$AA$6+'TE CVA'!$AA$6)*1*(1-0.03)</f>
        <v>320.80893726149895</v>
      </c>
      <c r="AB54" s="70">
        <f>(SUBSIDIO!$J$54*SUBSIDIO!$V$54)*(0.06)/(1-0.06)</f>
        <v>0</v>
      </c>
      <c r="AC54" s="70">
        <f>((SUBSIDIO!$L$54*SUBSIDIO!$W$54)+(SUBSIDIO!$N$54*SUBSIDIO!$X$54))*(0.06)/(1-0.06)</f>
        <v>352.94174880000003</v>
      </c>
      <c r="AD54" s="70">
        <f>(SUBSIDIO!$J$54*SUBSIDIO!$Y$54)*(0.03)/(1-0.03)</f>
        <v>0</v>
      </c>
      <c r="AE54" s="70">
        <f ca="1">((SUBSIDIO!$L$54*SUBSIDIO!$Z$54)+(SUBSIDIO!$N$54*SUBSIDIO!$AA$54))*(0.03)/(1-0.03)</f>
        <v>245.27690006736171</v>
      </c>
      <c r="AF54" s="4" t="s">
        <v>668</v>
      </c>
    </row>
    <row r="55" spans="1:32" ht="11.25" customHeight="1" x14ac:dyDescent="0.3">
      <c r="A55" s="4" t="s">
        <v>21</v>
      </c>
      <c r="B55" s="4" t="s">
        <v>37</v>
      </c>
      <c r="C55" s="4" t="s">
        <v>38</v>
      </c>
      <c r="D55" s="4" t="s">
        <v>49</v>
      </c>
      <c r="E55" s="4" t="s">
        <v>50</v>
      </c>
      <c r="F55" s="4" t="s">
        <v>25</v>
      </c>
      <c r="G55" s="4" t="s">
        <v>25</v>
      </c>
      <c r="H55" s="4" t="s">
        <v>34</v>
      </c>
      <c r="I55" s="5">
        <v>44440</v>
      </c>
      <c r="J55" s="6">
        <v>0</v>
      </c>
      <c r="K55" s="70">
        <v>0</v>
      </c>
      <c r="L55" s="6">
        <v>16.919</v>
      </c>
      <c r="M55" s="70">
        <v>16.919</v>
      </c>
      <c r="N55" s="6">
        <v>16.919</v>
      </c>
      <c r="O55" s="70">
        <v>16.919</v>
      </c>
      <c r="P55" s="6">
        <v>0</v>
      </c>
      <c r="Q55" s="4" t="s">
        <v>26</v>
      </c>
      <c r="R55" s="4">
        <v>0</v>
      </c>
      <c r="S55" s="4">
        <v>0</v>
      </c>
      <c r="T55" s="4">
        <v>2</v>
      </c>
      <c r="U55" s="4">
        <v>74</v>
      </c>
      <c r="V55" s="70">
        <f>IF(ISERROR(VLOOKUP($S$55,'TAR FIN'!$A$1:$O$85,15,0)),0,VLOOKUP($S$55,'TAR FIN'!$A$1:$O$85,15,0))</f>
        <v>0</v>
      </c>
      <c r="W55" s="70">
        <f>IF(ISERROR(VLOOKUP($T$55,'TAR FIN'!$A$1:$O$85,15,0)),0,VLOOKUP($T$55,'TAR FIN'!$A$1:$O$85,15,0))*(1-0.06)</f>
        <v>87.871200000000002</v>
      </c>
      <c r="X55" s="70">
        <f>IF(ISERROR(VLOOKUP($U$55,'TAR FIN'!$A$1:$O$85,15,0)),0,VLOOKUP($U$55,'TAR FIN'!$A$1:$O$85,15,0))*(1-0.06)</f>
        <v>225.87259999999998</v>
      </c>
      <c r="Y55" s="70"/>
      <c r="Z55" s="70">
        <f ca="1">('TUSD BE'!$AM$12+'TUSD BF'!$AM$12+'TUSD CVA'!$AM$12)*1*(1-0.03)</f>
        <v>129.18083627712426</v>
      </c>
      <c r="AA55" s="70">
        <f>('TE BE'!$AA$6+'TE BF'!$AA$6+'TE CVA'!$AA$6)*1*(1-0.03)</f>
        <v>320.80893726149895</v>
      </c>
      <c r="AB55" s="70">
        <f>(SUBSIDIO!$J$55*SUBSIDIO!$V$55)*(0.06)/(1-0.06)</f>
        <v>0</v>
      </c>
      <c r="AC55" s="70">
        <f>((SUBSIDIO!$L$55*SUBSIDIO!$W$55)+(SUBSIDIO!$N$55*SUBSIDIO!$X$55))*(0.06)/(1-0.06)</f>
        <v>338.82327779999997</v>
      </c>
      <c r="AD55" s="70">
        <f>(SUBSIDIO!$J$55*SUBSIDIO!$Y$55)*(0.03)/(1-0.03)</f>
        <v>0</v>
      </c>
      <c r="AE55" s="70">
        <f ca="1">((SUBSIDIO!$L$55*SUBSIDIO!$Z$55)+(SUBSIDIO!$N$55*SUBSIDIO!$AA$55))*(0.03)/(1-0.03)</f>
        <v>235.46526737628764</v>
      </c>
      <c r="AF55" s="4" t="s">
        <v>668</v>
      </c>
    </row>
    <row r="56" spans="1:32" ht="11.25" customHeight="1" x14ac:dyDescent="0.3">
      <c r="A56" s="4" t="s">
        <v>21</v>
      </c>
      <c r="B56" s="4" t="s">
        <v>37</v>
      </c>
      <c r="C56" s="4" t="s">
        <v>38</v>
      </c>
      <c r="D56" s="4" t="s">
        <v>49</v>
      </c>
      <c r="E56" s="4" t="s">
        <v>50</v>
      </c>
      <c r="F56" s="4" t="s">
        <v>25</v>
      </c>
      <c r="G56" s="4" t="s">
        <v>25</v>
      </c>
      <c r="H56" s="4" t="s">
        <v>34</v>
      </c>
      <c r="I56" s="5">
        <v>44470</v>
      </c>
      <c r="J56" s="6">
        <v>0</v>
      </c>
      <c r="K56" s="70">
        <v>0</v>
      </c>
      <c r="L56" s="6">
        <v>17.405000000000001</v>
      </c>
      <c r="M56" s="70">
        <v>17.405000000000001</v>
      </c>
      <c r="N56" s="6">
        <v>17.405000000000001</v>
      </c>
      <c r="O56" s="70">
        <v>17.405000000000001</v>
      </c>
      <c r="P56" s="6">
        <v>0</v>
      </c>
      <c r="Q56" s="4" t="s">
        <v>26</v>
      </c>
      <c r="R56" s="4">
        <v>0</v>
      </c>
      <c r="S56" s="4">
        <v>0</v>
      </c>
      <c r="T56" s="4">
        <v>2</v>
      </c>
      <c r="U56" s="4">
        <v>74</v>
      </c>
      <c r="V56" s="70">
        <f>IF(ISERROR(VLOOKUP($S$56,'TAR FIN'!$A$1:$O$85,15,0)),0,VLOOKUP($S$56,'TAR FIN'!$A$1:$O$85,15,0))</f>
        <v>0</v>
      </c>
      <c r="W56" s="70">
        <f>IF(ISERROR(VLOOKUP($T$56,'TAR FIN'!$A$1:$O$85,15,0)),0,VLOOKUP($T$56,'TAR FIN'!$A$1:$O$85,15,0))*(1-0.06)</f>
        <v>87.871200000000002</v>
      </c>
      <c r="X56" s="70">
        <f>IF(ISERROR(VLOOKUP($U$56,'TAR FIN'!$A$1:$O$85,15,0)),0,VLOOKUP($U$56,'TAR FIN'!$A$1:$O$85,15,0))*(1-0.06)</f>
        <v>225.87259999999998</v>
      </c>
      <c r="Y56" s="70"/>
      <c r="Z56" s="70">
        <f ca="1">('TUSD BE'!$AM$12+'TUSD BF'!$AM$12+'TUSD CVA'!$AM$12)*1*(1-0.03)</f>
        <v>129.18083627712426</v>
      </c>
      <c r="AA56" s="70">
        <f>('TE BE'!$AA$6+'TE BF'!$AA$6+'TE CVA'!$AA$6)*1*(1-0.03)</f>
        <v>320.80893726149895</v>
      </c>
      <c r="AB56" s="70">
        <f>(SUBSIDIO!$J$56*SUBSIDIO!$V$56)*(0.06)/(1-0.06)</f>
        <v>0</v>
      </c>
      <c r="AC56" s="70">
        <f>((SUBSIDIO!$L$56*SUBSIDIO!$W$56)+(SUBSIDIO!$N$56*SUBSIDIO!$X$56))*(0.06)/(1-0.06)</f>
        <v>348.55601100000001</v>
      </c>
      <c r="AD56" s="70">
        <f>(SUBSIDIO!$J$56*SUBSIDIO!$Y$56)*(0.03)/(1-0.03)</f>
        <v>0</v>
      </c>
      <c r="AE56" s="70">
        <f ca="1">((SUBSIDIO!$L$56*SUBSIDIO!$Z$56)+(SUBSIDIO!$N$56*SUBSIDIO!$AA$56))*(0.03)/(1-0.03)</f>
        <v>242.22903118885787</v>
      </c>
      <c r="AF56" s="4" t="s">
        <v>668</v>
      </c>
    </row>
    <row r="57" spans="1:32" ht="11.25" customHeight="1" x14ac:dyDescent="0.3">
      <c r="A57" s="4" t="s">
        <v>21</v>
      </c>
      <c r="B57" s="4" t="s">
        <v>37</v>
      </c>
      <c r="C57" s="4" t="s">
        <v>38</v>
      </c>
      <c r="D57" s="4" t="s">
        <v>49</v>
      </c>
      <c r="E57" s="4" t="s">
        <v>50</v>
      </c>
      <c r="F57" s="4" t="s">
        <v>25</v>
      </c>
      <c r="G57" s="4" t="s">
        <v>25</v>
      </c>
      <c r="H57" s="4" t="s">
        <v>34</v>
      </c>
      <c r="I57" s="5">
        <v>44501</v>
      </c>
      <c r="J57" s="6">
        <v>0</v>
      </c>
      <c r="K57" s="70">
        <v>0</v>
      </c>
      <c r="L57" s="6">
        <v>17.268000000000001</v>
      </c>
      <c r="M57" s="70">
        <v>17.268000000000001</v>
      </c>
      <c r="N57" s="6">
        <v>17.268000000000001</v>
      </c>
      <c r="O57" s="70">
        <v>17.268000000000001</v>
      </c>
      <c r="P57" s="6">
        <v>0</v>
      </c>
      <c r="Q57" s="4" t="s">
        <v>26</v>
      </c>
      <c r="R57" s="4">
        <v>0</v>
      </c>
      <c r="S57" s="4">
        <v>0</v>
      </c>
      <c r="T57" s="4">
        <v>2</v>
      </c>
      <c r="U57" s="4">
        <v>74</v>
      </c>
      <c r="V57" s="70">
        <f>IF(ISERROR(VLOOKUP($S$57,'TAR FIN'!$A$1:$O$85,15,0)),0,VLOOKUP($S$57,'TAR FIN'!$A$1:$O$85,15,0))</f>
        <v>0</v>
      </c>
      <c r="W57" s="70">
        <f>IF(ISERROR(VLOOKUP($T$57,'TAR FIN'!$A$1:$O$85,15,0)),0,VLOOKUP($T$57,'TAR FIN'!$A$1:$O$85,15,0))*(1-0.06)</f>
        <v>87.871200000000002</v>
      </c>
      <c r="X57" s="70">
        <f>IF(ISERROR(VLOOKUP($U$57,'TAR FIN'!$A$1:$O$85,15,0)),0,VLOOKUP($U$57,'TAR FIN'!$A$1:$O$85,15,0))*(1-0.06)</f>
        <v>225.87259999999998</v>
      </c>
      <c r="Y57" s="70"/>
      <c r="Z57" s="70">
        <f ca="1">('TUSD BE'!$AM$12+'TUSD BF'!$AM$12+'TUSD CVA'!$AM$12)*1*(1-0.03)</f>
        <v>129.18083627712426</v>
      </c>
      <c r="AA57" s="70">
        <f>('TE BE'!$AA$6+'TE BF'!$AA$6+'TE CVA'!$AA$6)*1*(1-0.03)</f>
        <v>320.80893726149895</v>
      </c>
      <c r="AB57" s="70">
        <f>(SUBSIDIO!$J$57*SUBSIDIO!$V$57)*(0.06)/(1-0.06)</f>
        <v>0</v>
      </c>
      <c r="AC57" s="70">
        <f>((SUBSIDIO!$L$57*SUBSIDIO!$W$57)+(SUBSIDIO!$N$57*SUBSIDIO!$X$57))*(0.06)/(1-0.06)</f>
        <v>345.81242160000005</v>
      </c>
      <c r="AD57" s="70">
        <f>(SUBSIDIO!$J$57*SUBSIDIO!$Y$57)*(0.03)/(1-0.03)</f>
        <v>0</v>
      </c>
      <c r="AE57" s="70">
        <f ca="1">((SUBSIDIO!$L$57*SUBSIDIO!$Z$57)+(SUBSIDIO!$N$57*SUBSIDIO!$AA$57))*(0.03)/(1-0.03)</f>
        <v>240.32237348860656</v>
      </c>
      <c r="AF57" s="4" t="s">
        <v>668</v>
      </c>
    </row>
    <row r="58" spans="1:32" ht="11.25" customHeight="1" x14ac:dyDescent="0.3">
      <c r="A58" s="4" t="s">
        <v>21</v>
      </c>
      <c r="B58" s="4" t="s">
        <v>37</v>
      </c>
      <c r="C58" s="4" t="s">
        <v>38</v>
      </c>
      <c r="D58" s="4" t="s">
        <v>49</v>
      </c>
      <c r="E58" s="4" t="s">
        <v>50</v>
      </c>
      <c r="F58" s="4" t="s">
        <v>25</v>
      </c>
      <c r="G58" s="4" t="s">
        <v>25</v>
      </c>
      <c r="H58" s="4" t="s">
        <v>34</v>
      </c>
      <c r="I58" s="5">
        <v>44531</v>
      </c>
      <c r="J58" s="6">
        <v>0</v>
      </c>
      <c r="K58" s="70">
        <v>0</v>
      </c>
      <c r="L58" s="6">
        <v>16.783999999999999</v>
      </c>
      <c r="M58" s="70">
        <v>16.783999999999999</v>
      </c>
      <c r="N58" s="6">
        <v>16.783999999999999</v>
      </c>
      <c r="O58" s="70">
        <v>16.783999999999999</v>
      </c>
      <c r="P58" s="6">
        <v>0</v>
      </c>
      <c r="Q58" s="4" t="s">
        <v>26</v>
      </c>
      <c r="R58" s="4">
        <v>0</v>
      </c>
      <c r="S58" s="4">
        <v>0</v>
      </c>
      <c r="T58" s="4">
        <v>2</v>
      </c>
      <c r="U58" s="4">
        <v>74</v>
      </c>
      <c r="V58" s="70">
        <f>IF(ISERROR(VLOOKUP($S$58,'TAR FIN'!$A$1:$O$85,15,0)),0,VLOOKUP($S$58,'TAR FIN'!$A$1:$O$85,15,0))</f>
        <v>0</v>
      </c>
      <c r="W58" s="70">
        <f>IF(ISERROR(VLOOKUP($T$58,'TAR FIN'!$A$1:$O$85,15,0)),0,VLOOKUP($T$58,'TAR FIN'!$A$1:$O$85,15,0))*(1-0.06)</f>
        <v>87.871200000000002</v>
      </c>
      <c r="X58" s="70">
        <f>IF(ISERROR(VLOOKUP($U$58,'TAR FIN'!$A$1:$O$85,15,0)),0,VLOOKUP($U$58,'TAR FIN'!$A$1:$O$85,15,0))*(1-0.06)</f>
        <v>225.87259999999998</v>
      </c>
      <c r="Y58" s="70"/>
      <c r="Z58" s="70">
        <f ca="1">('TUSD BE'!$AM$12+'TUSD BF'!$AM$12+'TUSD CVA'!$AM$12)*1*(1-0.03)</f>
        <v>129.18083627712426</v>
      </c>
      <c r="AA58" s="70">
        <f>('TE BE'!$AA$6+'TE BF'!$AA$6+'TE CVA'!$AA$6)*1*(1-0.03)</f>
        <v>320.80893726149895</v>
      </c>
      <c r="AB58" s="70">
        <f>(SUBSIDIO!$J$58*SUBSIDIO!$V$58)*(0.06)/(1-0.06)</f>
        <v>0</v>
      </c>
      <c r="AC58" s="70">
        <f>((SUBSIDIO!$L$58*SUBSIDIO!$W$58)+(SUBSIDIO!$N$58*SUBSIDIO!$X$58))*(0.06)/(1-0.06)</f>
        <v>336.11974079999993</v>
      </c>
      <c r="AD58" s="70">
        <f>(SUBSIDIO!$J$58*SUBSIDIO!$Y$58)*(0.03)/(1-0.03)</f>
        <v>0</v>
      </c>
      <c r="AE58" s="70">
        <f ca="1">((SUBSIDIO!$L$58*SUBSIDIO!$Z$58)+(SUBSIDIO!$N$58*SUBSIDIO!$AA$58))*(0.03)/(1-0.03)</f>
        <v>233.58644409501804</v>
      </c>
      <c r="AF58" s="4" t="s">
        <v>668</v>
      </c>
    </row>
    <row r="59" spans="1:32" ht="11.25" customHeight="1" x14ac:dyDescent="0.3">
      <c r="A59" s="4" t="s">
        <v>21</v>
      </c>
      <c r="B59" s="4" t="s">
        <v>37</v>
      </c>
      <c r="C59" s="4" t="s">
        <v>38</v>
      </c>
      <c r="D59" s="4" t="s">
        <v>49</v>
      </c>
      <c r="E59" s="4" t="s">
        <v>50</v>
      </c>
      <c r="F59" s="4" t="s">
        <v>25</v>
      </c>
      <c r="G59" s="4" t="s">
        <v>25</v>
      </c>
      <c r="H59" s="4" t="s">
        <v>34</v>
      </c>
      <c r="I59" s="5">
        <v>44562</v>
      </c>
      <c r="J59" s="6">
        <v>0</v>
      </c>
      <c r="K59" s="70">
        <v>0</v>
      </c>
      <c r="L59" s="6">
        <v>17.085000000000001</v>
      </c>
      <c r="M59" s="70">
        <v>17.085000000000001</v>
      </c>
      <c r="N59" s="6">
        <v>17.085000000000001</v>
      </c>
      <c r="O59" s="70">
        <v>17.085000000000001</v>
      </c>
      <c r="P59" s="6">
        <v>0</v>
      </c>
      <c r="Q59" s="4" t="s">
        <v>26</v>
      </c>
      <c r="R59" s="4">
        <v>0</v>
      </c>
      <c r="S59" s="4">
        <v>0</v>
      </c>
      <c r="T59" s="4">
        <v>2</v>
      </c>
      <c r="U59" s="4">
        <v>74</v>
      </c>
      <c r="V59" s="70">
        <f>IF(ISERROR(VLOOKUP($S$59,'TAR FIN'!$A$1:$O$85,15,0)),0,VLOOKUP($S$59,'TAR FIN'!$A$1:$O$85,15,0))</f>
        <v>0</v>
      </c>
      <c r="W59" s="70">
        <f>IF(ISERROR(VLOOKUP($T$59,'TAR FIN'!$A$1:$O$85,15,0)),0,VLOOKUP($T$59,'TAR FIN'!$A$1:$O$85,15,0))*(1-0.06)</f>
        <v>87.871200000000002</v>
      </c>
      <c r="X59" s="70">
        <f>IF(ISERROR(VLOOKUP($U$59,'TAR FIN'!$A$1:$O$85,15,0)),0,VLOOKUP($U$59,'TAR FIN'!$A$1:$O$85,15,0))*(1-0.06)</f>
        <v>225.87259999999998</v>
      </c>
      <c r="Y59" s="70"/>
      <c r="Z59" s="70">
        <f ca="1">('TUSD BE'!$AM$12+'TUSD BF'!$AM$12+'TUSD CVA'!$AM$12)*1*(1-0.03)</f>
        <v>129.18083627712426</v>
      </c>
      <c r="AA59" s="70">
        <f>('TE BE'!$AA$6+'TE BF'!$AA$6+'TE CVA'!$AA$6)*1*(1-0.03)</f>
        <v>320.80893726149895</v>
      </c>
      <c r="AB59" s="70">
        <f>(SUBSIDIO!$J$59*SUBSIDIO!$V$59)*(0.06)/(1-0.06)</f>
        <v>0</v>
      </c>
      <c r="AC59" s="70">
        <f>((SUBSIDIO!$L$59*SUBSIDIO!$W$59)+(SUBSIDIO!$N$59*SUBSIDIO!$X$59))*(0.06)/(1-0.06)</f>
        <v>342.147627</v>
      </c>
      <c r="AD59" s="70">
        <f>(SUBSIDIO!$J$59*SUBSIDIO!$Y$59)*(0.03)/(1-0.03)</f>
        <v>0</v>
      </c>
      <c r="AE59" s="70">
        <f ca="1">((SUBSIDIO!$L$59*SUBSIDIO!$Z$59)+(SUBSIDIO!$N$59*SUBSIDIO!$AA$59))*(0.03)/(1-0.03)</f>
        <v>237.77552415177456</v>
      </c>
      <c r="AF59" s="4" t="s">
        <v>668</v>
      </c>
    </row>
    <row r="60" spans="1:32" ht="11.25" customHeight="1" x14ac:dyDescent="0.3">
      <c r="A60" s="4" t="s">
        <v>21</v>
      </c>
      <c r="B60" s="4" t="s">
        <v>37</v>
      </c>
      <c r="C60" s="4" t="s">
        <v>38</v>
      </c>
      <c r="D60" s="4" t="s">
        <v>49</v>
      </c>
      <c r="E60" s="4" t="s">
        <v>50</v>
      </c>
      <c r="F60" s="4" t="s">
        <v>25</v>
      </c>
      <c r="G60" s="4" t="s">
        <v>25</v>
      </c>
      <c r="H60" s="4" t="s">
        <v>34</v>
      </c>
      <c r="I60" s="5">
        <v>44593</v>
      </c>
      <c r="J60" s="6">
        <v>0</v>
      </c>
      <c r="K60" s="70">
        <v>0</v>
      </c>
      <c r="L60" s="6">
        <v>16.117999999999999</v>
      </c>
      <c r="M60" s="70">
        <v>16.117999999999999</v>
      </c>
      <c r="N60" s="6">
        <v>16.117999999999999</v>
      </c>
      <c r="O60" s="70">
        <v>16.117999999999999</v>
      </c>
      <c r="P60" s="6">
        <v>0</v>
      </c>
      <c r="Q60" s="4" t="s">
        <v>26</v>
      </c>
      <c r="R60" s="4">
        <v>0</v>
      </c>
      <c r="S60" s="4">
        <v>0</v>
      </c>
      <c r="T60" s="4">
        <v>2</v>
      </c>
      <c r="U60" s="4">
        <v>74</v>
      </c>
      <c r="V60" s="70">
        <f>IF(ISERROR(VLOOKUP($S$60,'TAR FIN'!$A$1:$O$85,15,0)),0,VLOOKUP($S$60,'TAR FIN'!$A$1:$O$85,15,0))</f>
        <v>0</v>
      </c>
      <c r="W60" s="70">
        <f>IF(ISERROR(VLOOKUP($T$60,'TAR FIN'!$A$1:$O$85,15,0)),0,VLOOKUP($T$60,'TAR FIN'!$A$1:$O$85,15,0))*(1-0.06)</f>
        <v>87.871200000000002</v>
      </c>
      <c r="X60" s="70">
        <f>IF(ISERROR(VLOOKUP($U$60,'TAR FIN'!$A$1:$O$85,15,0)),0,VLOOKUP($U$60,'TAR FIN'!$A$1:$O$85,15,0))*(1-0.06)</f>
        <v>225.87259999999998</v>
      </c>
      <c r="Y60" s="70"/>
      <c r="Z60" s="70">
        <f ca="1">('TUSD BE'!$AM$12+'TUSD BF'!$AM$12+'TUSD CVA'!$AM$12)*1*(1-0.03)</f>
        <v>129.18083627712426</v>
      </c>
      <c r="AA60" s="70">
        <f>('TE BE'!$AA$6+'TE BF'!$AA$6+'TE CVA'!$AA$6)*1*(1-0.03)</f>
        <v>320.80893726149895</v>
      </c>
      <c r="AB60" s="70">
        <f>(SUBSIDIO!$J$60*SUBSIDIO!$V$60)*(0.06)/(1-0.06)</f>
        <v>0</v>
      </c>
      <c r="AC60" s="70">
        <f>((SUBSIDIO!$L$60*SUBSIDIO!$W$60)+(SUBSIDIO!$N$60*SUBSIDIO!$X$60))*(0.06)/(1-0.06)</f>
        <v>322.78229159999995</v>
      </c>
      <c r="AD60" s="70">
        <f>(SUBSIDIO!$J$60*SUBSIDIO!$Y$60)*(0.03)/(1-0.03)</f>
        <v>0</v>
      </c>
      <c r="AE60" s="70">
        <f ca="1">((SUBSIDIO!$L$60*SUBSIDIO!$Z$60)+(SUBSIDIO!$N$60*SUBSIDIO!$AA$60))*(0.03)/(1-0.03)</f>
        <v>224.3175825740885</v>
      </c>
      <c r="AF60" s="4" t="s">
        <v>668</v>
      </c>
    </row>
    <row r="61" spans="1:32" ht="11.25" customHeight="1" x14ac:dyDescent="0.3">
      <c r="A61" s="4" t="s">
        <v>21</v>
      </c>
      <c r="B61" s="4" t="s">
        <v>37</v>
      </c>
      <c r="C61" s="4" t="s">
        <v>38</v>
      </c>
      <c r="D61" s="4" t="s">
        <v>49</v>
      </c>
      <c r="E61" s="4" t="s">
        <v>50</v>
      </c>
      <c r="F61" s="4" t="s">
        <v>25</v>
      </c>
      <c r="G61" s="4" t="s">
        <v>25</v>
      </c>
      <c r="H61" s="4" t="s">
        <v>34</v>
      </c>
      <c r="I61" s="5">
        <v>44621</v>
      </c>
      <c r="J61" s="6">
        <v>0</v>
      </c>
      <c r="K61" s="70">
        <v>0</v>
      </c>
      <c r="L61" s="6">
        <v>17.745999999999999</v>
      </c>
      <c r="M61" s="70">
        <v>17.745999999999999</v>
      </c>
      <c r="N61" s="6">
        <v>17.745999999999999</v>
      </c>
      <c r="O61" s="70">
        <v>17.745999999999999</v>
      </c>
      <c r="P61" s="6">
        <v>0</v>
      </c>
      <c r="Q61" s="4" t="s">
        <v>26</v>
      </c>
      <c r="R61" s="4">
        <v>0</v>
      </c>
      <c r="S61" s="4">
        <v>0</v>
      </c>
      <c r="T61" s="4">
        <v>2</v>
      </c>
      <c r="U61" s="4">
        <v>74</v>
      </c>
      <c r="V61" s="70">
        <f>IF(ISERROR(VLOOKUP($S$61,'TAR FIN'!$A$1:$O$85,15,0)),0,VLOOKUP($S$61,'TAR FIN'!$A$1:$O$85,15,0))</f>
        <v>0</v>
      </c>
      <c r="W61" s="70">
        <f>IF(ISERROR(VLOOKUP($T$61,'TAR FIN'!$A$1:$O$85,15,0)),0,VLOOKUP($T$61,'TAR FIN'!$A$1:$O$85,15,0))*(1-0.06)</f>
        <v>87.871200000000002</v>
      </c>
      <c r="X61" s="70">
        <f>IF(ISERROR(VLOOKUP($U$61,'TAR FIN'!$A$1:$O$85,15,0)),0,VLOOKUP($U$61,'TAR FIN'!$A$1:$O$85,15,0))*(1-0.06)</f>
        <v>225.87259999999998</v>
      </c>
      <c r="Y61" s="70"/>
      <c r="Z61" s="70">
        <f ca="1">('TUSD BE'!$AM$12+'TUSD BF'!$AM$12+'TUSD CVA'!$AM$12)*1*(1-0.03)</f>
        <v>129.18083627712426</v>
      </c>
      <c r="AA61" s="70">
        <f>('TE BE'!$AA$6+'TE BF'!$AA$6+'TE CVA'!$AA$6)*1*(1-0.03)</f>
        <v>320.80893726149895</v>
      </c>
      <c r="AB61" s="70">
        <f>(SUBSIDIO!$J$61*SUBSIDIO!$V$61)*(0.06)/(1-0.06)</f>
        <v>0</v>
      </c>
      <c r="AC61" s="70">
        <f>((SUBSIDIO!$L$61*SUBSIDIO!$W$61)+(SUBSIDIO!$N$61*SUBSIDIO!$X$61))*(0.06)/(1-0.06)</f>
        <v>355.38494519999995</v>
      </c>
      <c r="AD61" s="70">
        <f>(SUBSIDIO!$J$61*SUBSIDIO!$Y$61)*(0.03)/(1-0.03)</f>
        <v>0</v>
      </c>
      <c r="AE61" s="70">
        <f ca="1">((SUBSIDIO!$L$61*SUBSIDIO!$Z$61)+(SUBSIDIO!$N$61*SUBSIDIO!$AA$61))*(0.03)/(1-0.03)</f>
        <v>246.97479962524972</v>
      </c>
      <c r="AF61" s="4" t="s">
        <v>668</v>
      </c>
    </row>
    <row r="62" spans="1:32" ht="11.25" customHeight="1" x14ac:dyDescent="0.3">
      <c r="A62" s="4" t="s">
        <v>21</v>
      </c>
      <c r="B62" s="4" t="s">
        <v>37</v>
      </c>
      <c r="C62" s="4" t="s">
        <v>38</v>
      </c>
      <c r="D62" s="4" t="s">
        <v>49</v>
      </c>
      <c r="E62" s="4" t="s">
        <v>50</v>
      </c>
      <c r="F62" s="4" t="s">
        <v>25</v>
      </c>
      <c r="G62" s="4" t="s">
        <v>25</v>
      </c>
      <c r="H62" s="4" t="s">
        <v>25</v>
      </c>
      <c r="I62" s="5">
        <v>44287</v>
      </c>
      <c r="J62" s="6">
        <v>58</v>
      </c>
      <c r="K62" s="71">
        <v>58</v>
      </c>
      <c r="L62" s="6">
        <v>0</v>
      </c>
      <c r="M62" s="70">
        <v>0</v>
      </c>
      <c r="N62" s="6">
        <v>0</v>
      </c>
      <c r="O62" s="70">
        <v>0</v>
      </c>
      <c r="P62" s="6">
        <v>1</v>
      </c>
      <c r="Q62" s="4" t="s">
        <v>26</v>
      </c>
      <c r="R62" s="4">
        <v>0</v>
      </c>
      <c r="S62" s="4">
        <v>50</v>
      </c>
      <c r="T62" s="4">
        <v>0</v>
      </c>
      <c r="U62" s="4">
        <v>0</v>
      </c>
      <c r="V62" s="70">
        <f>IF(ISERROR(VLOOKUP($S$62,'TAR FIN'!$A$1:$O$85,15,0)),0,VLOOKUP($S$62,'TAR FIN'!$A$1:$O$85,15,0))*(1-0.06)</f>
        <v>69.945399999999992</v>
      </c>
      <c r="W62" s="70">
        <f>IF(ISERROR(VLOOKUP($T$62,'TAR FIN'!$A$1:$O$85,15,0)),0,VLOOKUP($T$62,'TAR FIN'!$A$1:$O$85,15,0))</f>
        <v>0</v>
      </c>
      <c r="X62" s="70">
        <f>IF(ISERROR(VLOOKUP($U$62,'TAR FIN'!$A$1:$O$85,15,0)),0,VLOOKUP($U$62,'TAR FIN'!$A$1:$O$85,15,0))</f>
        <v>0</v>
      </c>
      <c r="Y62" s="70">
        <f ca="1">('TUSD BE'!$AM$10+'TUSD BF'!$AM$10+'TUSD CVA'!$AM$10)*1*(1-0.03)</f>
        <v>78.609747049325335</v>
      </c>
      <c r="Z62" s="70"/>
      <c r="AA62" s="70"/>
      <c r="AB62" s="70">
        <f>(SUBSIDIO!$J$62*SUBSIDIO!$V$62)*(0.06)/(1-0.06)</f>
        <v>258.9468</v>
      </c>
      <c r="AC62" s="70">
        <f>((SUBSIDIO!$L$62*SUBSIDIO!$W$62)+(SUBSIDIO!$N$62*SUBSIDIO!$X$62))*(0.06)/(1-0.06)</f>
        <v>0</v>
      </c>
      <c r="AD62" s="70">
        <f ca="1">(SUBSIDIO!$J$62*SUBSIDIO!$Y$62)*(0.03)/(1-0.03)</f>
        <v>141.01129883074853</v>
      </c>
      <c r="AE62" s="70">
        <f>((SUBSIDIO!$L$62*SUBSIDIO!$Z$62)+(SUBSIDIO!$N$62*SUBSIDIO!$AA$62))*(0.03)/(1-0.03)</f>
        <v>0</v>
      </c>
      <c r="AF62" s="4" t="s">
        <v>668</v>
      </c>
    </row>
    <row r="63" spans="1:32" ht="11.25" customHeight="1" x14ac:dyDescent="0.3">
      <c r="A63" s="4" t="s">
        <v>21</v>
      </c>
      <c r="B63" s="4" t="s">
        <v>37</v>
      </c>
      <c r="C63" s="4" t="s">
        <v>38</v>
      </c>
      <c r="D63" s="4" t="s">
        <v>49</v>
      </c>
      <c r="E63" s="4" t="s">
        <v>50</v>
      </c>
      <c r="F63" s="4" t="s">
        <v>25</v>
      </c>
      <c r="G63" s="4" t="s">
        <v>25</v>
      </c>
      <c r="H63" s="4" t="s">
        <v>25</v>
      </c>
      <c r="I63" s="5">
        <v>44317</v>
      </c>
      <c r="J63" s="6">
        <v>58</v>
      </c>
      <c r="K63" s="71">
        <v>58</v>
      </c>
      <c r="L63" s="6">
        <v>0</v>
      </c>
      <c r="M63" s="70">
        <v>0</v>
      </c>
      <c r="N63" s="6">
        <v>0</v>
      </c>
      <c r="O63" s="70">
        <v>0</v>
      </c>
      <c r="P63" s="6">
        <v>1</v>
      </c>
      <c r="Q63" s="4" t="s">
        <v>26</v>
      </c>
      <c r="R63" s="4">
        <v>0</v>
      </c>
      <c r="S63" s="4">
        <v>50</v>
      </c>
      <c r="T63" s="4">
        <v>0</v>
      </c>
      <c r="U63" s="4">
        <v>0</v>
      </c>
      <c r="V63" s="70">
        <f>IF(ISERROR(VLOOKUP($S$63,'TAR FIN'!$A$1:$O$85,15,0)),0,VLOOKUP($S$63,'TAR FIN'!$A$1:$O$85,15,0))*(1-0.06)</f>
        <v>69.945399999999992</v>
      </c>
      <c r="W63" s="70">
        <f>IF(ISERROR(VLOOKUP($T$63,'TAR FIN'!$A$1:$O$85,15,0)),0,VLOOKUP($T$63,'TAR FIN'!$A$1:$O$85,15,0))</f>
        <v>0</v>
      </c>
      <c r="X63" s="70">
        <f>IF(ISERROR(VLOOKUP($U$63,'TAR FIN'!$A$1:$O$85,15,0)),0,VLOOKUP($U$63,'TAR FIN'!$A$1:$O$85,15,0))</f>
        <v>0</v>
      </c>
      <c r="Y63" s="70">
        <f ca="1">('TUSD BE'!$AM$10+'TUSD BF'!$AM$10+'TUSD CVA'!$AM$10)*1*(1-0.03)</f>
        <v>78.609747049325335</v>
      </c>
      <c r="Z63" s="70"/>
      <c r="AA63" s="70"/>
      <c r="AB63" s="70">
        <f>(SUBSIDIO!$J$63*SUBSIDIO!$V$63)*(0.06)/(1-0.06)</f>
        <v>258.9468</v>
      </c>
      <c r="AC63" s="70">
        <f>((SUBSIDIO!$L$63*SUBSIDIO!$W$63)+(SUBSIDIO!$N$63*SUBSIDIO!$X$63))*(0.06)/(1-0.06)</f>
        <v>0</v>
      </c>
      <c r="AD63" s="70">
        <f ca="1">(SUBSIDIO!$J$63*SUBSIDIO!$Y$63)*(0.03)/(1-0.03)</f>
        <v>141.01129883074853</v>
      </c>
      <c r="AE63" s="70">
        <f>((SUBSIDIO!$L$63*SUBSIDIO!$Z$63)+(SUBSIDIO!$N$63*SUBSIDIO!$AA$63))*(0.03)/(1-0.03)</f>
        <v>0</v>
      </c>
      <c r="AF63" s="4" t="s">
        <v>668</v>
      </c>
    </row>
    <row r="64" spans="1:32" ht="11.25" customHeight="1" x14ac:dyDescent="0.3">
      <c r="A64" s="4" t="s">
        <v>21</v>
      </c>
      <c r="B64" s="4" t="s">
        <v>37</v>
      </c>
      <c r="C64" s="4" t="s">
        <v>38</v>
      </c>
      <c r="D64" s="4" t="s">
        <v>49</v>
      </c>
      <c r="E64" s="4" t="s">
        <v>50</v>
      </c>
      <c r="F64" s="4" t="s">
        <v>25</v>
      </c>
      <c r="G64" s="4" t="s">
        <v>25</v>
      </c>
      <c r="H64" s="4" t="s">
        <v>25</v>
      </c>
      <c r="I64" s="5">
        <v>44348</v>
      </c>
      <c r="J64" s="6">
        <v>58</v>
      </c>
      <c r="K64" s="71">
        <v>58</v>
      </c>
      <c r="L64" s="6">
        <v>0</v>
      </c>
      <c r="M64" s="70">
        <v>0</v>
      </c>
      <c r="N64" s="6">
        <v>0</v>
      </c>
      <c r="O64" s="70">
        <v>0</v>
      </c>
      <c r="P64" s="6">
        <v>1</v>
      </c>
      <c r="Q64" s="4" t="s">
        <v>26</v>
      </c>
      <c r="R64" s="4">
        <v>0</v>
      </c>
      <c r="S64" s="4">
        <v>50</v>
      </c>
      <c r="T64" s="4">
        <v>0</v>
      </c>
      <c r="U64" s="4">
        <v>0</v>
      </c>
      <c r="V64" s="70">
        <f>IF(ISERROR(VLOOKUP($S$64,'TAR FIN'!$A$1:$O$85,15,0)),0,VLOOKUP($S$64,'TAR FIN'!$A$1:$O$85,15,0))*(1-0.06)</f>
        <v>69.945399999999992</v>
      </c>
      <c r="W64" s="70">
        <f>IF(ISERROR(VLOOKUP($T$64,'TAR FIN'!$A$1:$O$85,15,0)),0,VLOOKUP($T$64,'TAR FIN'!$A$1:$O$85,15,0))</f>
        <v>0</v>
      </c>
      <c r="X64" s="70">
        <f>IF(ISERROR(VLOOKUP($U$64,'TAR FIN'!$A$1:$O$85,15,0)),0,VLOOKUP($U$64,'TAR FIN'!$A$1:$O$85,15,0))</f>
        <v>0</v>
      </c>
      <c r="Y64" s="70">
        <f ca="1">('TUSD BE'!$AM$10+'TUSD BF'!$AM$10+'TUSD CVA'!$AM$10)*1*(1-0.03)</f>
        <v>78.609747049325335</v>
      </c>
      <c r="Z64" s="70"/>
      <c r="AA64" s="70"/>
      <c r="AB64" s="70">
        <f>(SUBSIDIO!$J$64*SUBSIDIO!$V$64)*(0.06)/(1-0.06)</f>
        <v>258.9468</v>
      </c>
      <c r="AC64" s="70">
        <f>((SUBSIDIO!$L$64*SUBSIDIO!$W$64)+(SUBSIDIO!$N$64*SUBSIDIO!$X$64))*(0.06)/(1-0.06)</f>
        <v>0</v>
      </c>
      <c r="AD64" s="70">
        <f ca="1">(SUBSIDIO!$J$64*SUBSIDIO!$Y$64)*(0.03)/(1-0.03)</f>
        <v>141.01129883074853</v>
      </c>
      <c r="AE64" s="70">
        <f>((SUBSIDIO!$L$64*SUBSIDIO!$Z$64)+(SUBSIDIO!$N$64*SUBSIDIO!$AA$64))*(0.03)/(1-0.03)</f>
        <v>0</v>
      </c>
      <c r="AF64" s="4" t="s">
        <v>668</v>
      </c>
    </row>
    <row r="65" spans="1:32" ht="11.25" customHeight="1" x14ac:dyDescent="0.3">
      <c r="A65" s="4" t="s">
        <v>21</v>
      </c>
      <c r="B65" s="4" t="s">
        <v>37</v>
      </c>
      <c r="C65" s="4" t="s">
        <v>38</v>
      </c>
      <c r="D65" s="4" t="s">
        <v>49</v>
      </c>
      <c r="E65" s="4" t="s">
        <v>50</v>
      </c>
      <c r="F65" s="4" t="s">
        <v>25</v>
      </c>
      <c r="G65" s="4" t="s">
        <v>25</v>
      </c>
      <c r="H65" s="4" t="s">
        <v>25</v>
      </c>
      <c r="I65" s="5">
        <v>44378</v>
      </c>
      <c r="J65" s="6">
        <v>58</v>
      </c>
      <c r="K65" s="71">
        <v>58</v>
      </c>
      <c r="L65" s="6">
        <v>0</v>
      </c>
      <c r="M65" s="70">
        <v>0</v>
      </c>
      <c r="N65" s="6">
        <v>0</v>
      </c>
      <c r="O65" s="70">
        <v>0</v>
      </c>
      <c r="P65" s="6">
        <v>1</v>
      </c>
      <c r="Q65" s="4" t="s">
        <v>26</v>
      </c>
      <c r="R65" s="4">
        <v>0</v>
      </c>
      <c r="S65" s="4">
        <v>50</v>
      </c>
      <c r="T65" s="4">
        <v>0</v>
      </c>
      <c r="U65" s="4">
        <v>0</v>
      </c>
      <c r="V65" s="70">
        <f>IF(ISERROR(VLOOKUP($S$65,'TAR FIN'!$A$1:$O$85,15,0)),0,VLOOKUP($S$65,'TAR FIN'!$A$1:$O$85,15,0))*(1-0.06)</f>
        <v>69.945399999999992</v>
      </c>
      <c r="W65" s="70">
        <f>IF(ISERROR(VLOOKUP($T$65,'TAR FIN'!$A$1:$O$85,15,0)),0,VLOOKUP($T$65,'TAR FIN'!$A$1:$O$85,15,0))</f>
        <v>0</v>
      </c>
      <c r="X65" s="70">
        <f>IF(ISERROR(VLOOKUP($U$65,'TAR FIN'!$A$1:$O$85,15,0)),0,VLOOKUP($U$65,'TAR FIN'!$A$1:$O$85,15,0))</f>
        <v>0</v>
      </c>
      <c r="Y65" s="70">
        <f ca="1">('TUSD BE'!$AM$10+'TUSD BF'!$AM$10+'TUSD CVA'!$AM$10)*1*(1-0.03)</f>
        <v>78.609747049325335</v>
      </c>
      <c r="Z65" s="70"/>
      <c r="AA65" s="70"/>
      <c r="AB65" s="70">
        <f>(SUBSIDIO!$J$65*SUBSIDIO!$V$65)*(0.06)/(1-0.06)</f>
        <v>258.9468</v>
      </c>
      <c r="AC65" s="70">
        <f>((SUBSIDIO!$L$65*SUBSIDIO!$W$65)+(SUBSIDIO!$N$65*SUBSIDIO!$X$65))*(0.06)/(1-0.06)</f>
        <v>0</v>
      </c>
      <c r="AD65" s="70">
        <f ca="1">(SUBSIDIO!$J$65*SUBSIDIO!$Y$65)*(0.03)/(1-0.03)</f>
        <v>141.01129883074853</v>
      </c>
      <c r="AE65" s="70">
        <f>((SUBSIDIO!$L$65*SUBSIDIO!$Z$65)+(SUBSIDIO!$N$65*SUBSIDIO!$AA$65))*(0.03)/(1-0.03)</f>
        <v>0</v>
      </c>
      <c r="AF65" s="4" t="s">
        <v>668</v>
      </c>
    </row>
    <row r="66" spans="1:32" ht="11.25" customHeight="1" x14ac:dyDescent="0.3">
      <c r="A66" s="4" t="s">
        <v>21</v>
      </c>
      <c r="B66" s="4" t="s">
        <v>37</v>
      </c>
      <c r="C66" s="4" t="s">
        <v>38</v>
      </c>
      <c r="D66" s="4" t="s">
        <v>49</v>
      </c>
      <c r="E66" s="4" t="s">
        <v>50</v>
      </c>
      <c r="F66" s="4" t="s">
        <v>25</v>
      </c>
      <c r="G66" s="4" t="s">
        <v>25</v>
      </c>
      <c r="H66" s="4" t="s">
        <v>25</v>
      </c>
      <c r="I66" s="5">
        <v>44409</v>
      </c>
      <c r="J66" s="6">
        <v>58</v>
      </c>
      <c r="K66" s="71">
        <v>58</v>
      </c>
      <c r="L66" s="6">
        <v>0</v>
      </c>
      <c r="M66" s="70">
        <v>0</v>
      </c>
      <c r="N66" s="6">
        <v>0</v>
      </c>
      <c r="O66" s="70">
        <v>0</v>
      </c>
      <c r="P66" s="6">
        <v>1</v>
      </c>
      <c r="Q66" s="4" t="s">
        <v>26</v>
      </c>
      <c r="R66" s="4">
        <v>0</v>
      </c>
      <c r="S66" s="4">
        <v>50</v>
      </c>
      <c r="T66" s="4">
        <v>0</v>
      </c>
      <c r="U66" s="4">
        <v>0</v>
      </c>
      <c r="V66" s="70">
        <f>IF(ISERROR(VLOOKUP($S$66,'TAR FIN'!$A$1:$O$85,15,0)),0,VLOOKUP($S$66,'TAR FIN'!$A$1:$O$85,15,0))*(1-0.06)</f>
        <v>69.945399999999992</v>
      </c>
      <c r="W66" s="70">
        <f>IF(ISERROR(VLOOKUP($T$66,'TAR FIN'!$A$1:$O$85,15,0)),0,VLOOKUP($T$66,'TAR FIN'!$A$1:$O$85,15,0))</f>
        <v>0</v>
      </c>
      <c r="X66" s="70">
        <f>IF(ISERROR(VLOOKUP($U$66,'TAR FIN'!$A$1:$O$85,15,0)),0,VLOOKUP($U$66,'TAR FIN'!$A$1:$O$85,15,0))</f>
        <v>0</v>
      </c>
      <c r="Y66" s="70">
        <f ca="1">('TUSD BE'!$AM$10+'TUSD BF'!$AM$10+'TUSD CVA'!$AM$10)*1*(1-0.03)</f>
        <v>78.609747049325335</v>
      </c>
      <c r="Z66" s="70"/>
      <c r="AA66" s="70"/>
      <c r="AB66" s="70">
        <f>(SUBSIDIO!$J$66*SUBSIDIO!$V$66)*(0.06)/(1-0.06)</f>
        <v>258.9468</v>
      </c>
      <c r="AC66" s="70">
        <f>((SUBSIDIO!$L$66*SUBSIDIO!$W$66)+(SUBSIDIO!$N$66*SUBSIDIO!$X$66))*(0.06)/(1-0.06)</f>
        <v>0</v>
      </c>
      <c r="AD66" s="70">
        <f ca="1">(SUBSIDIO!$J$66*SUBSIDIO!$Y$66)*(0.03)/(1-0.03)</f>
        <v>141.01129883074853</v>
      </c>
      <c r="AE66" s="70">
        <f>((SUBSIDIO!$L$66*SUBSIDIO!$Z$66)+(SUBSIDIO!$N$66*SUBSIDIO!$AA$66))*(0.03)/(1-0.03)</f>
        <v>0</v>
      </c>
      <c r="AF66" s="4" t="s">
        <v>668</v>
      </c>
    </row>
    <row r="67" spans="1:32" ht="11.25" customHeight="1" x14ac:dyDescent="0.3">
      <c r="A67" s="4" t="s">
        <v>21</v>
      </c>
      <c r="B67" s="4" t="s">
        <v>37</v>
      </c>
      <c r="C67" s="4" t="s">
        <v>38</v>
      </c>
      <c r="D67" s="4" t="s">
        <v>49</v>
      </c>
      <c r="E67" s="4" t="s">
        <v>50</v>
      </c>
      <c r="F67" s="4" t="s">
        <v>25</v>
      </c>
      <c r="G67" s="4" t="s">
        <v>25</v>
      </c>
      <c r="H67" s="4" t="s">
        <v>25</v>
      </c>
      <c r="I67" s="5">
        <v>44440</v>
      </c>
      <c r="J67" s="6">
        <v>58</v>
      </c>
      <c r="K67" s="71">
        <v>58</v>
      </c>
      <c r="L67" s="6">
        <v>0</v>
      </c>
      <c r="M67" s="70">
        <v>0</v>
      </c>
      <c r="N67" s="6">
        <v>0</v>
      </c>
      <c r="O67" s="70">
        <v>0</v>
      </c>
      <c r="P67" s="6">
        <v>1</v>
      </c>
      <c r="Q67" s="4" t="s">
        <v>26</v>
      </c>
      <c r="R67" s="4">
        <v>0</v>
      </c>
      <c r="S67" s="4">
        <v>50</v>
      </c>
      <c r="T67" s="4">
        <v>0</v>
      </c>
      <c r="U67" s="4">
        <v>0</v>
      </c>
      <c r="V67" s="70">
        <f>IF(ISERROR(VLOOKUP($S$67,'TAR FIN'!$A$1:$O$85,15,0)),0,VLOOKUP($S$67,'TAR FIN'!$A$1:$O$85,15,0))*(1-0.06)</f>
        <v>69.945399999999992</v>
      </c>
      <c r="W67" s="70">
        <f>IF(ISERROR(VLOOKUP($T$67,'TAR FIN'!$A$1:$O$85,15,0)),0,VLOOKUP($T$67,'TAR FIN'!$A$1:$O$85,15,0))</f>
        <v>0</v>
      </c>
      <c r="X67" s="70">
        <f>IF(ISERROR(VLOOKUP($U$67,'TAR FIN'!$A$1:$O$85,15,0)),0,VLOOKUP($U$67,'TAR FIN'!$A$1:$O$85,15,0))</f>
        <v>0</v>
      </c>
      <c r="Y67" s="70">
        <f ca="1">('TUSD BE'!$AM$10+'TUSD BF'!$AM$10+'TUSD CVA'!$AM$10)*1*(1-0.03)</f>
        <v>78.609747049325335</v>
      </c>
      <c r="Z67" s="70"/>
      <c r="AA67" s="70"/>
      <c r="AB67" s="70">
        <f>(SUBSIDIO!$J$67*SUBSIDIO!$V$67)*(0.06)/(1-0.06)</f>
        <v>258.9468</v>
      </c>
      <c r="AC67" s="70">
        <f>((SUBSIDIO!$L$67*SUBSIDIO!$W$67)+(SUBSIDIO!$N$67*SUBSIDIO!$X$67))*(0.06)/(1-0.06)</f>
        <v>0</v>
      </c>
      <c r="AD67" s="70">
        <f ca="1">(SUBSIDIO!$J$67*SUBSIDIO!$Y$67)*(0.03)/(1-0.03)</f>
        <v>141.01129883074853</v>
      </c>
      <c r="AE67" s="70">
        <f>((SUBSIDIO!$L$67*SUBSIDIO!$Z$67)+(SUBSIDIO!$N$67*SUBSIDIO!$AA$67))*(0.03)/(1-0.03)</f>
        <v>0</v>
      </c>
      <c r="AF67" s="4" t="s">
        <v>668</v>
      </c>
    </row>
    <row r="68" spans="1:32" ht="11.25" customHeight="1" x14ac:dyDescent="0.3">
      <c r="A68" s="4" t="s">
        <v>21</v>
      </c>
      <c r="B68" s="4" t="s">
        <v>37</v>
      </c>
      <c r="C68" s="4" t="s">
        <v>38</v>
      </c>
      <c r="D68" s="4" t="s">
        <v>49</v>
      </c>
      <c r="E68" s="4" t="s">
        <v>50</v>
      </c>
      <c r="F68" s="4" t="s">
        <v>25</v>
      </c>
      <c r="G68" s="4" t="s">
        <v>25</v>
      </c>
      <c r="H68" s="4" t="s">
        <v>25</v>
      </c>
      <c r="I68" s="5">
        <v>44470</v>
      </c>
      <c r="J68" s="6">
        <v>58</v>
      </c>
      <c r="K68" s="71">
        <v>58</v>
      </c>
      <c r="L68" s="6">
        <v>0</v>
      </c>
      <c r="M68" s="70">
        <v>0</v>
      </c>
      <c r="N68" s="6">
        <v>0</v>
      </c>
      <c r="O68" s="70">
        <v>0</v>
      </c>
      <c r="P68" s="6">
        <v>1</v>
      </c>
      <c r="Q68" s="4" t="s">
        <v>26</v>
      </c>
      <c r="R68" s="4">
        <v>0</v>
      </c>
      <c r="S68" s="4">
        <v>50</v>
      </c>
      <c r="T68" s="4">
        <v>0</v>
      </c>
      <c r="U68" s="4">
        <v>0</v>
      </c>
      <c r="V68" s="70">
        <f>IF(ISERROR(VLOOKUP($S$68,'TAR FIN'!$A$1:$O$85,15,0)),0,VLOOKUP($S$68,'TAR FIN'!$A$1:$O$85,15,0))*(1-0.06)</f>
        <v>69.945399999999992</v>
      </c>
      <c r="W68" s="70">
        <f>IF(ISERROR(VLOOKUP($T$68,'TAR FIN'!$A$1:$O$85,15,0)),0,VLOOKUP($T$68,'TAR FIN'!$A$1:$O$85,15,0))</f>
        <v>0</v>
      </c>
      <c r="X68" s="70">
        <f>IF(ISERROR(VLOOKUP($U$68,'TAR FIN'!$A$1:$O$85,15,0)),0,VLOOKUP($U$68,'TAR FIN'!$A$1:$O$85,15,0))</f>
        <v>0</v>
      </c>
      <c r="Y68" s="70">
        <f ca="1">('TUSD BE'!$AM$10+'TUSD BF'!$AM$10+'TUSD CVA'!$AM$10)*1*(1-0.03)</f>
        <v>78.609747049325335</v>
      </c>
      <c r="Z68" s="70"/>
      <c r="AA68" s="70"/>
      <c r="AB68" s="70">
        <f>(SUBSIDIO!$J$68*SUBSIDIO!$V$68)*(0.06)/(1-0.06)</f>
        <v>258.9468</v>
      </c>
      <c r="AC68" s="70">
        <f>((SUBSIDIO!$L$68*SUBSIDIO!$W$68)+(SUBSIDIO!$N$68*SUBSIDIO!$X$68))*(0.06)/(1-0.06)</f>
        <v>0</v>
      </c>
      <c r="AD68" s="70">
        <f ca="1">(SUBSIDIO!$J$68*SUBSIDIO!$Y$68)*(0.03)/(1-0.03)</f>
        <v>141.01129883074853</v>
      </c>
      <c r="AE68" s="70">
        <f>((SUBSIDIO!$L$68*SUBSIDIO!$Z$68)+(SUBSIDIO!$N$68*SUBSIDIO!$AA$68))*(0.03)/(1-0.03)</f>
        <v>0</v>
      </c>
      <c r="AF68" s="4" t="s">
        <v>668</v>
      </c>
    </row>
    <row r="69" spans="1:32" ht="11.25" customHeight="1" x14ac:dyDescent="0.3">
      <c r="A69" s="4" t="s">
        <v>21</v>
      </c>
      <c r="B69" s="4" t="s">
        <v>37</v>
      </c>
      <c r="C69" s="4" t="s">
        <v>38</v>
      </c>
      <c r="D69" s="4" t="s">
        <v>49</v>
      </c>
      <c r="E69" s="4" t="s">
        <v>50</v>
      </c>
      <c r="F69" s="4" t="s">
        <v>25</v>
      </c>
      <c r="G69" s="4" t="s">
        <v>25</v>
      </c>
      <c r="H69" s="4" t="s">
        <v>25</v>
      </c>
      <c r="I69" s="5">
        <v>44501</v>
      </c>
      <c r="J69" s="6">
        <v>58</v>
      </c>
      <c r="K69" s="71">
        <v>58</v>
      </c>
      <c r="L69" s="6">
        <v>0</v>
      </c>
      <c r="M69" s="70">
        <v>0</v>
      </c>
      <c r="N69" s="6">
        <v>0</v>
      </c>
      <c r="O69" s="70">
        <v>0</v>
      </c>
      <c r="P69" s="6">
        <v>1</v>
      </c>
      <c r="Q69" s="4" t="s">
        <v>26</v>
      </c>
      <c r="R69" s="4">
        <v>0</v>
      </c>
      <c r="S69" s="4">
        <v>50</v>
      </c>
      <c r="T69" s="4">
        <v>0</v>
      </c>
      <c r="U69" s="4">
        <v>0</v>
      </c>
      <c r="V69" s="70">
        <f>IF(ISERROR(VLOOKUP($S$69,'TAR FIN'!$A$1:$O$85,15,0)),0,VLOOKUP($S$69,'TAR FIN'!$A$1:$O$85,15,0))*(1-0.06)</f>
        <v>69.945399999999992</v>
      </c>
      <c r="W69" s="70">
        <f>IF(ISERROR(VLOOKUP($T$69,'TAR FIN'!$A$1:$O$85,15,0)),0,VLOOKUP($T$69,'TAR FIN'!$A$1:$O$85,15,0))</f>
        <v>0</v>
      </c>
      <c r="X69" s="70">
        <f>IF(ISERROR(VLOOKUP($U$69,'TAR FIN'!$A$1:$O$85,15,0)),0,VLOOKUP($U$69,'TAR FIN'!$A$1:$O$85,15,0))</f>
        <v>0</v>
      </c>
      <c r="Y69" s="70">
        <f ca="1">('TUSD BE'!$AM$10+'TUSD BF'!$AM$10+'TUSD CVA'!$AM$10)*1*(1-0.03)</f>
        <v>78.609747049325335</v>
      </c>
      <c r="Z69" s="70"/>
      <c r="AA69" s="70"/>
      <c r="AB69" s="70">
        <f>(SUBSIDIO!$J$69*SUBSIDIO!$V$69)*(0.06)/(1-0.06)</f>
        <v>258.9468</v>
      </c>
      <c r="AC69" s="70">
        <f>((SUBSIDIO!$L$69*SUBSIDIO!$W$69)+(SUBSIDIO!$N$69*SUBSIDIO!$X$69))*(0.06)/(1-0.06)</f>
        <v>0</v>
      </c>
      <c r="AD69" s="70">
        <f ca="1">(SUBSIDIO!$J$69*SUBSIDIO!$Y$69)*(0.03)/(1-0.03)</f>
        <v>141.01129883074853</v>
      </c>
      <c r="AE69" s="70">
        <f>((SUBSIDIO!$L$69*SUBSIDIO!$Z$69)+(SUBSIDIO!$N$69*SUBSIDIO!$AA$69))*(0.03)/(1-0.03)</f>
        <v>0</v>
      </c>
      <c r="AF69" s="4" t="s">
        <v>668</v>
      </c>
    </row>
    <row r="70" spans="1:32" ht="11.25" customHeight="1" x14ac:dyDescent="0.3">
      <c r="A70" s="4" t="s">
        <v>21</v>
      </c>
      <c r="B70" s="4" t="s">
        <v>37</v>
      </c>
      <c r="C70" s="4" t="s">
        <v>38</v>
      </c>
      <c r="D70" s="4" t="s">
        <v>49</v>
      </c>
      <c r="E70" s="4" t="s">
        <v>50</v>
      </c>
      <c r="F70" s="4" t="s">
        <v>25</v>
      </c>
      <c r="G70" s="4" t="s">
        <v>25</v>
      </c>
      <c r="H70" s="4" t="s">
        <v>25</v>
      </c>
      <c r="I70" s="5">
        <v>44531</v>
      </c>
      <c r="J70" s="6">
        <v>58</v>
      </c>
      <c r="K70" s="71">
        <v>58</v>
      </c>
      <c r="L70" s="6">
        <v>0</v>
      </c>
      <c r="M70" s="70">
        <v>0</v>
      </c>
      <c r="N70" s="6">
        <v>0</v>
      </c>
      <c r="O70" s="70">
        <v>0</v>
      </c>
      <c r="P70" s="6">
        <v>1</v>
      </c>
      <c r="Q70" s="4" t="s">
        <v>26</v>
      </c>
      <c r="R70" s="4">
        <v>0</v>
      </c>
      <c r="S70" s="4">
        <v>50</v>
      </c>
      <c r="T70" s="4">
        <v>0</v>
      </c>
      <c r="U70" s="4">
        <v>0</v>
      </c>
      <c r="V70" s="70">
        <f>IF(ISERROR(VLOOKUP($S$70,'TAR FIN'!$A$1:$O$85,15,0)),0,VLOOKUP($S$70,'TAR FIN'!$A$1:$O$85,15,0))*(1-0.06)</f>
        <v>69.945399999999992</v>
      </c>
      <c r="W70" s="70">
        <f>IF(ISERROR(VLOOKUP($T$70,'TAR FIN'!$A$1:$O$85,15,0)),0,VLOOKUP($T$70,'TAR FIN'!$A$1:$O$85,15,0))</f>
        <v>0</v>
      </c>
      <c r="X70" s="70">
        <f>IF(ISERROR(VLOOKUP($U$70,'TAR FIN'!$A$1:$O$85,15,0)),0,VLOOKUP($U$70,'TAR FIN'!$A$1:$O$85,15,0))</f>
        <v>0</v>
      </c>
      <c r="Y70" s="70">
        <f ca="1">('TUSD BE'!$AM$10+'TUSD BF'!$AM$10+'TUSD CVA'!$AM$10)*1*(1-0.03)</f>
        <v>78.609747049325335</v>
      </c>
      <c r="Z70" s="70"/>
      <c r="AA70" s="70"/>
      <c r="AB70" s="70">
        <f>(SUBSIDIO!$J$70*SUBSIDIO!$V$70)*(0.06)/(1-0.06)</f>
        <v>258.9468</v>
      </c>
      <c r="AC70" s="70">
        <f>((SUBSIDIO!$L$70*SUBSIDIO!$W$70)+(SUBSIDIO!$N$70*SUBSIDIO!$X$70))*(0.06)/(1-0.06)</f>
        <v>0</v>
      </c>
      <c r="AD70" s="70">
        <f ca="1">(SUBSIDIO!$J$70*SUBSIDIO!$Y$70)*(0.03)/(1-0.03)</f>
        <v>141.01129883074853</v>
      </c>
      <c r="AE70" s="70">
        <f>((SUBSIDIO!$L$70*SUBSIDIO!$Z$70)+(SUBSIDIO!$N$70*SUBSIDIO!$AA$70))*(0.03)/(1-0.03)</f>
        <v>0</v>
      </c>
      <c r="AF70" s="4" t="s">
        <v>668</v>
      </c>
    </row>
    <row r="71" spans="1:32" ht="11.25" customHeight="1" x14ac:dyDescent="0.3">
      <c r="A71" s="4" t="s">
        <v>21</v>
      </c>
      <c r="B71" s="4" t="s">
        <v>37</v>
      </c>
      <c r="C71" s="4" t="s">
        <v>38</v>
      </c>
      <c r="D71" s="4" t="s">
        <v>49</v>
      </c>
      <c r="E71" s="4" t="s">
        <v>50</v>
      </c>
      <c r="F71" s="4" t="s">
        <v>25</v>
      </c>
      <c r="G71" s="4" t="s">
        <v>25</v>
      </c>
      <c r="H71" s="4" t="s">
        <v>25</v>
      </c>
      <c r="I71" s="5">
        <v>44562</v>
      </c>
      <c r="J71" s="6">
        <v>58</v>
      </c>
      <c r="K71" s="71">
        <v>58</v>
      </c>
      <c r="L71" s="6">
        <v>0</v>
      </c>
      <c r="M71" s="70">
        <v>0</v>
      </c>
      <c r="N71" s="6">
        <v>0</v>
      </c>
      <c r="O71" s="70">
        <v>0</v>
      </c>
      <c r="P71" s="6">
        <v>1</v>
      </c>
      <c r="Q71" s="4" t="s">
        <v>26</v>
      </c>
      <c r="R71" s="4">
        <v>0</v>
      </c>
      <c r="S71" s="4">
        <v>50</v>
      </c>
      <c r="T71" s="4">
        <v>0</v>
      </c>
      <c r="U71" s="4">
        <v>0</v>
      </c>
      <c r="V71" s="70">
        <f>IF(ISERROR(VLOOKUP($S$71,'TAR FIN'!$A$1:$O$85,15,0)),0,VLOOKUP($S$71,'TAR FIN'!$A$1:$O$85,15,0))*(1-0.06)</f>
        <v>69.945399999999992</v>
      </c>
      <c r="W71" s="70">
        <f>IF(ISERROR(VLOOKUP($T$71,'TAR FIN'!$A$1:$O$85,15,0)),0,VLOOKUP($T$71,'TAR FIN'!$A$1:$O$85,15,0))</f>
        <v>0</v>
      </c>
      <c r="X71" s="70">
        <f>IF(ISERROR(VLOOKUP($U$71,'TAR FIN'!$A$1:$O$85,15,0)),0,VLOOKUP($U$71,'TAR FIN'!$A$1:$O$85,15,0))</f>
        <v>0</v>
      </c>
      <c r="Y71" s="70">
        <f ca="1">('TUSD BE'!$AM$10+'TUSD BF'!$AM$10+'TUSD CVA'!$AM$10)*1*(1-0.03)</f>
        <v>78.609747049325335</v>
      </c>
      <c r="Z71" s="70"/>
      <c r="AA71" s="70"/>
      <c r="AB71" s="70">
        <f>(SUBSIDIO!$J$71*SUBSIDIO!$V$71)*(0.06)/(1-0.06)</f>
        <v>258.9468</v>
      </c>
      <c r="AC71" s="70">
        <f>((SUBSIDIO!$L$71*SUBSIDIO!$W$71)+(SUBSIDIO!$N$71*SUBSIDIO!$X$71))*(0.06)/(1-0.06)</f>
        <v>0</v>
      </c>
      <c r="AD71" s="70">
        <f ca="1">(SUBSIDIO!$J$71*SUBSIDIO!$Y$71)*(0.03)/(1-0.03)</f>
        <v>141.01129883074853</v>
      </c>
      <c r="AE71" s="70">
        <f>((SUBSIDIO!$L$71*SUBSIDIO!$Z$71)+(SUBSIDIO!$N$71*SUBSIDIO!$AA$71))*(0.03)/(1-0.03)</f>
        <v>0</v>
      </c>
      <c r="AF71" s="4" t="s">
        <v>668</v>
      </c>
    </row>
    <row r="72" spans="1:32" ht="11.25" customHeight="1" x14ac:dyDescent="0.3">
      <c r="A72" s="4" t="s">
        <v>21</v>
      </c>
      <c r="B72" s="4" t="s">
        <v>37</v>
      </c>
      <c r="C72" s="4" t="s">
        <v>38</v>
      </c>
      <c r="D72" s="4" t="s">
        <v>49</v>
      </c>
      <c r="E72" s="4" t="s">
        <v>50</v>
      </c>
      <c r="F72" s="4" t="s">
        <v>25</v>
      </c>
      <c r="G72" s="4" t="s">
        <v>25</v>
      </c>
      <c r="H72" s="4" t="s">
        <v>25</v>
      </c>
      <c r="I72" s="5">
        <v>44593</v>
      </c>
      <c r="J72" s="6">
        <v>58</v>
      </c>
      <c r="K72" s="71">
        <v>58</v>
      </c>
      <c r="L72" s="6">
        <v>0</v>
      </c>
      <c r="M72" s="70">
        <v>0</v>
      </c>
      <c r="N72" s="6">
        <v>0</v>
      </c>
      <c r="O72" s="70">
        <v>0</v>
      </c>
      <c r="P72" s="6">
        <v>1</v>
      </c>
      <c r="Q72" s="4" t="s">
        <v>26</v>
      </c>
      <c r="R72" s="4">
        <v>0</v>
      </c>
      <c r="S72" s="4">
        <v>50</v>
      </c>
      <c r="T72" s="4">
        <v>0</v>
      </c>
      <c r="U72" s="4">
        <v>0</v>
      </c>
      <c r="V72" s="70">
        <f>IF(ISERROR(VLOOKUP($S$72,'TAR FIN'!$A$1:$O$85,15,0)),0,VLOOKUP($S$72,'TAR FIN'!$A$1:$O$85,15,0))*(1-0.06)</f>
        <v>69.945399999999992</v>
      </c>
      <c r="W72" s="70">
        <f>IF(ISERROR(VLOOKUP($T$72,'TAR FIN'!$A$1:$O$85,15,0)),0,VLOOKUP($T$72,'TAR FIN'!$A$1:$O$85,15,0))</f>
        <v>0</v>
      </c>
      <c r="X72" s="70">
        <f>IF(ISERROR(VLOOKUP($U$72,'TAR FIN'!$A$1:$O$85,15,0)),0,VLOOKUP($U$72,'TAR FIN'!$A$1:$O$85,15,0))</f>
        <v>0</v>
      </c>
      <c r="Y72" s="70">
        <f ca="1">('TUSD BE'!$AM$10+'TUSD BF'!$AM$10+'TUSD CVA'!$AM$10)*1*(1-0.03)</f>
        <v>78.609747049325335</v>
      </c>
      <c r="Z72" s="70"/>
      <c r="AA72" s="70"/>
      <c r="AB72" s="70">
        <f>(SUBSIDIO!$J$72*SUBSIDIO!$V$72)*(0.06)/(1-0.06)</f>
        <v>258.9468</v>
      </c>
      <c r="AC72" s="70">
        <f>((SUBSIDIO!$L$72*SUBSIDIO!$W$72)+(SUBSIDIO!$N$72*SUBSIDIO!$X$72))*(0.06)/(1-0.06)</f>
        <v>0</v>
      </c>
      <c r="AD72" s="70">
        <f ca="1">(SUBSIDIO!$J$72*SUBSIDIO!$Y$72)*(0.03)/(1-0.03)</f>
        <v>141.01129883074853</v>
      </c>
      <c r="AE72" s="70">
        <f>((SUBSIDIO!$L$72*SUBSIDIO!$Z$72)+(SUBSIDIO!$N$72*SUBSIDIO!$AA$72))*(0.03)/(1-0.03)</f>
        <v>0</v>
      </c>
      <c r="AF72" s="4" t="s">
        <v>668</v>
      </c>
    </row>
    <row r="73" spans="1:32" ht="11.25" customHeight="1" x14ac:dyDescent="0.3">
      <c r="A73" s="4" t="s">
        <v>21</v>
      </c>
      <c r="B73" s="4" t="s">
        <v>37</v>
      </c>
      <c r="C73" s="4" t="s">
        <v>38</v>
      </c>
      <c r="D73" s="4" t="s">
        <v>49</v>
      </c>
      <c r="E73" s="4" t="s">
        <v>50</v>
      </c>
      <c r="F73" s="4" t="s">
        <v>25</v>
      </c>
      <c r="G73" s="4" t="s">
        <v>25</v>
      </c>
      <c r="H73" s="4" t="s">
        <v>25</v>
      </c>
      <c r="I73" s="5">
        <v>44621</v>
      </c>
      <c r="J73" s="6">
        <v>58</v>
      </c>
      <c r="K73" s="71">
        <v>58</v>
      </c>
      <c r="L73" s="6">
        <v>0</v>
      </c>
      <c r="M73" s="70">
        <v>0</v>
      </c>
      <c r="N73" s="6">
        <v>0</v>
      </c>
      <c r="O73" s="70">
        <v>0</v>
      </c>
      <c r="P73" s="6">
        <v>1</v>
      </c>
      <c r="Q73" s="4" t="s">
        <v>26</v>
      </c>
      <c r="R73" s="4">
        <v>0</v>
      </c>
      <c r="S73" s="4">
        <v>50</v>
      </c>
      <c r="T73" s="4">
        <v>0</v>
      </c>
      <c r="U73" s="4">
        <v>0</v>
      </c>
      <c r="V73" s="70">
        <f>IF(ISERROR(VLOOKUP($S$73,'TAR FIN'!$A$1:$O$85,15,0)),0,VLOOKUP($S$73,'TAR FIN'!$A$1:$O$85,15,0))*(1-0.06)</f>
        <v>69.945399999999992</v>
      </c>
      <c r="W73" s="70">
        <f>IF(ISERROR(VLOOKUP($T$73,'TAR FIN'!$A$1:$O$85,15,0)),0,VLOOKUP($T$73,'TAR FIN'!$A$1:$O$85,15,0))</f>
        <v>0</v>
      </c>
      <c r="X73" s="70">
        <f>IF(ISERROR(VLOOKUP($U$73,'TAR FIN'!$A$1:$O$85,15,0)),0,VLOOKUP($U$73,'TAR FIN'!$A$1:$O$85,15,0))</f>
        <v>0</v>
      </c>
      <c r="Y73" s="70">
        <f ca="1">('TUSD BE'!$AM$10+'TUSD BF'!$AM$10+'TUSD CVA'!$AM$10)*1*(1-0.03)</f>
        <v>78.609747049325335</v>
      </c>
      <c r="Z73" s="70"/>
      <c r="AA73" s="70"/>
      <c r="AB73" s="70">
        <f>(SUBSIDIO!$J$73*SUBSIDIO!$V$73)*(0.06)/(1-0.06)</f>
        <v>258.9468</v>
      </c>
      <c r="AC73" s="70">
        <f>((SUBSIDIO!$L$73*SUBSIDIO!$W$73)+(SUBSIDIO!$N$73*SUBSIDIO!$X$73))*(0.06)/(1-0.06)</f>
        <v>0</v>
      </c>
      <c r="AD73" s="70">
        <f ca="1">(SUBSIDIO!$J$73*SUBSIDIO!$Y$73)*(0.03)/(1-0.03)</f>
        <v>141.01129883074853</v>
      </c>
      <c r="AE73" s="70">
        <f>((SUBSIDIO!$L$73*SUBSIDIO!$Z$73)+(SUBSIDIO!$N$73*SUBSIDIO!$AA$73))*(0.03)/(1-0.03)</f>
        <v>0</v>
      </c>
      <c r="AF73" s="4" t="s">
        <v>668</v>
      </c>
    </row>
    <row r="74" spans="1:32" ht="11.25" customHeight="1" x14ac:dyDescent="0.3">
      <c r="A74" s="4" t="s">
        <v>21</v>
      </c>
      <c r="B74" s="4" t="s">
        <v>37</v>
      </c>
      <c r="C74" s="4" t="s">
        <v>38</v>
      </c>
      <c r="D74" s="4" t="s">
        <v>49</v>
      </c>
      <c r="E74" s="4" t="s">
        <v>50</v>
      </c>
      <c r="F74" s="4" t="s">
        <v>25</v>
      </c>
      <c r="G74" s="4" t="s">
        <v>25</v>
      </c>
      <c r="H74" s="4" t="s">
        <v>39</v>
      </c>
      <c r="I74" s="5">
        <v>44287</v>
      </c>
      <c r="J74" s="6">
        <v>0</v>
      </c>
      <c r="K74" s="70">
        <v>0</v>
      </c>
      <c r="L74" s="6">
        <v>1.5</v>
      </c>
      <c r="M74" s="70">
        <v>1.5</v>
      </c>
      <c r="N74" s="6">
        <v>1.5</v>
      </c>
      <c r="O74" s="70">
        <v>1.5</v>
      </c>
      <c r="P74" s="6">
        <v>0</v>
      </c>
      <c r="Q74" s="4" t="s">
        <v>26</v>
      </c>
      <c r="R74" s="4">
        <v>0</v>
      </c>
      <c r="S74" s="4">
        <v>0</v>
      </c>
      <c r="T74" s="4">
        <v>1</v>
      </c>
      <c r="U74" s="4">
        <v>73</v>
      </c>
      <c r="V74" s="70">
        <f>IF(ISERROR(VLOOKUP($S$74,'TAR FIN'!$A$1:$O$85,15,0)),0,VLOOKUP($S$74,'TAR FIN'!$A$1:$O$85,15,0))</f>
        <v>0</v>
      </c>
      <c r="W74" s="70">
        <f>IF(ISERROR(VLOOKUP($T$74,'TAR FIN'!$A$1:$O$85,15,0)),0,VLOOKUP($T$74,'TAR FIN'!$A$1:$O$85,15,0))*(1-0.06)</f>
        <v>4314.2992000000004</v>
      </c>
      <c r="X74" s="70">
        <f>IF(ISERROR(VLOOKUP($U$74,'TAR FIN'!$A$1:$O$85,15,0)),0,VLOOKUP($U$74,'TAR FIN'!$A$1:$O$85,15,0))*(1-0.06)</f>
        <v>225.87259999999998</v>
      </c>
      <c r="Y74" s="70"/>
      <c r="Z74" s="70">
        <f ca="1">('TUSD BE'!$AM$11+'TUSD BF'!$AM$11+'TUSD CVA'!$AM$11)*1*(1-0.03)</f>
        <v>4896.0318731288708</v>
      </c>
      <c r="AA74" s="70">
        <f>('TE BE'!$AA$5+'TE BF'!$AA$5+'TE CVA'!$AA$5)*1*(1-0.03)</f>
        <v>320.80893726149895</v>
      </c>
      <c r="AB74" s="70">
        <f>(SUBSIDIO!$J$74*SUBSIDIO!$V$74)*(0.06)/(1-0.06)</f>
        <v>0</v>
      </c>
      <c r="AC74" s="70">
        <f>((SUBSIDIO!$L$74*SUBSIDIO!$W$74)+(SUBSIDIO!$N$74*SUBSIDIO!$X$74))*(0.06)/(1-0.06)</f>
        <v>434.69729999999998</v>
      </c>
      <c r="AD74" s="70">
        <f>(SUBSIDIO!$J$74*SUBSIDIO!$Y$74)*(0.03)/(1-0.03)</f>
        <v>0</v>
      </c>
      <c r="AE74" s="70">
        <f ca="1">((SUBSIDIO!$L$74*SUBSIDIO!$Z$74)+(SUBSIDIO!$N$74*SUBSIDIO!$AA$74))*(0.03)/(1-0.03)</f>
        <v>242.01838811089343</v>
      </c>
      <c r="AF74" s="4" t="s">
        <v>668</v>
      </c>
    </row>
    <row r="75" spans="1:32" ht="11.25" customHeight="1" x14ac:dyDescent="0.3">
      <c r="A75" s="4" t="s">
        <v>21</v>
      </c>
      <c r="B75" s="4" t="s">
        <v>37</v>
      </c>
      <c r="C75" s="4" t="s">
        <v>38</v>
      </c>
      <c r="D75" s="4" t="s">
        <v>49</v>
      </c>
      <c r="E75" s="4" t="s">
        <v>50</v>
      </c>
      <c r="F75" s="4" t="s">
        <v>25</v>
      </c>
      <c r="G75" s="4" t="s">
        <v>25</v>
      </c>
      <c r="H75" s="4" t="s">
        <v>39</v>
      </c>
      <c r="I75" s="5">
        <v>44317</v>
      </c>
      <c r="J75" s="6">
        <v>0</v>
      </c>
      <c r="K75" s="70">
        <v>0</v>
      </c>
      <c r="L75" s="6">
        <v>1.657</v>
      </c>
      <c r="M75" s="70">
        <v>1.657</v>
      </c>
      <c r="N75" s="6">
        <v>1.657</v>
      </c>
      <c r="O75" s="70">
        <v>1.657</v>
      </c>
      <c r="P75" s="6">
        <v>0</v>
      </c>
      <c r="Q75" s="4" t="s">
        <v>26</v>
      </c>
      <c r="R75" s="4">
        <v>0</v>
      </c>
      <c r="S75" s="4">
        <v>0</v>
      </c>
      <c r="T75" s="4">
        <v>1</v>
      </c>
      <c r="U75" s="4">
        <v>73</v>
      </c>
      <c r="V75" s="70">
        <f>IF(ISERROR(VLOOKUP($S$75,'TAR FIN'!$A$1:$O$85,15,0)),0,VLOOKUP($S$75,'TAR FIN'!$A$1:$O$85,15,0))</f>
        <v>0</v>
      </c>
      <c r="W75" s="70">
        <f>IF(ISERROR(VLOOKUP($T$75,'TAR FIN'!$A$1:$O$85,15,0)),0,VLOOKUP($T$75,'TAR FIN'!$A$1:$O$85,15,0))*(1-0.06)</f>
        <v>4314.2992000000004</v>
      </c>
      <c r="X75" s="70">
        <f>IF(ISERROR(VLOOKUP($U$75,'TAR FIN'!$A$1:$O$85,15,0)),0,VLOOKUP($U$75,'TAR FIN'!$A$1:$O$85,15,0))*(1-0.06)</f>
        <v>225.87259999999998</v>
      </c>
      <c r="Y75" s="70"/>
      <c r="Z75" s="70">
        <f ca="1">('TUSD BE'!$AM$11+'TUSD BF'!$AM$11+'TUSD CVA'!$AM$11)*1*(1-0.03)</f>
        <v>4896.0318731288708</v>
      </c>
      <c r="AA75" s="70">
        <f>('TE BE'!$AA$5+'TE BF'!$AA$5+'TE CVA'!$AA$5)*1*(1-0.03)</f>
        <v>320.80893726149895</v>
      </c>
      <c r="AB75" s="70">
        <f>(SUBSIDIO!$J$75*SUBSIDIO!$V$75)*(0.06)/(1-0.06)</f>
        <v>0</v>
      </c>
      <c r="AC75" s="70">
        <f>((SUBSIDIO!$L$75*SUBSIDIO!$W$75)+(SUBSIDIO!$N$75*SUBSIDIO!$X$75))*(0.06)/(1-0.06)</f>
        <v>480.19561740000012</v>
      </c>
      <c r="AD75" s="70">
        <f>(SUBSIDIO!$J$75*SUBSIDIO!$Y$75)*(0.03)/(1-0.03)</f>
        <v>0</v>
      </c>
      <c r="AE75" s="70">
        <f ca="1">((SUBSIDIO!$L$75*SUBSIDIO!$Z$75)+(SUBSIDIO!$N$75*SUBSIDIO!$AA$75))*(0.03)/(1-0.03)</f>
        <v>267.34964606650027</v>
      </c>
      <c r="AF75" s="4" t="s">
        <v>668</v>
      </c>
    </row>
    <row r="76" spans="1:32" ht="11.25" customHeight="1" x14ac:dyDescent="0.3">
      <c r="A76" s="4" t="s">
        <v>21</v>
      </c>
      <c r="B76" s="4" t="s">
        <v>37</v>
      </c>
      <c r="C76" s="4" t="s">
        <v>38</v>
      </c>
      <c r="D76" s="4" t="s">
        <v>49</v>
      </c>
      <c r="E76" s="4" t="s">
        <v>50</v>
      </c>
      <c r="F76" s="4" t="s">
        <v>25</v>
      </c>
      <c r="G76" s="4" t="s">
        <v>25</v>
      </c>
      <c r="H76" s="4" t="s">
        <v>39</v>
      </c>
      <c r="I76" s="5">
        <v>44348</v>
      </c>
      <c r="J76" s="6">
        <v>0</v>
      </c>
      <c r="K76" s="70">
        <v>0</v>
      </c>
      <c r="L76" s="6">
        <v>1.742</v>
      </c>
      <c r="M76" s="70">
        <v>1.742</v>
      </c>
      <c r="N76" s="6">
        <v>1.742</v>
      </c>
      <c r="O76" s="70">
        <v>1.742</v>
      </c>
      <c r="P76" s="6">
        <v>0</v>
      </c>
      <c r="Q76" s="4" t="s">
        <v>26</v>
      </c>
      <c r="R76" s="4">
        <v>0</v>
      </c>
      <c r="S76" s="4">
        <v>0</v>
      </c>
      <c r="T76" s="4">
        <v>1</v>
      </c>
      <c r="U76" s="4">
        <v>73</v>
      </c>
      <c r="V76" s="70">
        <f>IF(ISERROR(VLOOKUP($S$76,'TAR FIN'!$A$1:$O$85,15,0)),0,VLOOKUP($S$76,'TAR FIN'!$A$1:$O$85,15,0))</f>
        <v>0</v>
      </c>
      <c r="W76" s="70">
        <f>IF(ISERROR(VLOOKUP($T$76,'TAR FIN'!$A$1:$O$85,15,0)),0,VLOOKUP($T$76,'TAR FIN'!$A$1:$O$85,15,0))*(1-0.06)</f>
        <v>4314.2992000000004</v>
      </c>
      <c r="X76" s="70">
        <f>IF(ISERROR(VLOOKUP($U$76,'TAR FIN'!$A$1:$O$85,15,0)),0,VLOOKUP($U$76,'TAR FIN'!$A$1:$O$85,15,0))*(1-0.06)</f>
        <v>225.87259999999998</v>
      </c>
      <c r="Y76" s="70"/>
      <c r="Z76" s="70">
        <f ca="1">('TUSD BE'!$AM$11+'TUSD BF'!$AM$11+'TUSD CVA'!$AM$11)*1*(1-0.03)</f>
        <v>4896.0318731288708</v>
      </c>
      <c r="AA76" s="70">
        <f>('TE BE'!$AA$5+'TE BF'!$AA$5+'TE CVA'!$AA$5)*1*(1-0.03)</f>
        <v>320.80893726149895</v>
      </c>
      <c r="AB76" s="70">
        <f>(SUBSIDIO!$J$76*SUBSIDIO!$V$76)*(0.06)/(1-0.06)</f>
        <v>0</v>
      </c>
      <c r="AC76" s="70">
        <f>((SUBSIDIO!$L$76*SUBSIDIO!$W$76)+(SUBSIDIO!$N$76*SUBSIDIO!$X$76))*(0.06)/(1-0.06)</f>
        <v>504.82846440000003</v>
      </c>
      <c r="AD76" s="70">
        <f>(SUBSIDIO!$J$76*SUBSIDIO!$Y$76)*(0.03)/(1-0.03)</f>
        <v>0</v>
      </c>
      <c r="AE76" s="70">
        <f ca="1">((SUBSIDIO!$L$76*SUBSIDIO!$Z$76)+(SUBSIDIO!$N$76*SUBSIDIO!$AA$76))*(0.03)/(1-0.03)</f>
        <v>281.0640213927843</v>
      </c>
      <c r="AF76" s="4" t="s">
        <v>668</v>
      </c>
    </row>
    <row r="77" spans="1:32" ht="11.25" customHeight="1" x14ac:dyDescent="0.3">
      <c r="A77" s="4" t="s">
        <v>21</v>
      </c>
      <c r="B77" s="4" t="s">
        <v>37</v>
      </c>
      <c r="C77" s="4" t="s">
        <v>38</v>
      </c>
      <c r="D77" s="4" t="s">
        <v>49</v>
      </c>
      <c r="E77" s="4" t="s">
        <v>50</v>
      </c>
      <c r="F77" s="4" t="s">
        <v>25</v>
      </c>
      <c r="G77" s="4" t="s">
        <v>25</v>
      </c>
      <c r="H77" s="4" t="s">
        <v>39</v>
      </c>
      <c r="I77" s="5">
        <v>44378</v>
      </c>
      <c r="J77" s="6">
        <v>0</v>
      </c>
      <c r="K77" s="70">
        <v>0</v>
      </c>
      <c r="L77" s="6">
        <v>1.8080000000000001</v>
      </c>
      <c r="M77" s="70">
        <v>1.8080000000000001</v>
      </c>
      <c r="N77" s="6">
        <v>1.8080000000000001</v>
      </c>
      <c r="O77" s="70">
        <v>1.8080000000000001</v>
      </c>
      <c r="P77" s="6">
        <v>0</v>
      </c>
      <c r="Q77" s="4" t="s">
        <v>26</v>
      </c>
      <c r="R77" s="4">
        <v>0</v>
      </c>
      <c r="S77" s="4">
        <v>0</v>
      </c>
      <c r="T77" s="4">
        <v>1</v>
      </c>
      <c r="U77" s="4">
        <v>73</v>
      </c>
      <c r="V77" s="70">
        <f>IF(ISERROR(VLOOKUP($S$77,'TAR FIN'!$A$1:$O$85,15,0)),0,VLOOKUP($S$77,'TAR FIN'!$A$1:$O$85,15,0))</f>
        <v>0</v>
      </c>
      <c r="W77" s="70">
        <f>IF(ISERROR(VLOOKUP($T$77,'TAR FIN'!$A$1:$O$85,15,0)),0,VLOOKUP($T$77,'TAR FIN'!$A$1:$O$85,15,0))*(1-0.06)</f>
        <v>4314.2992000000004</v>
      </c>
      <c r="X77" s="70">
        <f>IF(ISERROR(VLOOKUP($U$77,'TAR FIN'!$A$1:$O$85,15,0)),0,VLOOKUP($U$77,'TAR FIN'!$A$1:$O$85,15,0))*(1-0.06)</f>
        <v>225.87259999999998</v>
      </c>
      <c r="Y77" s="70"/>
      <c r="Z77" s="70">
        <f ca="1">('TUSD BE'!$AM$11+'TUSD BF'!$AM$11+'TUSD CVA'!$AM$11)*1*(1-0.03)</f>
        <v>4896.0318731288708</v>
      </c>
      <c r="AA77" s="70">
        <f>('TE BE'!$AA$5+'TE BF'!$AA$5+'TE CVA'!$AA$5)*1*(1-0.03)</f>
        <v>320.80893726149895</v>
      </c>
      <c r="AB77" s="70">
        <f>(SUBSIDIO!$J$77*SUBSIDIO!$V$77)*(0.06)/(1-0.06)</f>
        <v>0</v>
      </c>
      <c r="AC77" s="70">
        <f>((SUBSIDIO!$L$77*SUBSIDIO!$W$77)+(SUBSIDIO!$N$77*SUBSIDIO!$X$77))*(0.06)/(1-0.06)</f>
        <v>523.95514560000004</v>
      </c>
      <c r="AD77" s="70">
        <f>(SUBSIDIO!$J$77*SUBSIDIO!$Y$77)*(0.03)/(1-0.03)</f>
        <v>0</v>
      </c>
      <c r="AE77" s="70">
        <f ca="1">((SUBSIDIO!$L$77*SUBSIDIO!$Z$77)+(SUBSIDIO!$N$77*SUBSIDIO!$AA$77))*(0.03)/(1-0.03)</f>
        <v>291.71283046966352</v>
      </c>
      <c r="AF77" s="4" t="s">
        <v>668</v>
      </c>
    </row>
    <row r="78" spans="1:32" ht="11.25" customHeight="1" x14ac:dyDescent="0.3">
      <c r="A78" s="4" t="s">
        <v>21</v>
      </c>
      <c r="B78" s="4" t="s">
        <v>37</v>
      </c>
      <c r="C78" s="4" t="s">
        <v>38</v>
      </c>
      <c r="D78" s="4" t="s">
        <v>49</v>
      </c>
      <c r="E78" s="4" t="s">
        <v>50</v>
      </c>
      <c r="F78" s="4" t="s">
        <v>25</v>
      </c>
      <c r="G78" s="4" t="s">
        <v>25</v>
      </c>
      <c r="H78" s="4" t="s">
        <v>39</v>
      </c>
      <c r="I78" s="5">
        <v>44409</v>
      </c>
      <c r="J78" s="6">
        <v>0</v>
      </c>
      <c r="K78" s="70">
        <v>0</v>
      </c>
      <c r="L78" s="6">
        <v>1.643</v>
      </c>
      <c r="M78" s="70">
        <v>1.643</v>
      </c>
      <c r="N78" s="6">
        <v>1.643</v>
      </c>
      <c r="O78" s="70">
        <v>1.643</v>
      </c>
      <c r="P78" s="6">
        <v>0</v>
      </c>
      <c r="Q78" s="4" t="s">
        <v>26</v>
      </c>
      <c r="R78" s="4">
        <v>0</v>
      </c>
      <c r="S78" s="4">
        <v>0</v>
      </c>
      <c r="T78" s="4">
        <v>1</v>
      </c>
      <c r="U78" s="4">
        <v>73</v>
      </c>
      <c r="V78" s="70">
        <f>IF(ISERROR(VLOOKUP($S$78,'TAR FIN'!$A$1:$O$85,15,0)),0,VLOOKUP($S$78,'TAR FIN'!$A$1:$O$85,15,0))</f>
        <v>0</v>
      </c>
      <c r="W78" s="70">
        <f>IF(ISERROR(VLOOKUP($T$78,'TAR FIN'!$A$1:$O$85,15,0)),0,VLOOKUP($T$78,'TAR FIN'!$A$1:$O$85,15,0))*(1-0.06)</f>
        <v>4314.2992000000004</v>
      </c>
      <c r="X78" s="70">
        <f>IF(ISERROR(VLOOKUP($U$78,'TAR FIN'!$A$1:$O$85,15,0)),0,VLOOKUP($U$78,'TAR FIN'!$A$1:$O$85,15,0))*(1-0.06)</f>
        <v>225.87259999999998</v>
      </c>
      <c r="Y78" s="70"/>
      <c r="Z78" s="70">
        <f ca="1">('TUSD BE'!$AM$11+'TUSD BF'!$AM$11+'TUSD CVA'!$AM$11)*1*(1-0.03)</f>
        <v>4896.0318731288708</v>
      </c>
      <c r="AA78" s="70">
        <f>('TE BE'!$AA$5+'TE BF'!$AA$5+'TE CVA'!$AA$5)*1*(1-0.03)</f>
        <v>320.80893726149895</v>
      </c>
      <c r="AB78" s="70">
        <f>(SUBSIDIO!$J$78*SUBSIDIO!$V$78)*(0.06)/(1-0.06)</f>
        <v>0</v>
      </c>
      <c r="AC78" s="70">
        <f>((SUBSIDIO!$L$78*SUBSIDIO!$W$78)+(SUBSIDIO!$N$78*SUBSIDIO!$X$78))*(0.06)/(1-0.06)</f>
        <v>476.13844260000008</v>
      </c>
      <c r="AD78" s="70">
        <f>(SUBSIDIO!$J$78*SUBSIDIO!$Y$78)*(0.03)/(1-0.03)</f>
        <v>0</v>
      </c>
      <c r="AE78" s="70">
        <f ca="1">((SUBSIDIO!$L$78*SUBSIDIO!$Z$78)+(SUBSIDIO!$N$78*SUBSIDIO!$AA$78))*(0.03)/(1-0.03)</f>
        <v>265.09080777746527</v>
      </c>
      <c r="AF78" s="4" t="s">
        <v>668</v>
      </c>
    </row>
    <row r="79" spans="1:32" ht="11.25" customHeight="1" x14ac:dyDescent="0.3">
      <c r="A79" s="4" t="s">
        <v>21</v>
      </c>
      <c r="B79" s="4" t="s">
        <v>37</v>
      </c>
      <c r="C79" s="4" t="s">
        <v>38</v>
      </c>
      <c r="D79" s="4" t="s">
        <v>49</v>
      </c>
      <c r="E79" s="4" t="s">
        <v>50</v>
      </c>
      <c r="F79" s="4" t="s">
        <v>25</v>
      </c>
      <c r="G79" s="4" t="s">
        <v>25</v>
      </c>
      <c r="H79" s="4" t="s">
        <v>39</v>
      </c>
      <c r="I79" s="5">
        <v>44440</v>
      </c>
      <c r="J79" s="6">
        <v>0</v>
      </c>
      <c r="K79" s="70">
        <v>0</v>
      </c>
      <c r="L79" s="6">
        <v>1.6639999999999999</v>
      </c>
      <c r="M79" s="70">
        <v>1.6639999999999999</v>
      </c>
      <c r="N79" s="6">
        <v>1.6639999999999999</v>
      </c>
      <c r="O79" s="70">
        <v>1.6639999999999999</v>
      </c>
      <c r="P79" s="6">
        <v>0</v>
      </c>
      <c r="Q79" s="4" t="s">
        <v>26</v>
      </c>
      <c r="R79" s="4">
        <v>0</v>
      </c>
      <c r="S79" s="4">
        <v>0</v>
      </c>
      <c r="T79" s="4">
        <v>1</v>
      </c>
      <c r="U79" s="4">
        <v>73</v>
      </c>
      <c r="V79" s="70">
        <f>IF(ISERROR(VLOOKUP($S$79,'TAR FIN'!$A$1:$O$85,15,0)),0,VLOOKUP($S$79,'TAR FIN'!$A$1:$O$85,15,0))</f>
        <v>0</v>
      </c>
      <c r="W79" s="70">
        <f>IF(ISERROR(VLOOKUP($T$79,'TAR FIN'!$A$1:$O$85,15,0)),0,VLOOKUP($T$79,'TAR FIN'!$A$1:$O$85,15,0))*(1-0.06)</f>
        <v>4314.2992000000004</v>
      </c>
      <c r="X79" s="70">
        <f>IF(ISERROR(VLOOKUP($U$79,'TAR FIN'!$A$1:$O$85,15,0)),0,VLOOKUP($U$79,'TAR FIN'!$A$1:$O$85,15,0))*(1-0.06)</f>
        <v>225.87259999999998</v>
      </c>
      <c r="Y79" s="70"/>
      <c r="Z79" s="70">
        <f ca="1">('TUSD BE'!$AM$11+'TUSD BF'!$AM$11+'TUSD CVA'!$AM$11)*1*(1-0.03)</f>
        <v>4896.0318731288708</v>
      </c>
      <c r="AA79" s="70">
        <f>('TE BE'!$AA$5+'TE BF'!$AA$5+'TE CVA'!$AA$5)*1*(1-0.03)</f>
        <v>320.80893726149895</v>
      </c>
      <c r="AB79" s="70">
        <f>(SUBSIDIO!$J$79*SUBSIDIO!$V$79)*(0.06)/(1-0.06)</f>
        <v>0</v>
      </c>
      <c r="AC79" s="70">
        <f>((SUBSIDIO!$L$79*SUBSIDIO!$W$79)+(SUBSIDIO!$N$79*SUBSIDIO!$X$79))*(0.06)/(1-0.06)</f>
        <v>482.22420480000005</v>
      </c>
      <c r="AD79" s="70">
        <f>(SUBSIDIO!$J$79*SUBSIDIO!$Y$79)*(0.03)/(1-0.03)</f>
        <v>0</v>
      </c>
      <c r="AE79" s="70">
        <f ca="1">((SUBSIDIO!$L$79*SUBSIDIO!$Z$79)+(SUBSIDIO!$N$79*SUBSIDIO!$AA$79))*(0.03)/(1-0.03)</f>
        <v>268.47906521101777</v>
      </c>
      <c r="AF79" s="4" t="s">
        <v>668</v>
      </c>
    </row>
    <row r="80" spans="1:32" ht="11.25" customHeight="1" x14ac:dyDescent="0.3">
      <c r="A80" s="4" t="s">
        <v>21</v>
      </c>
      <c r="B80" s="4" t="s">
        <v>37</v>
      </c>
      <c r="C80" s="4" t="s">
        <v>38</v>
      </c>
      <c r="D80" s="4" t="s">
        <v>49</v>
      </c>
      <c r="E80" s="4" t="s">
        <v>50</v>
      </c>
      <c r="F80" s="4" t="s">
        <v>25</v>
      </c>
      <c r="G80" s="4" t="s">
        <v>25</v>
      </c>
      <c r="H80" s="4" t="s">
        <v>39</v>
      </c>
      <c r="I80" s="5">
        <v>44470</v>
      </c>
      <c r="J80" s="6">
        <v>0</v>
      </c>
      <c r="K80" s="70">
        <v>0</v>
      </c>
      <c r="L80" s="6">
        <v>1.5920000000000001</v>
      </c>
      <c r="M80" s="70">
        <v>1.5920000000000001</v>
      </c>
      <c r="N80" s="6">
        <v>1.5920000000000001</v>
      </c>
      <c r="O80" s="70">
        <v>1.5920000000000001</v>
      </c>
      <c r="P80" s="6">
        <v>0</v>
      </c>
      <c r="Q80" s="4" t="s">
        <v>26</v>
      </c>
      <c r="R80" s="4">
        <v>0</v>
      </c>
      <c r="S80" s="4">
        <v>0</v>
      </c>
      <c r="T80" s="4">
        <v>1</v>
      </c>
      <c r="U80" s="4">
        <v>73</v>
      </c>
      <c r="V80" s="70">
        <f>IF(ISERROR(VLOOKUP($S$80,'TAR FIN'!$A$1:$O$85,15,0)),0,VLOOKUP($S$80,'TAR FIN'!$A$1:$O$85,15,0))</f>
        <v>0</v>
      </c>
      <c r="W80" s="70">
        <f>IF(ISERROR(VLOOKUP($T$80,'TAR FIN'!$A$1:$O$85,15,0)),0,VLOOKUP($T$80,'TAR FIN'!$A$1:$O$85,15,0))*(1-0.06)</f>
        <v>4314.2992000000004</v>
      </c>
      <c r="X80" s="70">
        <f>IF(ISERROR(VLOOKUP($U$80,'TAR FIN'!$A$1:$O$85,15,0)),0,VLOOKUP($U$80,'TAR FIN'!$A$1:$O$85,15,0))*(1-0.06)</f>
        <v>225.87259999999998</v>
      </c>
      <c r="Y80" s="70"/>
      <c r="Z80" s="70">
        <f ca="1">('TUSD BE'!$AM$11+'TUSD BF'!$AM$11+'TUSD CVA'!$AM$11)*1*(1-0.03)</f>
        <v>4896.0318731288708</v>
      </c>
      <c r="AA80" s="70">
        <f>('TE BE'!$AA$5+'TE BF'!$AA$5+'TE CVA'!$AA$5)*1*(1-0.03)</f>
        <v>320.80893726149895</v>
      </c>
      <c r="AB80" s="70">
        <f>(SUBSIDIO!$J$80*SUBSIDIO!$V$80)*(0.06)/(1-0.06)</f>
        <v>0</v>
      </c>
      <c r="AC80" s="70">
        <f>((SUBSIDIO!$L$80*SUBSIDIO!$W$80)+(SUBSIDIO!$N$80*SUBSIDIO!$X$80))*(0.06)/(1-0.06)</f>
        <v>461.35873440000012</v>
      </c>
      <c r="AD80" s="70">
        <f>(SUBSIDIO!$J$80*SUBSIDIO!$Y$80)*(0.03)/(1-0.03)</f>
        <v>0</v>
      </c>
      <c r="AE80" s="70">
        <f ca="1">((SUBSIDIO!$L$80*SUBSIDIO!$Z$80)+(SUBSIDIO!$N$80*SUBSIDIO!$AA$80))*(0.03)/(1-0.03)</f>
        <v>256.86218258169492</v>
      </c>
      <c r="AF80" s="4" t="s">
        <v>668</v>
      </c>
    </row>
    <row r="81" spans="1:32" ht="11.25" customHeight="1" x14ac:dyDescent="0.3">
      <c r="A81" s="4" t="s">
        <v>21</v>
      </c>
      <c r="B81" s="4" t="s">
        <v>37</v>
      </c>
      <c r="C81" s="4" t="s">
        <v>38</v>
      </c>
      <c r="D81" s="4" t="s">
        <v>49</v>
      </c>
      <c r="E81" s="4" t="s">
        <v>50</v>
      </c>
      <c r="F81" s="4" t="s">
        <v>25</v>
      </c>
      <c r="G81" s="4" t="s">
        <v>25</v>
      </c>
      <c r="H81" s="4" t="s">
        <v>39</v>
      </c>
      <c r="I81" s="5">
        <v>44501</v>
      </c>
      <c r="J81" s="6">
        <v>0</v>
      </c>
      <c r="K81" s="70">
        <v>0</v>
      </c>
      <c r="L81" s="6">
        <v>1.4690000000000001</v>
      </c>
      <c r="M81" s="70">
        <v>1.4690000000000001</v>
      </c>
      <c r="N81" s="6">
        <v>1.4690000000000001</v>
      </c>
      <c r="O81" s="70">
        <v>1.4690000000000001</v>
      </c>
      <c r="P81" s="6">
        <v>0</v>
      </c>
      <c r="Q81" s="4" t="s">
        <v>26</v>
      </c>
      <c r="R81" s="4">
        <v>0</v>
      </c>
      <c r="S81" s="4">
        <v>0</v>
      </c>
      <c r="T81" s="4">
        <v>1</v>
      </c>
      <c r="U81" s="4">
        <v>73</v>
      </c>
      <c r="V81" s="70">
        <f>IF(ISERROR(VLOOKUP($S$81,'TAR FIN'!$A$1:$O$85,15,0)),0,VLOOKUP($S$81,'TAR FIN'!$A$1:$O$85,15,0))</f>
        <v>0</v>
      </c>
      <c r="W81" s="70">
        <f>IF(ISERROR(VLOOKUP($T$81,'TAR FIN'!$A$1:$O$85,15,0)),0,VLOOKUP($T$81,'TAR FIN'!$A$1:$O$85,15,0))*(1-0.06)</f>
        <v>4314.2992000000004</v>
      </c>
      <c r="X81" s="70">
        <f>IF(ISERROR(VLOOKUP($U$81,'TAR FIN'!$A$1:$O$85,15,0)),0,VLOOKUP($U$81,'TAR FIN'!$A$1:$O$85,15,0))*(1-0.06)</f>
        <v>225.87259999999998</v>
      </c>
      <c r="Y81" s="70"/>
      <c r="Z81" s="70">
        <f ca="1">('TUSD BE'!$AM$11+'TUSD BF'!$AM$11+'TUSD CVA'!$AM$11)*1*(1-0.03)</f>
        <v>4896.0318731288708</v>
      </c>
      <c r="AA81" s="70">
        <f>('TE BE'!$AA$5+'TE BF'!$AA$5+'TE CVA'!$AA$5)*1*(1-0.03)</f>
        <v>320.80893726149895</v>
      </c>
      <c r="AB81" s="70">
        <f>(SUBSIDIO!$J$81*SUBSIDIO!$V$81)*(0.06)/(1-0.06)</f>
        <v>0</v>
      </c>
      <c r="AC81" s="70">
        <f>((SUBSIDIO!$L$81*SUBSIDIO!$W$81)+(SUBSIDIO!$N$81*SUBSIDIO!$X$81))*(0.06)/(1-0.06)</f>
        <v>425.71355580000005</v>
      </c>
      <c r="AD81" s="70">
        <f>(SUBSIDIO!$J$81*SUBSIDIO!$Y$81)*(0.03)/(1-0.03)</f>
        <v>0</v>
      </c>
      <c r="AE81" s="70">
        <f ca="1">((SUBSIDIO!$L$81*SUBSIDIO!$Z$81)+(SUBSIDIO!$N$81*SUBSIDIO!$AA$81))*(0.03)/(1-0.03)</f>
        <v>237.01667475660167</v>
      </c>
      <c r="AF81" s="4" t="s">
        <v>668</v>
      </c>
    </row>
    <row r="82" spans="1:32" ht="11.25" customHeight="1" x14ac:dyDescent="0.3">
      <c r="A82" s="4" t="s">
        <v>21</v>
      </c>
      <c r="B82" s="4" t="s">
        <v>37</v>
      </c>
      <c r="C82" s="4" t="s">
        <v>38</v>
      </c>
      <c r="D82" s="4" t="s">
        <v>49</v>
      </c>
      <c r="E82" s="4" t="s">
        <v>50</v>
      </c>
      <c r="F82" s="4" t="s">
        <v>25</v>
      </c>
      <c r="G82" s="4" t="s">
        <v>25</v>
      </c>
      <c r="H82" s="4" t="s">
        <v>39</v>
      </c>
      <c r="I82" s="5">
        <v>44531</v>
      </c>
      <c r="J82" s="6">
        <v>0</v>
      </c>
      <c r="K82" s="70">
        <v>0</v>
      </c>
      <c r="L82" s="6">
        <v>1.651</v>
      </c>
      <c r="M82" s="70">
        <v>1.651</v>
      </c>
      <c r="N82" s="6">
        <v>1.651</v>
      </c>
      <c r="O82" s="70">
        <v>1.651</v>
      </c>
      <c r="P82" s="6">
        <v>0</v>
      </c>
      <c r="Q82" s="4" t="s">
        <v>26</v>
      </c>
      <c r="R82" s="4">
        <v>0</v>
      </c>
      <c r="S82" s="4">
        <v>0</v>
      </c>
      <c r="T82" s="4">
        <v>1</v>
      </c>
      <c r="U82" s="4">
        <v>73</v>
      </c>
      <c r="V82" s="70">
        <f>IF(ISERROR(VLOOKUP($S$82,'TAR FIN'!$A$1:$O$85,15,0)),0,VLOOKUP($S$82,'TAR FIN'!$A$1:$O$85,15,0))</f>
        <v>0</v>
      </c>
      <c r="W82" s="70">
        <f>IF(ISERROR(VLOOKUP($T$82,'TAR FIN'!$A$1:$O$85,15,0)),0,VLOOKUP($T$82,'TAR FIN'!$A$1:$O$85,15,0))*(1-0.06)</f>
        <v>4314.2992000000004</v>
      </c>
      <c r="X82" s="70">
        <f>IF(ISERROR(VLOOKUP($U$82,'TAR FIN'!$A$1:$O$85,15,0)),0,VLOOKUP($U$82,'TAR FIN'!$A$1:$O$85,15,0))*(1-0.06)</f>
        <v>225.87259999999998</v>
      </c>
      <c r="Y82" s="70"/>
      <c r="Z82" s="70">
        <f ca="1">('TUSD BE'!$AM$11+'TUSD BF'!$AM$11+'TUSD CVA'!$AM$11)*1*(1-0.03)</f>
        <v>4896.0318731288708</v>
      </c>
      <c r="AA82" s="70">
        <f>('TE BE'!$AA$5+'TE BF'!$AA$5+'TE CVA'!$AA$5)*1*(1-0.03)</f>
        <v>320.80893726149895</v>
      </c>
      <c r="AB82" s="70">
        <f>(SUBSIDIO!$J$82*SUBSIDIO!$V$82)*(0.06)/(1-0.06)</f>
        <v>0</v>
      </c>
      <c r="AC82" s="70">
        <f>((SUBSIDIO!$L$82*SUBSIDIO!$W$82)+(SUBSIDIO!$N$82*SUBSIDIO!$X$82))*(0.06)/(1-0.06)</f>
        <v>478.45682820000013</v>
      </c>
      <c r="AD82" s="70">
        <f>(SUBSIDIO!$J$82*SUBSIDIO!$Y$82)*(0.03)/(1-0.03)</f>
        <v>0</v>
      </c>
      <c r="AE82" s="70">
        <f ca="1">((SUBSIDIO!$L$82*SUBSIDIO!$Z$82)+(SUBSIDIO!$N$82*SUBSIDIO!$AA$82))*(0.03)/(1-0.03)</f>
        <v>266.3815725140567</v>
      </c>
      <c r="AF82" s="4" t="s">
        <v>668</v>
      </c>
    </row>
    <row r="83" spans="1:32" ht="11.25" customHeight="1" x14ac:dyDescent="0.3">
      <c r="A83" s="4" t="s">
        <v>21</v>
      </c>
      <c r="B83" s="4" t="s">
        <v>37</v>
      </c>
      <c r="C83" s="4" t="s">
        <v>38</v>
      </c>
      <c r="D83" s="4" t="s">
        <v>49</v>
      </c>
      <c r="E83" s="4" t="s">
        <v>50</v>
      </c>
      <c r="F83" s="4" t="s">
        <v>25</v>
      </c>
      <c r="G83" s="4" t="s">
        <v>25</v>
      </c>
      <c r="H83" s="4" t="s">
        <v>39</v>
      </c>
      <c r="I83" s="5">
        <v>44562</v>
      </c>
      <c r="J83" s="6">
        <v>0</v>
      </c>
      <c r="K83" s="70">
        <v>0</v>
      </c>
      <c r="L83" s="6">
        <v>1.58</v>
      </c>
      <c r="M83" s="70">
        <v>1.58</v>
      </c>
      <c r="N83" s="6">
        <v>1.58</v>
      </c>
      <c r="O83" s="70">
        <v>1.58</v>
      </c>
      <c r="P83" s="6">
        <v>0</v>
      </c>
      <c r="Q83" s="4" t="s">
        <v>26</v>
      </c>
      <c r="R83" s="4">
        <v>0</v>
      </c>
      <c r="S83" s="4">
        <v>0</v>
      </c>
      <c r="T83" s="4">
        <v>1</v>
      </c>
      <c r="U83" s="4">
        <v>73</v>
      </c>
      <c r="V83" s="70">
        <f>IF(ISERROR(VLOOKUP($S$83,'TAR FIN'!$A$1:$O$85,15,0)),0,VLOOKUP($S$83,'TAR FIN'!$A$1:$O$85,15,0))</f>
        <v>0</v>
      </c>
      <c r="W83" s="70">
        <f>IF(ISERROR(VLOOKUP($T$83,'TAR FIN'!$A$1:$O$85,15,0)),0,VLOOKUP($T$83,'TAR FIN'!$A$1:$O$85,15,0))*(1-0.06)</f>
        <v>4314.2992000000004</v>
      </c>
      <c r="X83" s="70">
        <f>IF(ISERROR(VLOOKUP($U$83,'TAR FIN'!$A$1:$O$85,15,0)),0,VLOOKUP($U$83,'TAR FIN'!$A$1:$O$85,15,0))*(1-0.06)</f>
        <v>225.87259999999998</v>
      </c>
      <c r="Y83" s="70"/>
      <c r="Z83" s="70">
        <f ca="1">('TUSD BE'!$AM$11+'TUSD BF'!$AM$11+'TUSD CVA'!$AM$11)*1*(1-0.03)</f>
        <v>4896.0318731288708</v>
      </c>
      <c r="AA83" s="70">
        <f>('TE BE'!$AA$5+'TE BF'!$AA$5+'TE CVA'!$AA$5)*1*(1-0.03)</f>
        <v>320.80893726149895</v>
      </c>
      <c r="AB83" s="70">
        <f>(SUBSIDIO!$J$83*SUBSIDIO!$V$83)*(0.06)/(1-0.06)</f>
        <v>0</v>
      </c>
      <c r="AC83" s="70">
        <f>((SUBSIDIO!$L$83*SUBSIDIO!$W$83)+(SUBSIDIO!$N$83*SUBSIDIO!$X$83))*(0.06)/(1-0.06)</f>
        <v>457.88115600000003</v>
      </c>
      <c r="AD83" s="70">
        <f>(SUBSIDIO!$J$83*SUBSIDIO!$Y$83)*(0.03)/(1-0.03)</f>
        <v>0</v>
      </c>
      <c r="AE83" s="70">
        <f ca="1">((SUBSIDIO!$L$83*SUBSIDIO!$Z$83)+(SUBSIDIO!$N$83*SUBSIDIO!$AA$83))*(0.03)/(1-0.03)</f>
        <v>254.92603547680775</v>
      </c>
      <c r="AF83" s="4" t="s">
        <v>668</v>
      </c>
    </row>
    <row r="84" spans="1:32" ht="11.25" customHeight="1" x14ac:dyDescent="0.3">
      <c r="A84" s="4" t="s">
        <v>21</v>
      </c>
      <c r="B84" s="4" t="s">
        <v>37</v>
      </c>
      <c r="C84" s="4" t="s">
        <v>38</v>
      </c>
      <c r="D84" s="4" t="s">
        <v>49</v>
      </c>
      <c r="E84" s="4" t="s">
        <v>50</v>
      </c>
      <c r="F84" s="4" t="s">
        <v>25</v>
      </c>
      <c r="G84" s="4" t="s">
        <v>25</v>
      </c>
      <c r="H84" s="4" t="s">
        <v>39</v>
      </c>
      <c r="I84" s="5">
        <v>44593</v>
      </c>
      <c r="J84" s="6">
        <v>0</v>
      </c>
      <c r="K84" s="70">
        <v>0</v>
      </c>
      <c r="L84" s="6">
        <v>1.6140000000000001</v>
      </c>
      <c r="M84" s="70">
        <v>1.6140000000000001</v>
      </c>
      <c r="N84" s="6">
        <v>1.6140000000000001</v>
      </c>
      <c r="O84" s="70">
        <v>1.6140000000000001</v>
      </c>
      <c r="P84" s="6">
        <v>0</v>
      </c>
      <c r="Q84" s="4" t="s">
        <v>26</v>
      </c>
      <c r="R84" s="4">
        <v>0</v>
      </c>
      <c r="S84" s="4">
        <v>0</v>
      </c>
      <c r="T84" s="4">
        <v>1</v>
      </c>
      <c r="U84" s="4">
        <v>73</v>
      </c>
      <c r="V84" s="70">
        <f>IF(ISERROR(VLOOKUP($S$84,'TAR FIN'!$A$1:$O$85,15,0)),0,VLOOKUP($S$84,'TAR FIN'!$A$1:$O$85,15,0))</f>
        <v>0</v>
      </c>
      <c r="W84" s="70">
        <f>IF(ISERROR(VLOOKUP($T$84,'TAR FIN'!$A$1:$O$85,15,0)),0,VLOOKUP($T$84,'TAR FIN'!$A$1:$O$85,15,0))*(1-0.06)</f>
        <v>4314.2992000000004</v>
      </c>
      <c r="X84" s="70">
        <f>IF(ISERROR(VLOOKUP($U$84,'TAR FIN'!$A$1:$O$85,15,0)),0,VLOOKUP($U$84,'TAR FIN'!$A$1:$O$85,15,0))*(1-0.06)</f>
        <v>225.87259999999998</v>
      </c>
      <c r="Y84" s="70"/>
      <c r="Z84" s="70">
        <f ca="1">('TUSD BE'!$AM$11+'TUSD BF'!$AM$11+'TUSD CVA'!$AM$11)*1*(1-0.03)</f>
        <v>4896.0318731288708</v>
      </c>
      <c r="AA84" s="70">
        <f>('TE BE'!$AA$5+'TE BF'!$AA$5+'TE CVA'!$AA$5)*1*(1-0.03)</f>
        <v>320.80893726149895</v>
      </c>
      <c r="AB84" s="70">
        <f>(SUBSIDIO!$J$84*SUBSIDIO!$V$84)*(0.06)/(1-0.06)</f>
        <v>0</v>
      </c>
      <c r="AC84" s="70">
        <f>((SUBSIDIO!$L$84*SUBSIDIO!$W$84)+(SUBSIDIO!$N$84*SUBSIDIO!$X$84))*(0.06)/(1-0.06)</f>
        <v>467.7342948000001</v>
      </c>
      <c r="AD84" s="70">
        <f>(SUBSIDIO!$J$84*SUBSIDIO!$Y$84)*(0.03)/(1-0.03)</f>
        <v>0</v>
      </c>
      <c r="AE84" s="70">
        <f ca="1">((SUBSIDIO!$L$84*SUBSIDIO!$Z$84)+(SUBSIDIO!$N$84*SUBSIDIO!$AA$84))*(0.03)/(1-0.03)</f>
        <v>260.41178560732135</v>
      </c>
      <c r="AF84" s="4" t="s">
        <v>668</v>
      </c>
    </row>
    <row r="85" spans="1:32" ht="11.25" customHeight="1" x14ac:dyDescent="0.3">
      <c r="A85" s="4" t="s">
        <v>21</v>
      </c>
      <c r="B85" s="4" t="s">
        <v>37</v>
      </c>
      <c r="C85" s="4" t="s">
        <v>38</v>
      </c>
      <c r="D85" s="4" t="s">
        <v>49</v>
      </c>
      <c r="E85" s="4" t="s">
        <v>50</v>
      </c>
      <c r="F85" s="4" t="s">
        <v>25</v>
      </c>
      <c r="G85" s="4" t="s">
        <v>25</v>
      </c>
      <c r="H85" s="4" t="s">
        <v>39</v>
      </c>
      <c r="I85" s="5">
        <v>44621</v>
      </c>
      <c r="J85" s="6">
        <v>0</v>
      </c>
      <c r="K85" s="70">
        <v>0</v>
      </c>
      <c r="L85" s="6">
        <v>1.8240000000000001</v>
      </c>
      <c r="M85" s="70">
        <v>1.8240000000000001</v>
      </c>
      <c r="N85" s="6">
        <v>1.8240000000000001</v>
      </c>
      <c r="O85" s="70">
        <v>1.8240000000000001</v>
      </c>
      <c r="P85" s="6">
        <v>0</v>
      </c>
      <c r="Q85" s="4" t="s">
        <v>26</v>
      </c>
      <c r="R85" s="4">
        <v>0</v>
      </c>
      <c r="S85" s="4">
        <v>0</v>
      </c>
      <c r="T85" s="4">
        <v>1</v>
      </c>
      <c r="U85" s="4">
        <v>73</v>
      </c>
      <c r="V85" s="70">
        <f>IF(ISERROR(VLOOKUP($S$85,'TAR FIN'!$A$1:$O$85,15,0)),0,VLOOKUP($S$85,'TAR FIN'!$A$1:$O$85,15,0))</f>
        <v>0</v>
      </c>
      <c r="W85" s="70">
        <f>IF(ISERROR(VLOOKUP($T$85,'TAR FIN'!$A$1:$O$85,15,0)),0,VLOOKUP($T$85,'TAR FIN'!$A$1:$O$85,15,0))*(1-0.06)</f>
        <v>4314.2992000000004</v>
      </c>
      <c r="X85" s="70">
        <f>IF(ISERROR(VLOOKUP($U$85,'TAR FIN'!$A$1:$O$85,15,0)),0,VLOOKUP($U$85,'TAR FIN'!$A$1:$O$85,15,0))*(1-0.06)</f>
        <v>225.87259999999998</v>
      </c>
      <c r="Y85" s="70"/>
      <c r="Z85" s="70">
        <f ca="1">('TUSD BE'!$AM$11+'TUSD BF'!$AM$11+'TUSD CVA'!$AM$11)*1*(1-0.03)</f>
        <v>4896.0318731288708</v>
      </c>
      <c r="AA85" s="70">
        <f>('TE BE'!$AA$5+'TE BF'!$AA$5+'TE CVA'!$AA$5)*1*(1-0.03)</f>
        <v>320.80893726149895</v>
      </c>
      <c r="AB85" s="70">
        <f>(SUBSIDIO!$J$85*SUBSIDIO!$V$85)*(0.06)/(1-0.06)</f>
        <v>0</v>
      </c>
      <c r="AC85" s="70">
        <f>((SUBSIDIO!$L$85*SUBSIDIO!$W$85)+(SUBSIDIO!$N$85*SUBSIDIO!$X$85))*(0.06)/(1-0.06)</f>
        <v>528.59191680000015</v>
      </c>
      <c r="AD85" s="70">
        <f>(SUBSIDIO!$J$85*SUBSIDIO!$Y$85)*(0.03)/(1-0.03)</f>
        <v>0</v>
      </c>
      <c r="AE85" s="70">
        <f ca="1">((SUBSIDIO!$L$85*SUBSIDIO!$Z$85)+(SUBSIDIO!$N$85*SUBSIDIO!$AA$85))*(0.03)/(1-0.03)</f>
        <v>294.29435994284643</v>
      </c>
      <c r="AF85" s="4" t="s">
        <v>668</v>
      </c>
    </row>
    <row r="86" spans="1:32" ht="11.25" customHeight="1" x14ac:dyDescent="0.3">
      <c r="A86" s="4" t="s">
        <v>21</v>
      </c>
      <c r="B86" s="4" t="s">
        <v>22</v>
      </c>
      <c r="C86" s="4" t="s">
        <v>23</v>
      </c>
      <c r="D86" s="4" t="s">
        <v>24</v>
      </c>
      <c r="E86" s="4" t="s">
        <v>24</v>
      </c>
      <c r="F86" s="4" t="s">
        <v>25</v>
      </c>
      <c r="G86" s="4" t="s">
        <v>25</v>
      </c>
      <c r="H86" s="4" t="s">
        <v>25</v>
      </c>
      <c r="I86" s="5">
        <v>44287</v>
      </c>
      <c r="J86" s="6">
        <v>0</v>
      </c>
      <c r="K86" s="6">
        <v>0</v>
      </c>
      <c r="L86" s="6">
        <v>963.36699999999996</v>
      </c>
      <c r="M86" s="6">
        <v>963.36699999999996</v>
      </c>
      <c r="N86" s="6">
        <v>963.36699999999996</v>
      </c>
      <c r="O86" s="6">
        <v>963.36699999999996</v>
      </c>
      <c r="P86" s="6">
        <v>6188</v>
      </c>
      <c r="Q86" s="4" t="s">
        <v>26</v>
      </c>
      <c r="R86" s="4">
        <v>0</v>
      </c>
      <c r="S86" s="4">
        <v>0</v>
      </c>
      <c r="T86" s="4">
        <v>8</v>
      </c>
      <c r="U86" s="4">
        <v>23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867.38</v>
      </c>
      <c r="X86" s="6">
        <f>IF(ISERROR(VLOOKUP($U$86,'TAR FIN'!$A$1:$O$85,15,0)),0,VLOOKUP($U$86,'TAR FIN'!$A$1:$O$85,15,0))</f>
        <v>240.29</v>
      </c>
      <c r="Y86" s="6"/>
      <c r="Z86" s="6">
        <f ca="1">('TUSD BE'!$AM$20+'TUSD BF'!$AM$20+'TUSD CVA'!$AM$20)*1</f>
        <v>982.05733872165513</v>
      </c>
      <c r="AA86" s="6">
        <f>('TE BE'!$AA$11+'TE BF'!$AA$11+'TE CVA'!$AA$11)*1</f>
        <v>330.73086315618451</v>
      </c>
      <c r="AB86" s="6">
        <f t="shared" ref="AB86:AB129" si="6">(J86-K86)*V86</f>
        <v>0</v>
      </c>
      <c r="AC86" s="6">
        <f t="shared" ref="AC86" si="7">(L86-M86)*W86+(N86-O86)*X86</f>
        <v>0</v>
      </c>
      <c r="AD86" s="6">
        <f t="shared" ref="AD86:AD129" si="8">(J86-K86)*Y86</f>
        <v>0</v>
      </c>
      <c r="AE86" s="6">
        <f t="shared" ref="AE86" ca="1" si="9">(L86-M86)*Z86+(N86-O86)*AA86</f>
        <v>0</v>
      </c>
    </row>
    <row r="87" spans="1:32" ht="11.25" customHeight="1" x14ac:dyDescent="0.3">
      <c r="A87" s="4" t="s">
        <v>21</v>
      </c>
      <c r="B87" s="4" t="s">
        <v>22</v>
      </c>
      <c r="C87" s="4" t="s">
        <v>23</v>
      </c>
      <c r="D87" s="4" t="s">
        <v>24</v>
      </c>
      <c r="E87" s="4" t="s">
        <v>29</v>
      </c>
      <c r="F87" s="4" t="s">
        <v>25</v>
      </c>
      <c r="G87" s="4" t="s">
        <v>25</v>
      </c>
      <c r="H87" s="4" t="s">
        <v>25</v>
      </c>
      <c r="I87" s="5">
        <v>44287</v>
      </c>
      <c r="J87" s="6">
        <v>0</v>
      </c>
      <c r="K87" s="6">
        <v>0</v>
      </c>
      <c r="L87" s="6">
        <v>1.95</v>
      </c>
      <c r="M87" s="6">
        <v>1.95</v>
      </c>
      <c r="N87" s="6">
        <v>1.95</v>
      </c>
      <c r="O87" s="6">
        <v>1.95</v>
      </c>
      <c r="P87" s="6">
        <v>2</v>
      </c>
      <c r="Q87" s="4" t="s">
        <v>26</v>
      </c>
      <c r="R87" s="4">
        <v>0</v>
      </c>
      <c r="S87" s="4">
        <v>0</v>
      </c>
      <c r="T87" s="4">
        <v>9</v>
      </c>
      <c r="U87" s="4">
        <v>75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273.68</v>
      </c>
      <c r="X87" s="6">
        <f>IF(ISERROR(VLOOKUP($U$87,'TAR FIN'!$A$1:$O$85,15,0)),0,VLOOKUP($U$87,'TAR FIN'!$A$1:$O$85,15,0))</f>
        <v>84.1</v>
      </c>
      <c r="Y87" s="6"/>
      <c r="Z87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87" s="6">
        <f>('TE BE'!$AA$12+'TE BF'!$AA$12+'TE CVA'!$AA$12)*(1-CUSTOS!$M$34)</f>
        <v>115.75580210466457</v>
      </c>
      <c r="AB87" s="6">
        <f t="shared" si="6"/>
        <v>0</v>
      </c>
      <c r="AC87" s="6">
        <f>(L87-M87)*(W87+X87)+($W$123+$X$123-$W$87-$X$87)*(L87)</f>
        <v>1295.6579999999999</v>
      </c>
      <c r="AD87" s="6">
        <f t="shared" si="8"/>
        <v>0</v>
      </c>
      <c r="AE87" s="6">
        <f ca="1">(L87-M87)*(Z87+AA87)+($Z$123+$AA$123-$Z$87-$AA$87)*(L87)</f>
        <v>1510.0616042267477</v>
      </c>
      <c r="AF87" s="4" t="s">
        <v>669</v>
      </c>
    </row>
    <row r="88" spans="1:32" ht="11.25" customHeight="1" x14ac:dyDescent="0.3">
      <c r="A88" s="4" t="s">
        <v>21</v>
      </c>
      <c r="B88" s="4" t="s">
        <v>22</v>
      </c>
      <c r="C88" s="4" t="s">
        <v>23</v>
      </c>
      <c r="D88" s="4" t="s">
        <v>24</v>
      </c>
      <c r="E88" s="4" t="s">
        <v>29</v>
      </c>
      <c r="F88" s="4" t="s">
        <v>25</v>
      </c>
      <c r="G88" s="4" t="s">
        <v>25</v>
      </c>
      <c r="H88" s="4" t="s">
        <v>25</v>
      </c>
      <c r="I88" s="5">
        <v>44317</v>
      </c>
      <c r="J88" s="6">
        <v>0</v>
      </c>
      <c r="K88" s="6">
        <v>0</v>
      </c>
      <c r="L88" s="6">
        <v>2.13</v>
      </c>
      <c r="M88" s="6">
        <v>2.13</v>
      </c>
      <c r="N88" s="6">
        <v>2.13</v>
      </c>
      <c r="O88" s="6">
        <v>2.13</v>
      </c>
      <c r="P88" s="6">
        <v>3</v>
      </c>
      <c r="Q88" s="4" t="s">
        <v>26</v>
      </c>
      <c r="R88" s="4">
        <v>0</v>
      </c>
      <c r="S88" s="4">
        <v>0</v>
      </c>
      <c r="T88" s="4">
        <v>9</v>
      </c>
      <c r="U88" s="4">
        <v>75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273.68</v>
      </c>
      <c r="X88" s="6">
        <f>IF(ISERROR(VLOOKUP($U$88,'TAR FIN'!$A$1:$O$85,15,0)),0,VLOOKUP($U$88,'TAR FIN'!$A$1:$O$85,15,0))</f>
        <v>84.1</v>
      </c>
      <c r="Y88" s="6"/>
      <c r="Z88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88" s="6">
        <f>('TE BE'!$AA$12+'TE BF'!$AA$12+'TE CVA'!$AA$12)*(1-CUSTOS!$M$34)</f>
        <v>115.75580210466457</v>
      </c>
      <c r="AB88" s="6">
        <f t="shared" si="6"/>
        <v>0</v>
      </c>
      <c r="AC88" s="6">
        <f>(L88-M88)*(W88+X88)+($W$123+$X$123-$W$88-$X$88)*(L88)</f>
        <v>1415.2571999999998</v>
      </c>
      <c r="AD88" s="6">
        <f t="shared" si="8"/>
        <v>0</v>
      </c>
      <c r="AE88" s="6">
        <f ca="1">(L88-M88)*(Z88+AA88)+($Z$123+$AA$123-$Z$88-$AA$88)*(L88)</f>
        <v>1649.4519061553704</v>
      </c>
      <c r="AF88" s="4" t="s">
        <v>669</v>
      </c>
    </row>
    <row r="89" spans="1:32" ht="11.25" customHeight="1" x14ac:dyDescent="0.3">
      <c r="A89" s="4" t="s">
        <v>21</v>
      </c>
      <c r="B89" s="4" t="s">
        <v>22</v>
      </c>
      <c r="C89" s="4" t="s">
        <v>23</v>
      </c>
      <c r="D89" s="4" t="s">
        <v>24</v>
      </c>
      <c r="E89" s="4" t="s">
        <v>29</v>
      </c>
      <c r="F89" s="4" t="s">
        <v>25</v>
      </c>
      <c r="G89" s="4" t="s">
        <v>25</v>
      </c>
      <c r="H89" s="4" t="s">
        <v>25</v>
      </c>
      <c r="I89" s="5">
        <v>44348</v>
      </c>
      <c r="J89" s="6">
        <v>0</v>
      </c>
      <c r="K89" s="6">
        <v>0</v>
      </c>
      <c r="L89" s="6">
        <v>2.2200000000000002</v>
      </c>
      <c r="M89" s="6">
        <v>2.2200000000000002</v>
      </c>
      <c r="N89" s="6">
        <v>2.2200000000000002</v>
      </c>
      <c r="O89" s="6">
        <v>2.2200000000000002</v>
      </c>
      <c r="P89" s="6">
        <v>3</v>
      </c>
      <c r="Q89" s="4" t="s">
        <v>26</v>
      </c>
      <c r="R89" s="4">
        <v>0</v>
      </c>
      <c r="S89" s="4">
        <v>0</v>
      </c>
      <c r="T89" s="4">
        <v>9</v>
      </c>
      <c r="U89" s="4">
        <v>75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273.68</v>
      </c>
      <c r="X89" s="6">
        <f>IF(ISERROR(VLOOKUP($U$89,'TAR FIN'!$A$1:$O$85,15,0)),0,VLOOKUP($U$89,'TAR FIN'!$A$1:$O$85,15,0))</f>
        <v>84.1</v>
      </c>
      <c r="Y89" s="6"/>
      <c r="Z89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89" s="6">
        <f>('TE BE'!$AA$12+'TE BF'!$AA$12+'TE CVA'!$AA$12)*(1-CUSTOS!$M$34)</f>
        <v>115.75580210466457</v>
      </c>
      <c r="AB89" s="6">
        <f t="shared" si="6"/>
        <v>0</v>
      </c>
      <c r="AC89" s="6">
        <f>(L89-M89)*(W89+X89)+($W$123+$X$123-$W$89-$X$89)*(L89)</f>
        <v>1475.0568000000001</v>
      </c>
      <c r="AD89" s="6">
        <f t="shared" si="8"/>
        <v>0</v>
      </c>
      <c r="AE89" s="6">
        <f ca="1">(L89-M89)*(Z89+AA89)+($Z$123+$AA$123-$Z$89-$AA$89)*(L89)</f>
        <v>1719.1470571196821</v>
      </c>
      <c r="AF89" s="4" t="s">
        <v>669</v>
      </c>
    </row>
    <row r="90" spans="1:32" ht="11.25" customHeight="1" x14ac:dyDescent="0.3">
      <c r="A90" s="4" t="s">
        <v>21</v>
      </c>
      <c r="B90" s="4" t="s">
        <v>22</v>
      </c>
      <c r="C90" s="4" t="s">
        <v>23</v>
      </c>
      <c r="D90" s="4" t="s">
        <v>24</v>
      </c>
      <c r="E90" s="4" t="s">
        <v>29</v>
      </c>
      <c r="F90" s="4" t="s">
        <v>25</v>
      </c>
      <c r="G90" s="4" t="s">
        <v>25</v>
      </c>
      <c r="H90" s="4" t="s">
        <v>25</v>
      </c>
      <c r="I90" s="5">
        <v>44378</v>
      </c>
      <c r="J90" s="6">
        <v>0</v>
      </c>
      <c r="K90" s="6">
        <v>0</v>
      </c>
      <c r="L90" s="6">
        <v>2.2799999999999998</v>
      </c>
      <c r="M90" s="6">
        <v>2.2799999999999998</v>
      </c>
      <c r="N90" s="6">
        <v>2.2799999999999998</v>
      </c>
      <c r="O90" s="6">
        <v>2.2799999999999998</v>
      </c>
      <c r="P90" s="6">
        <v>3</v>
      </c>
      <c r="Q90" s="4" t="s">
        <v>26</v>
      </c>
      <c r="R90" s="4">
        <v>0</v>
      </c>
      <c r="S90" s="4">
        <v>0</v>
      </c>
      <c r="T90" s="4">
        <v>9</v>
      </c>
      <c r="U90" s="4">
        <v>75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273.68</v>
      </c>
      <c r="X90" s="6">
        <f>IF(ISERROR(VLOOKUP($U$90,'TAR FIN'!$A$1:$O$85,15,0)),0,VLOOKUP($U$90,'TAR FIN'!$A$1:$O$85,15,0))</f>
        <v>84.1</v>
      </c>
      <c r="Y90" s="6"/>
      <c r="Z90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90" s="6">
        <f>('TE BE'!$AA$12+'TE BF'!$AA$12+'TE CVA'!$AA$12)*(1-CUSTOS!$M$34)</f>
        <v>115.75580210466457</v>
      </c>
      <c r="AB90" s="6">
        <f t="shared" si="6"/>
        <v>0</v>
      </c>
      <c r="AC90" s="6">
        <f>(L90-M90)*(W90+X90)+($W$123+$X$123-$W$90-$X$90)*(L90)</f>
        <v>1514.9231999999997</v>
      </c>
      <c r="AD90" s="6">
        <f t="shared" si="8"/>
        <v>0</v>
      </c>
      <c r="AE90" s="6">
        <f ca="1">(L90-M90)*(Z90+AA90)+($Z$123+$AA$123-$Z$90-$AA$90)*(L90)</f>
        <v>1765.6104910958895</v>
      </c>
      <c r="AF90" s="4" t="s">
        <v>669</v>
      </c>
    </row>
    <row r="91" spans="1:32" ht="11.25" customHeight="1" x14ac:dyDescent="0.3">
      <c r="A91" s="4" t="s">
        <v>21</v>
      </c>
      <c r="B91" s="4" t="s">
        <v>22</v>
      </c>
      <c r="C91" s="4" t="s">
        <v>23</v>
      </c>
      <c r="D91" s="4" t="s">
        <v>24</v>
      </c>
      <c r="E91" s="4" t="s">
        <v>29</v>
      </c>
      <c r="F91" s="4" t="s">
        <v>25</v>
      </c>
      <c r="G91" s="4" t="s">
        <v>25</v>
      </c>
      <c r="H91" s="4" t="s">
        <v>25</v>
      </c>
      <c r="I91" s="5">
        <v>44409</v>
      </c>
      <c r="J91" s="6">
        <v>0</v>
      </c>
      <c r="K91" s="6">
        <v>0</v>
      </c>
      <c r="L91" s="6">
        <v>2.31</v>
      </c>
      <c r="M91" s="6">
        <v>2.31</v>
      </c>
      <c r="N91" s="6">
        <v>2.31</v>
      </c>
      <c r="O91" s="6">
        <v>2.31</v>
      </c>
      <c r="P91" s="6">
        <v>5</v>
      </c>
      <c r="Q91" s="4" t="s">
        <v>26</v>
      </c>
      <c r="R91" s="4">
        <v>0</v>
      </c>
      <c r="S91" s="4">
        <v>0</v>
      </c>
      <c r="T91" s="4">
        <v>9</v>
      </c>
      <c r="U91" s="4">
        <v>75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273.68</v>
      </c>
      <c r="X91" s="6">
        <f>IF(ISERROR(VLOOKUP($U$91,'TAR FIN'!$A$1:$O$85,15,0)),0,VLOOKUP($U$91,'TAR FIN'!$A$1:$O$85,15,0))</f>
        <v>84.1</v>
      </c>
      <c r="Y91" s="6"/>
      <c r="Z91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91" s="6">
        <f>('TE BE'!$AA$12+'TE BF'!$AA$12+'TE CVA'!$AA$12)*(1-CUSTOS!$M$34)</f>
        <v>115.75580210466457</v>
      </c>
      <c r="AB91" s="6">
        <f t="shared" si="6"/>
        <v>0</v>
      </c>
      <c r="AC91" s="6">
        <f>(L91-M91)*(W91+X91)+($W$123+$X$123-$W$91-$X$91)*(L91)</f>
        <v>1534.8563999999999</v>
      </c>
      <c r="AD91" s="6">
        <f t="shared" si="8"/>
        <v>0</v>
      </c>
      <c r="AE91" s="6">
        <f ca="1">(L91-M91)*(Z91+AA91)+($Z$123+$AA$123-$Z$91-$AA$91)*(L91)</f>
        <v>1788.8422080839935</v>
      </c>
      <c r="AF91" s="4" t="s">
        <v>669</v>
      </c>
    </row>
    <row r="92" spans="1:32" ht="11.25" customHeight="1" x14ac:dyDescent="0.3">
      <c r="A92" s="4" t="s">
        <v>21</v>
      </c>
      <c r="B92" s="4" t="s">
        <v>22</v>
      </c>
      <c r="C92" s="4" t="s">
        <v>23</v>
      </c>
      <c r="D92" s="4" t="s">
        <v>24</v>
      </c>
      <c r="E92" s="4" t="s">
        <v>29</v>
      </c>
      <c r="F92" s="4" t="s">
        <v>25</v>
      </c>
      <c r="G92" s="4" t="s">
        <v>25</v>
      </c>
      <c r="H92" s="4" t="s">
        <v>25</v>
      </c>
      <c r="I92" s="5">
        <v>44440</v>
      </c>
      <c r="J92" s="6">
        <v>0</v>
      </c>
      <c r="K92" s="6">
        <v>0</v>
      </c>
      <c r="L92" s="6">
        <v>2.34</v>
      </c>
      <c r="M92" s="6">
        <v>2.34</v>
      </c>
      <c r="N92" s="6">
        <v>2.34</v>
      </c>
      <c r="O92" s="6">
        <v>2.34</v>
      </c>
      <c r="P92" s="6">
        <v>2</v>
      </c>
      <c r="Q92" s="4" t="s">
        <v>26</v>
      </c>
      <c r="R92" s="4">
        <v>0</v>
      </c>
      <c r="S92" s="4">
        <v>0</v>
      </c>
      <c r="T92" s="4">
        <v>9</v>
      </c>
      <c r="U92" s="4">
        <v>75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273.68</v>
      </c>
      <c r="X92" s="6">
        <f>IF(ISERROR(VLOOKUP($U$92,'TAR FIN'!$A$1:$O$85,15,0)),0,VLOOKUP($U$92,'TAR FIN'!$A$1:$O$85,15,0))</f>
        <v>84.1</v>
      </c>
      <c r="Y92" s="6"/>
      <c r="Z92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92" s="6">
        <f>('TE BE'!$AA$12+'TE BF'!$AA$12+'TE CVA'!$AA$12)*(1-CUSTOS!$M$34)</f>
        <v>115.75580210466457</v>
      </c>
      <c r="AB92" s="6">
        <f t="shared" si="6"/>
        <v>0</v>
      </c>
      <c r="AC92" s="6">
        <f>(L92-M92)*(W92+X92)+($W$123+$X$123-$W$92-$X$92)*(L92)</f>
        <v>1554.7895999999998</v>
      </c>
      <c r="AD92" s="6">
        <f t="shared" si="8"/>
        <v>0</v>
      </c>
      <c r="AE92" s="6">
        <f ca="1">(L92-M92)*(Z92+AA92)+($Z$123+$AA$123-$Z$92-$AA$92)*(L92)</f>
        <v>1812.0739250720972</v>
      </c>
      <c r="AF92" s="4" t="s">
        <v>669</v>
      </c>
    </row>
    <row r="93" spans="1:32" ht="11.25" customHeight="1" x14ac:dyDescent="0.3">
      <c r="A93" s="4" t="s">
        <v>21</v>
      </c>
      <c r="B93" s="4" t="s">
        <v>22</v>
      </c>
      <c r="C93" s="4" t="s">
        <v>23</v>
      </c>
      <c r="D93" s="4" t="s">
        <v>24</v>
      </c>
      <c r="E93" s="4" t="s">
        <v>29</v>
      </c>
      <c r="F93" s="4" t="s">
        <v>25</v>
      </c>
      <c r="G93" s="4" t="s">
        <v>25</v>
      </c>
      <c r="H93" s="4" t="s">
        <v>25</v>
      </c>
      <c r="I93" s="5">
        <v>44470</v>
      </c>
      <c r="J93" s="6">
        <v>0</v>
      </c>
      <c r="K93" s="6">
        <v>0</v>
      </c>
      <c r="L93" s="6">
        <v>2.4300000000000002</v>
      </c>
      <c r="M93" s="6">
        <v>2.4300000000000002</v>
      </c>
      <c r="N93" s="6">
        <v>2.4300000000000002</v>
      </c>
      <c r="O93" s="6">
        <v>2.4300000000000002</v>
      </c>
      <c r="P93" s="6">
        <v>2</v>
      </c>
      <c r="Q93" s="4" t="s">
        <v>26</v>
      </c>
      <c r="R93" s="4">
        <v>0</v>
      </c>
      <c r="S93" s="4">
        <v>0</v>
      </c>
      <c r="T93" s="4">
        <v>9</v>
      </c>
      <c r="U93" s="4">
        <v>75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273.68</v>
      </c>
      <c r="X93" s="6">
        <f>IF(ISERROR(VLOOKUP($U$93,'TAR FIN'!$A$1:$O$85,15,0)),0,VLOOKUP($U$93,'TAR FIN'!$A$1:$O$85,15,0))</f>
        <v>84.1</v>
      </c>
      <c r="Y93" s="6"/>
      <c r="Z93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93" s="6">
        <f>('TE BE'!$AA$12+'TE BF'!$AA$12+'TE CVA'!$AA$12)*(1-CUSTOS!$M$34)</f>
        <v>115.75580210466457</v>
      </c>
      <c r="AB93" s="6">
        <f t="shared" si="6"/>
        <v>0</v>
      </c>
      <c r="AC93" s="6">
        <f>(L93-M93)*(W93+X93)+($W$123+$X$123-$W$93-$X$93)*(L93)</f>
        <v>1614.5891999999999</v>
      </c>
      <c r="AD93" s="6">
        <f t="shared" si="8"/>
        <v>0</v>
      </c>
      <c r="AE93" s="6">
        <f ca="1">(L93-M93)*(Z93+AA93)+($Z$123+$AA$123-$Z$93-$AA$93)*(L93)</f>
        <v>1881.7690760364087</v>
      </c>
      <c r="AF93" s="4" t="s">
        <v>669</v>
      </c>
    </row>
    <row r="94" spans="1:32" ht="11.25" customHeight="1" x14ac:dyDescent="0.3">
      <c r="A94" s="4" t="s">
        <v>21</v>
      </c>
      <c r="B94" s="4" t="s">
        <v>22</v>
      </c>
      <c r="C94" s="4" t="s">
        <v>23</v>
      </c>
      <c r="D94" s="4" t="s">
        <v>24</v>
      </c>
      <c r="E94" s="4" t="s">
        <v>29</v>
      </c>
      <c r="F94" s="4" t="s">
        <v>25</v>
      </c>
      <c r="G94" s="4" t="s">
        <v>25</v>
      </c>
      <c r="H94" s="4" t="s">
        <v>25</v>
      </c>
      <c r="I94" s="5">
        <v>44501</v>
      </c>
      <c r="J94" s="6">
        <v>0</v>
      </c>
      <c r="K94" s="6">
        <v>0</v>
      </c>
      <c r="L94" s="6">
        <v>2.64</v>
      </c>
      <c r="M94" s="6">
        <v>2.64</v>
      </c>
      <c r="N94" s="6">
        <v>2.64</v>
      </c>
      <c r="O94" s="6">
        <v>2.64</v>
      </c>
      <c r="P94" s="6">
        <v>5</v>
      </c>
      <c r="Q94" s="4" t="s">
        <v>26</v>
      </c>
      <c r="R94" s="4">
        <v>0</v>
      </c>
      <c r="S94" s="4">
        <v>0</v>
      </c>
      <c r="T94" s="4">
        <v>9</v>
      </c>
      <c r="U94" s="4">
        <v>75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273.68</v>
      </c>
      <c r="X94" s="6">
        <f>IF(ISERROR(VLOOKUP($U$94,'TAR FIN'!$A$1:$O$85,15,0)),0,VLOOKUP($U$94,'TAR FIN'!$A$1:$O$85,15,0))</f>
        <v>84.1</v>
      </c>
      <c r="Y94" s="6"/>
      <c r="Z94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94" s="6">
        <f>('TE BE'!$AA$12+'TE BF'!$AA$12+'TE CVA'!$AA$12)*(1-CUSTOS!$M$34)</f>
        <v>115.75580210466457</v>
      </c>
      <c r="AB94" s="6">
        <f t="shared" si="6"/>
        <v>0</v>
      </c>
      <c r="AC94" s="6">
        <f>(L94-M94)*(W94+X94)+($W$123+$X$123-$W$94-$X$94)*(L94)</f>
        <v>1754.1215999999999</v>
      </c>
      <c r="AD94" s="6">
        <f t="shared" si="8"/>
        <v>0</v>
      </c>
      <c r="AE94" s="6">
        <f ca="1">(L94-M94)*(Z94+AA94)+($Z$123+$AA$123-$Z$94-$AA$94)*(L94)</f>
        <v>2044.3910949531355</v>
      </c>
      <c r="AF94" s="4" t="s">
        <v>669</v>
      </c>
    </row>
    <row r="95" spans="1:32" ht="11.25" customHeight="1" x14ac:dyDescent="0.3">
      <c r="A95" s="4" t="s">
        <v>21</v>
      </c>
      <c r="B95" s="4" t="s">
        <v>22</v>
      </c>
      <c r="C95" s="4" t="s">
        <v>23</v>
      </c>
      <c r="D95" s="4" t="s">
        <v>24</v>
      </c>
      <c r="E95" s="4" t="s">
        <v>29</v>
      </c>
      <c r="F95" s="4" t="s">
        <v>25</v>
      </c>
      <c r="G95" s="4" t="s">
        <v>25</v>
      </c>
      <c r="H95" s="4" t="s">
        <v>25</v>
      </c>
      <c r="I95" s="5">
        <v>44531</v>
      </c>
      <c r="J95" s="6">
        <v>0</v>
      </c>
      <c r="K95" s="6">
        <v>0</v>
      </c>
      <c r="L95" s="6">
        <v>2.73</v>
      </c>
      <c r="M95" s="6">
        <v>2.73</v>
      </c>
      <c r="N95" s="6">
        <v>2.73</v>
      </c>
      <c r="O95" s="6">
        <v>2.73</v>
      </c>
      <c r="P95" s="6">
        <v>5</v>
      </c>
      <c r="Q95" s="4" t="s">
        <v>26</v>
      </c>
      <c r="R95" s="4">
        <v>0</v>
      </c>
      <c r="S95" s="4">
        <v>0</v>
      </c>
      <c r="T95" s="4">
        <v>9</v>
      </c>
      <c r="U95" s="4">
        <v>75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273.68</v>
      </c>
      <c r="X95" s="6">
        <f>IF(ISERROR(VLOOKUP($U$95,'TAR FIN'!$A$1:$O$85,15,0)),0,VLOOKUP($U$95,'TAR FIN'!$A$1:$O$85,15,0))</f>
        <v>84.1</v>
      </c>
      <c r="Y95" s="6"/>
      <c r="Z95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95" s="6">
        <f>('TE BE'!$AA$12+'TE BF'!$AA$12+'TE CVA'!$AA$12)*(1-CUSTOS!$M$34)</f>
        <v>115.75580210466457</v>
      </c>
      <c r="AB95" s="6">
        <f t="shared" si="6"/>
        <v>0</v>
      </c>
      <c r="AC95" s="6">
        <f>(L95-M95)*(W95+X95)+($W$123+$X$123-$W$95-$X$95)*(L95)</f>
        <v>1813.9211999999998</v>
      </c>
      <c r="AD95" s="6">
        <f t="shared" si="8"/>
        <v>0</v>
      </c>
      <c r="AE95" s="6">
        <f ca="1">(L95-M95)*(Z95+AA95)+($Z$123+$AA$123-$Z$95-$AA$95)*(L95)</f>
        <v>2114.0862459174468</v>
      </c>
      <c r="AF95" s="4" t="s">
        <v>669</v>
      </c>
    </row>
    <row r="96" spans="1:32" ht="11.25" customHeight="1" x14ac:dyDescent="0.3">
      <c r="A96" s="4" t="s">
        <v>21</v>
      </c>
      <c r="B96" s="4" t="s">
        <v>22</v>
      </c>
      <c r="C96" s="4" t="s">
        <v>23</v>
      </c>
      <c r="D96" s="4" t="s">
        <v>24</v>
      </c>
      <c r="E96" s="4" t="s">
        <v>29</v>
      </c>
      <c r="F96" s="4" t="s">
        <v>25</v>
      </c>
      <c r="G96" s="4" t="s">
        <v>25</v>
      </c>
      <c r="H96" s="4" t="s">
        <v>25</v>
      </c>
      <c r="I96" s="5">
        <v>44562</v>
      </c>
      <c r="J96" s="6">
        <v>0</v>
      </c>
      <c r="K96" s="6">
        <v>0</v>
      </c>
      <c r="L96" s="6">
        <v>2.73</v>
      </c>
      <c r="M96" s="6">
        <v>2.73</v>
      </c>
      <c r="N96" s="6">
        <v>2.73</v>
      </c>
      <c r="O96" s="6">
        <v>2.73</v>
      </c>
      <c r="P96" s="6">
        <v>3</v>
      </c>
      <c r="Q96" s="4" t="s">
        <v>26</v>
      </c>
      <c r="R96" s="4">
        <v>0</v>
      </c>
      <c r="S96" s="4">
        <v>0</v>
      </c>
      <c r="T96" s="4">
        <v>9</v>
      </c>
      <c r="U96" s="4">
        <v>75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273.68</v>
      </c>
      <c r="X96" s="6">
        <f>IF(ISERROR(VLOOKUP($U$96,'TAR FIN'!$A$1:$O$85,15,0)),0,VLOOKUP($U$96,'TAR FIN'!$A$1:$O$85,15,0))</f>
        <v>84.1</v>
      </c>
      <c r="Y96" s="6"/>
      <c r="Z96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96" s="6">
        <f>('TE BE'!$AA$12+'TE BF'!$AA$12+'TE CVA'!$AA$12)*(1-CUSTOS!$M$34)</f>
        <v>115.75580210466457</v>
      </c>
      <c r="AB96" s="6">
        <f t="shared" si="6"/>
        <v>0</v>
      </c>
      <c r="AC96" s="6">
        <f>(L96-M96)*(W96+X96)+($W$123+$X$123-$W$96-$X$96)*(L96)</f>
        <v>1813.9211999999998</v>
      </c>
      <c r="AD96" s="6">
        <f t="shared" si="8"/>
        <v>0</v>
      </c>
      <c r="AE96" s="6">
        <f ca="1">(L96-M96)*(Z96+AA96)+($Z$123+$AA$123-$Z$96-$AA$96)*(L96)</f>
        <v>2114.0862459174468</v>
      </c>
      <c r="AF96" s="4" t="s">
        <v>669</v>
      </c>
    </row>
    <row r="97" spans="1:32" ht="11.25" customHeight="1" x14ac:dyDescent="0.3">
      <c r="A97" s="4" t="s">
        <v>21</v>
      </c>
      <c r="B97" s="4" t="s">
        <v>22</v>
      </c>
      <c r="C97" s="4" t="s">
        <v>23</v>
      </c>
      <c r="D97" s="4" t="s">
        <v>24</v>
      </c>
      <c r="E97" s="4" t="s">
        <v>29</v>
      </c>
      <c r="F97" s="4" t="s">
        <v>25</v>
      </c>
      <c r="G97" s="4" t="s">
        <v>25</v>
      </c>
      <c r="H97" s="4" t="s">
        <v>25</v>
      </c>
      <c r="I97" s="5">
        <v>44593</v>
      </c>
      <c r="J97" s="6">
        <v>0</v>
      </c>
      <c r="K97" s="6">
        <v>0</v>
      </c>
      <c r="L97" s="6">
        <v>3.15</v>
      </c>
      <c r="M97" s="6">
        <v>3.15</v>
      </c>
      <c r="N97" s="6">
        <v>3.15</v>
      </c>
      <c r="O97" s="6">
        <v>3.15</v>
      </c>
      <c r="P97" s="6">
        <v>4</v>
      </c>
      <c r="Q97" s="4" t="s">
        <v>26</v>
      </c>
      <c r="R97" s="4">
        <v>0</v>
      </c>
      <c r="S97" s="4">
        <v>0</v>
      </c>
      <c r="T97" s="4">
        <v>9</v>
      </c>
      <c r="U97" s="4">
        <v>75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273.68</v>
      </c>
      <c r="X97" s="6">
        <f>IF(ISERROR(VLOOKUP($U$97,'TAR FIN'!$A$1:$O$85,15,0)),0,VLOOKUP($U$97,'TAR FIN'!$A$1:$O$85,15,0))</f>
        <v>84.1</v>
      </c>
      <c r="Y97" s="6"/>
      <c r="Z97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97" s="6">
        <f>('TE BE'!$AA$12+'TE BF'!$AA$12+'TE CVA'!$AA$12)*(1-CUSTOS!$M$34)</f>
        <v>115.75580210466457</v>
      </c>
      <c r="AB97" s="6">
        <f t="shared" si="6"/>
        <v>0</v>
      </c>
      <c r="AC97" s="6">
        <f>(L97-M97)*(W97+X97)+($W$123+$X$123-$W$97-$X$97)*(L97)</f>
        <v>2092.9859999999999</v>
      </c>
      <c r="AD97" s="6">
        <f t="shared" si="8"/>
        <v>0</v>
      </c>
      <c r="AE97" s="6">
        <f ca="1">(L97-M97)*(Z97+AA97)+($Z$123+$AA$123-$Z$97-$AA$97)*(L97)</f>
        <v>2439.3302837509</v>
      </c>
      <c r="AF97" s="4" t="s">
        <v>669</v>
      </c>
    </row>
    <row r="98" spans="1:32" ht="11.25" customHeight="1" x14ac:dyDescent="0.3">
      <c r="A98" s="4" t="s">
        <v>21</v>
      </c>
      <c r="B98" s="4" t="s">
        <v>22</v>
      </c>
      <c r="C98" s="4" t="s">
        <v>23</v>
      </c>
      <c r="D98" s="4" t="s">
        <v>24</v>
      </c>
      <c r="E98" s="4" t="s">
        <v>29</v>
      </c>
      <c r="F98" s="4" t="s">
        <v>25</v>
      </c>
      <c r="G98" s="4" t="s">
        <v>25</v>
      </c>
      <c r="H98" s="4" t="s">
        <v>25</v>
      </c>
      <c r="I98" s="5">
        <v>44621</v>
      </c>
      <c r="J98" s="6">
        <v>0</v>
      </c>
      <c r="K98" s="6">
        <v>0</v>
      </c>
      <c r="L98" s="6">
        <v>11.67</v>
      </c>
      <c r="M98" s="6">
        <v>11.67</v>
      </c>
      <c r="N98" s="6">
        <v>11.67</v>
      </c>
      <c r="O98" s="6">
        <v>11.67</v>
      </c>
      <c r="P98" s="6">
        <v>30</v>
      </c>
      <c r="Q98" s="4" t="s">
        <v>26</v>
      </c>
      <c r="R98" s="4">
        <v>0</v>
      </c>
      <c r="S98" s="4">
        <v>0</v>
      </c>
      <c r="T98" s="4">
        <v>9</v>
      </c>
      <c r="U98" s="4">
        <v>75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273.68</v>
      </c>
      <c r="X98" s="6">
        <f>IF(ISERROR(VLOOKUP($U$98,'TAR FIN'!$A$1:$O$85,15,0)),0,VLOOKUP($U$98,'TAR FIN'!$A$1:$O$85,15,0))</f>
        <v>84.1</v>
      </c>
      <c r="Y98" s="6"/>
      <c r="Z98" s="6">
        <f ca="1">('TUSD BE'!$AM$21+'TUSD BF'!$AM$21+'TUSD CVA'!$AM$21-('TUSD BE'!$P$21+'TUSD BF'!$P$21+'TUSD CVA'!$P$21)-('TUSD BE'!$Q$21+'TUSD BF'!$Q$21+'TUSD CVA'!$Q$21)-('TUSD BE'!$R$21+'TUSD BF'!$R$21+'TUSD CVA'!$R$21))*(1-CUSTOS!$M$34)</f>
        <v>301.22373357924994</v>
      </c>
      <c r="AA98" s="6">
        <f>('TE BE'!$AA$12+'TE BF'!$AA$12+'TE CVA'!$AA$12)*(1-CUSTOS!$M$34)</f>
        <v>115.75580210466457</v>
      </c>
      <c r="AB98" s="6">
        <f t="shared" si="6"/>
        <v>0</v>
      </c>
      <c r="AC98" s="6">
        <f>(L98-M98)*(W98+X98)+($W$123+$X$123-$W$98-$X$98)*(L98)</f>
        <v>7754.014799999999</v>
      </c>
      <c r="AD98" s="6">
        <f t="shared" si="8"/>
        <v>0</v>
      </c>
      <c r="AE98" s="6">
        <f ca="1">(L98-M98)*(Z98+AA98)+($Z$123+$AA$123-$Z$98-$AA$98)*(L98)</f>
        <v>9037.1379083723823</v>
      </c>
      <c r="AF98" s="4" t="s">
        <v>669</v>
      </c>
    </row>
    <row r="99" spans="1:32" ht="11.25" customHeight="1" x14ac:dyDescent="0.3">
      <c r="A99" s="4" t="s">
        <v>21</v>
      </c>
      <c r="B99" s="4" t="s">
        <v>22</v>
      </c>
      <c r="C99" s="4" t="s">
        <v>23</v>
      </c>
      <c r="D99" s="4" t="s">
        <v>24</v>
      </c>
      <c r="E99" s="4" t="s">
        <v>30</v>
      </c>
      <c r="F99" s="4" t="s">
        <v>25</v>
      </c>
      <c r="G99" s="4" t="s">
        <v>25</v>
      </c>
      <c r="H99" s="4" t="s">
        <v>25</v>
      </c>
      <c r="I99" s="5">
        <v>44287</v>
      </c>
      <c r="J99" s="6">
        <v>0</v>
      </c>
      <c r="K99" s="6">
        <v>0</v>
      </c>
      <c r="L99" s="6">
        <v>4.2549999999999999</v>
      </c>
      <c r="M99" s="6">
        <v>4.2549999999999999</v>
      </c>
      <c r="N99" s="6">
        <v>4.2549999999999999</v>
      </c>
      <c r="O99" s="6">
        <v>4.2549999999999999</v>
      </c>
      <c r="P99" s="6">
        <v>7</v>
      </c>
      <c r="Q99" s="4" t="s">
        <v>26</v>
      </c>
      <c r="R99" s="4">
        <v>0</v>
      </c>
      <c r="S99" s="4">
        <v>0</v>
      </c>
      <c r="T99" s="4">
        <v>53</v>
      </c>
      <c r="U99" s="4">
        <v>76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469.16</v>
      </c>
      <c r="X99" s="6">
        <f>IF(ISERROR(VLOOKUP($U$99,'TAR FIN'!$A$1:$O$85,15,0)),0,VLOOKUP($U$99,'TAR FIN'!$A$1:$O$85,15,0))</f>
        <v>144.18</v>
      </c>
      <c r="Y99" s="6"/>
      <c r="Z99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99" s="6">
        <f>('TE BE'!$AA$13+'TE BF'!$AA$13+'TE CVA'!$AA$13)*(1-CUSTOS!$M$35)</f>
        <v>198.4385178937107</v>
      </c>
      <c r="AB99" s="6">
        <f t="shared" si="6"/>
        <v>0</v>
      </c>
      <c r="AC99" s="6">
        <f>(L99-M99)*(W99+X99)+($W$123+$X$123-$W$99-$X$99)*(L99)</f>
        <v>1739.7843999999998</v>
      </c>
      <c r="AD99" s="6">
        <f t="shared" si="8"/>
        <v>0</v>
      </c>
      <c r="AE99" s="6">
        <f ca="1">(L99-M99)*(Z99+AA99)+($Z$123+$AA$123-$Z$99-$AA$99)*(L99)</f>
        <v>2027.7119135257785</v>
      </c>
      <c r="AF99" s="4" t="s">
        <v>669</v>
      </c>
    </row>
    <row r="100" spans="1:32" ht="11.25" customHeight="1" x14ac:dyDescent="0.3">
      <c r="A100" s="4" t="s">
        <v>21</v>
      </c>
      <c r="B100" s="4" t="s">
        <v>22</v>
      </c>
      <c r="C100" s="4" t="s">
        <v>23</v>
      </c>
      <c r="D100" s="4" t="s">
        <v>24</v>
      </c>
      <c r="E100" s="4" t="s">
        <v>30</v>
      </c>
      <c r="F100" s="4" t="s">
        <v>25</v>
      </c>
      <c r="G100" s="4" t="s">
        <v>25</v>
      </c>
      <c r="H100" s="4" t="s">
        <v>25</v>
      </c>
      <c r="I100" s="5">
        <v>44317</v>
      </c>
      <c r="J100" s="6">
        <v>0</v>
      </c>
      <c r="K100" s="6">
        <v>0</v>
      </c>
      <c r="L100" s="6">
        <v>4.4409999999999998</v>
      </c>
      <c r="M100" s="6">
        <v>4.4409999999999998</v>
      </c>
      <c r="N100" s="6">
        <v>4.4409999999999998</v>
      </c>
      <c r="O100" s="6">
        <v>4.4409999999999998</v>
      </c>
      <c r="P100" s="6">
        <v>11</v>
      </c>
      <c r="Q100" s="4" t="s">
        <v>26</v>
      </c>
      <c r="R100" s="4">
        <v>0</v>
      </c>
      <c r="S100" s="4">
        <v>0</v>
      </c>
      <c r="T100" s="4">
        <v>53</v>
      </c>
      <c r="U100" s="4">
        <v>76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469.16</v>
      </c>
      <c r="X100" s="6">
        <f>IF(ISERROR(VLOOKUP($U$100,'TAR FIN'!$A$1:$O$85,15,0)),0,VLOOKUP($U$100,'TAR FIN'!$A$1:$O$85,15,0))</f>
        <v>144.18</v>
      </c>
      <c r="Y100" s="6"/>
      <c r="Z100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100" s="6">
        <f>('TE BE'!$AA$13+'TE BF'!$AA$13+'TE CVA'!$AA$13)*(1-CUSTOS!$M$35)</f>
        <v>198.4385178937107</v>
      </c>
      <c r="AB100" s="6">
        <f t="shared" si="6"/>
        <v>0</v>
      </c>
      <c r="AC100" s="6">
        <f>(L100-M100)*(W100+X100)+($W$123+$X$123-$W$100-$X$100)*(L100)</f>
        <v>1815.8360799999996</v>
      </c>
      <c r="AD100" s="6">
        <f t="shared" si="8"/>
        <v>0</v>
      </c>
      <c r="AE100" s="6">
        <f ca="1">(L100-M100)*(Z100+AA100)+($Z$123+$AA$123-$Z$100-$AA$100)*(L100)</f>
        <v>2116.3498491111591</v>
      </c>
      <c r="AF100" s="4" t="s">
        <v>669</v>
      </c>
    </row>
    <row r="101" spans="1:32" ht="11.25" customHeight="1" x14ac:dyDescent="0.3">
      <c r="A101" s="4" t="s">
        <v>21</v>
      </c>
      <c r="B101" s="4" t="s">
        <v>22</v>
      </c>
      <c r="C101" s="4" t="s">
        <v>23</v>
      </c>
      <c r="D101" s="4" t="s">
        <v>24</v>
      </c>
      <c r="E101" s="4" t="s">
        <v>30</v>
      </c>
      <c r="F101" s="4" t="s">
        <v>25</v>
      </c>
      <c r="G101" s="4" t="s">
        <v>25</v>
      </c>
      <c r="H101" s="4" t="s">
        <v>25</v>
      </c>
      <c r="I101" s="5">
        <v>44348</v>
      </c>
      <c r="J101" s="6">
        <v>0</v>
      </c>
      <c r="K101" s="6">
        <v>0</v>
      </c>
      <c r="L101" s="6">
        <v>4.7050000000000001</v>
      </c>
      <c r="M101" s="6">
        <v>4.7050000000000001</v>
      </c>
      <c r="N101" s="6">
        <v>4.7050000000000001</v>
      </c>
      <c r="O101" s="6">
        <v>4.7050000000000001</v>
      </c>
      <c r="P101" s="6">
        <v>12</v>
      </c>
      <c r="Q101" s="4" t="s">
        <v>26</v>
      </c>
      <c r="R101" s="4">
        <v>0</v>
      </c>
      <c r="S101" s="4">
        <v>0</v>
      </c>
      <c r="T101" s="4">
        <v>53</v>
      </c>
      <c r="U101" s="4">
        <v>76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469.16</v>
      </c>
      <c r="X101" s="6">
        <f>IF(ISERROR(VLOOKUP($U$101,'TAR FIN'!$A$1:$O$85,15,0)),0,VLOOKUP($U$101,'TAR FIN'!$A$1:$O$85,15,0))</f>
        <v>144.18</v>
      </c>
      <c r="Y101" s="6"/>
      <c r="Z101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101" s="6">
        <f>('TE BE'!$AA$13+'TE BF'!$AA$13+'TE CVA'!$AA$13)*(1-CUSTOS!$M$35)</f>
        <v>198.4385178937107</v>
      </c>
      <c r="AB101" s="6">
        <f t="shared" si="6"/>
        <v>0</v>
      </c>
      <c r="AC101" s="6">
        <f>(L101-M101)*(W101+X101)+($W$123+$X$123-$W$101-$X$101)*(L101)</f>
        <v>1923.7803999999996</v>
      </c>
      <c r="AD101" s="6">
        <f t="shared" si="8"/>
        <v>0</v>
      </c>
      <c r="AE101" s="6">
        <f ca="1">(L101-M101)*(Z101+AA101)+($Z$123+$AA$123-$Z$101-$AA$101)*(L101)</f>
        <v>2242.158531877506</v>
      </c>
      <c r="AF101" s="4" t="s">
        <v>669</v>
      </c>
    </row>
    <row r="102" spans="1:32" ht="11.25" customHeight="1" x14ac:dyDescent="0.3">
      <c r="A102" s="4" t="s">
        <v>21</v>
      </c>
      <c r="B102" s="4" t="s">
        <v>22</v>
      </c>
      <c r="C102" s="4" t="s">
        <v>23</v>
      </c>
      <c r="D102" s="4" t="s">
        <v>24</v>
      </c>
      <c r="E102" s="4" t="s">
        <v>30</v>
      </c>
      <c r="F102" s="4" t="s">
        <v>25</v>
      </c>
      <c r="G102" s="4" t="s">
        <v>25</v>
      </c>
      <c r="H102" s="4" t="s">
        <v>25</v>
      </c>
      <c r="I102" s="5">
        <v>44378</v>
      </c>
      <c r="J102" s="6">
        <v>0</v>
      </c>
      <c r="K102" s="6">
        <v>0</v>
      </c>
      <c r="L102" s="6">
        <v>4.46</v>
      </c>
      <c r="M102" s="6">
        <v>4.46</v>
      </c>
      <c r="N102" s="6">
        <v>4.46</v>
      </c>
      <c r="O102" s="6">
        <v>4.46</v>
      </c>
      <c r="P102" s="6">
        <v>28</v>
      </c>
      <c r="Q102" s="4" t="s">
        <v>26</v>
      </c>
      <c r="R102" s="4">
        <v>0</v>
      </c>
      <c r="S102" s="4">
        <v>0</v>
      </c>
      <c r="T102" s="4">
        <v>53</v>
      </c>
      <c r="U102" s="4">
        <v>76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469.16</v>
      </c>
      <c r="X102" s="6">
        <f>IF(ISERROR(VLOOKUP($U$102,'TAR FIN'!$A$1:$O$85,15,0)),0,VLOOKUP($U$102,'TAR FIN'!$A$1:$O$85,15,0))</f>
        <v>144.18</v>
      </c>
      <c r="Y102" s="6"/>
      <c r="Z102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102" s="6">
        <f>('TE BE'!$AA$13+'TE BF'!$AA$13+'TE CVA'!$AA$13)*(1-CUSTOS!$M$35)</f>
        <v>198.4385178937107</v>
      </c>
      <c r="AB102" s="6">
        <f t="shared" si="6"/>
        <v>0</v>
      </c>
      <c r="AC102" s="6">
        <f>(L102-M102)*(W102+X102)+($W$123+$X$123-$W$102-$X$102)*(L102)</f>
        <v>1823.6047999999996</v>
      </c>
      <c r="AD102" s="6">
        <f t="shared" si="8"/>
        <v>0</v>
      </c>
      <c r="AE102" s="6">
        <f ca="1">(L102-M102)*(Z102+AA102)+($Z$123+$AA$123-$Z$102-$AA$102)*(L102)</f>
        <v>2125.4042618860099</v>
      </c>
      <c r="AF102" s="4" t="s">
        <v>669</v>
      </c>
    </row>
    <row r="103" spans="1:32" ht="11.25" customHeight="1" x14ac:dyDescent="0.3">
      <c r="A103" s="4" t="s">
        <v>21</v>
      </c>
      <c r="B103" s="4" t="s">
        <v>22</v>
      </c>
      <c r="C103" s="4" t="s">
        <v>23</v>
      </c>
      <c r="D103" s="4" t="s">
        <v>24</v>
      </c>
      <c r="E103" s="4" t="s">
        <v>30</v>
      </c>
      <c r="F103" s="4" t="s">
        <v>25</v>
      </c>
      <c r="G103" s="4" t="s">
        <v>25</v>
      </c>
      <c r="H103" s="4" t="s">
        <v>25</v>
      </c>
      <c r="I103" s="5">
        <v>44409</v>
      </c>
      <c r="J103" s="6">
        <v>0</v>
      </c>
      <c r="K103" s="6">
        <v>0</v>
      </c>
      <c r="L103" s="6">
        <v>4.375</v>
      </c>
      <c r="M103" s="6">
        <v>4.375</v>
      </c>
      <c r="N103" s="6">
        <v>4.375</v>
      </c>
      <c r="O103" s="6">
        <v>4.375</v>
      </c>
      <c r="P103" s="6">
        <v>31</v>
      </c>
      <c r="Q103" s="4" t="s">
        <v>26</v>
      </c>
      <c r="R103" s="4">
        <v>0</v>
      </c>
      <c r="S103" s="4">
        <v>0</v>
      </c>
      <c r="T103" s="4">
        <v>53</v>
      </c>
      <c r="U103" s="4">
        <v>76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469.16</v>
      </c>
      <c r="X103" s="6">
        <f>IF(ISERROR(VLOOKUP($U$103,'TAR FIN'!$A$1:$O$85,15,0)),0,VLOOKUP($U$103,'TAR FIN'!$A$1:$O$85,15,0))</f>
        <v>144.18</v>
      </c>
      <c r="Y103" s="6"/>
      <c r="Z103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103" s="6">
        <f>('TE BE'!$AA$13+'TE BF'!$AA$13+'TE CVA'!$AA$13)*(1-CUSTOS!$M$35)</f>
        <v>198.4385178937107</v>
      </c>
      <c r="AB103" s="6">
        <f t="shared" si="6"/>
        <v>0</v>
      </c>
      <c r="AC103" s="6">
        <f>(L103-M103)*(W103+X103)+($W$123+$X$123-$W$103-$X$103)*(L103)</f>
        <v>1788.8499999999997</v>
      </c>
      <c r="AD103" s="6">
        <f t="shared" si="8"/>
        <v>0</v>
      </c>
      <c r="AE103" s="6">
        <f ca="1">(L103-M103)*(Z103+AA103)+($Z$123+$AA$123-$Z$103-$AA$103)*(L103)</f>
        <v>2084.8976784195725</v>
      </c>
      <c r="AF103" s="4" t="s">
        <v>669</v>
      </c>
    </row>
    <row r="104" spans="1:32" ht="11.25" customHeight="1" x14ac:dyDescent="0.3">
      <c r="A104" s="4" t="s">
        <v>21</v>
      </c>
      <c r="B104" s="4" t="s">
        <v>22</v>
      </c>
      <c r="C104" s="4" t="s">
        <v>23</v>
      </c>
      <c r="D104" s="4" t="s">
        <v>24</v>
      </c>
      <c r="E104" s="4" t="s">
        <v>30</v>
      </c>
      <c r="F104" s="4" t="s">
        <v>25</v>
      </c>
      <c r="G104" s="4" t="s">
        <v>25</v>
      </c>
      <c r="H104" s="4" t="s">
        <v>25</v>
      </c>
      <c r="I104" s="5">
        <v>44440</v>
      </c>
      <c r="J104" s="6">
        <v>0</v>
      </c>
      <c r="K104" s="6">
        <v>0</v>
      </c>
      <c r="L104" s="6">
        <v>4.665</v>
      </c>
      <c r="M104" s="6">
        <v>4.665</v>
      </c>
      <c r="N104" s="6">
        <v>4.665</v>
      </c>
      <c r="O104" s="6">
        <v>4.665</v>
      </c>
      <c r="P104" s="6">
        <v>20</v>
      </c>
      <c r="Q104" s="4" t="s">
        <v>26</v>
      </c>
      <c r="R104" s="4">
        <v>0</v>
      </c>
      <c r="S104" s="4">
        <v>0</v>
      </c>
      <c r="T104" s="4">
        <v>53</v>
      </c>
      <c r="U104" s="4">
        <v>76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469.16</v>
      </c>
      <c r="X104" s="6">
        <f>IF(ISERROR(VLOOKUP($U$104,'TAR FIN'!$A$1:$O$85,15,0)),0,VLOOKUP($U$104,'TAR FIN'!$A$1:$O$85,15,0))</f>
        <v>144.18</v>
      </c>
      <c r="Y104" s="6"/>
      <c r="Z104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104" s="6">
        <f>('TE BE'!$AA$13+'TE BF'!$AA$13+'TE CVA'!$AA$13)*(1-CUSTOS!$M$35)</f>
        <v>198.4385178937107</v>
      </c>
      <c r="AB104" s="6">
        <f t="shared" si="6"/>
        <v>0</v>
      </c>
      <c r="AC104" s="6">
        <f>(L104-M104)*(W104+X104)+($W$123+$X$123-$W$104-$X$104)*(L104)</f>
        <v>1907.4251999999997</v>
      </c>
      <c r="AD104" s="6">
        <f t="shared" si="8"/>
        <v>0</v>
      </c>
      <c r="AE104" s="6">
        <f ca="1">(L104-M104)*(Z104+AA104)+($Z$123+$AA$123-$Z$104-$AA$104)*(L104)</f>
        <v>2223.0966102462412</v>
      </c>
      <c r="AF104" s="4" t="s">
        <v>669</v>
      </c>
    </row>
    <row r="105" spans="1:32" ht="11.25" customHeight="1" x14ac:dyDescent="0.3">
      <c r="A105" s="4" t="s">
        <v>21</v>
      </c>
      <c r="B105" s="4" t="s">
        <v>22</v>
      </c>
      <c r="C105" s="4" t="s">
        <v>23</v>
      </c>
      <c r="D105" s="4" t="s">
        <v>24</v>
      </c>
      <c r="E105" s="4" t="s">
        <v>30</v>
      </c>
      <c r="F105" s="4" t="s">
        <v>25</v>
      </c>
      <c r="G105" s="4" t="s">
        <v>25</v>
      </c>
      <c r="H105" s="4" t="s">
        <v>25</v>
      </c>
      <c r="I105" s="5">
        <v>44470</v>
      </c>
      <c r="J105" s="6">
        <v>0</v>
      </c>
      <c r="K105" s="6">
        <v>0</v>
      </c>
      <c r="L105" s="6">
        <v>4.9409999999999998</v>
      </c>
      <c r="M105" s="6">
        <v>4.9409999999999998</v>
      </c>
      <c r="N105" s="6">
        <v>4.9409999999999998</v>
      </c>
      <c r="O105" s="6">
        <v>4.9409999999999998</v>
      </c>
      <c r="P105" s="6">
        <v>19</v>
      </c>
      <c r="Q105" s="4" t="s">
        <v>26</v>
      </c>
      <c r="R105" s="4">
        <v>0</v>
      </c>
      <c r="S105" s="4">
        <v>0</v>
      </c>
      <c r="T105" s="4">
        <v>53</v>
      </c>
      <c r="U105" s="4">
        <v>76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469.16</v>
      </c>
      <c r="X105" s="6">
        <f>IF(ISERROR(VLOOKUP($U$105,'TAR FIN'!$A$1:$O$85,15,0)),0,VLOOKUP($U$105,'TAR FIN'!$A$1:$O$85,15,0))</f>
        <v>144.18</v>
      </c>
      <c r="Y105" s="6"/>
      <c r="Z105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105" s="6">
        <f>('TE BE'!$AA$13+'TE BF'!$AA$13+'TE CVA'!$AA$13)*(1-CUSTOS!$M$35)</f>
        <v>198.4385178937107</v>
      </c>
      <c r="AB105" s="6">
        <f t="shared" si="6"/>
        <v>0</v>
      </c>
      <c r="AC105" s="6">
        <f>(L105-M105)*(W105+X105)+($W$123+$X$123-$W$105-$X$105)*(L105)</f>
        <v>2020.2760799999996</v>
      </c>
      <c r="AD105" s="6">
        <f t="shared" si="8"/>
        <v>0</v>
      </c>
      <c r="AE105" s="6">
        <f ca="1">(L105-M105)*(Z105+AA105)+($Z$123+$AA$123-$Z$105-$AA$105)*(L105)</f>
        <v>2354.6238695019674</v>
      </c>
      <c r="AF105" s="4" t="s">
        <v>669</v>
      </c>
    </row>
    <row r="106" spans="1:32" ht="11.25" customHeight="1" x14ac:dyDescent="0.3">
      <c r="A106" s="4" t="s">
        <v>21</v>
      </c>
      <c r="B106" s="4" t="s">
        <v>22</v>
      </c>
      <c r="C106" s="4" t="s">
        <v>23</v>
      </c>
      <c r="D106" s="4" t="s">
        <v>24</v>
      </c>
      <c r="E106" s="4" t="s">
        <v>30</v>
      </c>
      <c r="F106" s="4" t="s">
        <v>25</v>
      </c>
      <c r="G106" s="4" t="s">
        <v>25</v>
      </c>
      <c r="H106" s="4" t="s">
        <v>25</v>
      </c>
      <c r="I106" s="5">
        <v>44501</v>
      </c>
      <c r="J106" s="6">
        <v>0</v>
      </c>
      <c r="K106" s="6">
        <v>0</v>
      </c>
      <c r="L106" s="6">
        <v>5.03</v>
      </c>
      <c r="M106" s="6">
        <v>5.03</v>
      </c>
      <c r="N106" s="6">
        <v>5.03</v>
      </c>
      <c r="O106" s="6">
        <v>5.03</v>
      </c>
      <c r="P106" s="6">
        <v>28</v>
      </c>
      <c r="Q106" s="4" t="s">
        <v>26</v>
      </c>
      <c r="R106" s="4">
        <v>0</v>
      </c>
      <c r="S106" s="4">
        <v>0</v>
      </c>
      <c r="T106" s="4">
        <v>53</v>
      </c>
      <c r="U106" s="4">
        <v>76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469.16</v>
      </c>
      <c r="X106" s="6">
        <f>IF(ISERROR(VLOOKUP($U$106,'TAR FIN'!$A$1:$O$85,15,0)),0,VLOOKUP($U$106,'TAR FIN'!$A$1:$O$85,15,0))</f>
        <v>144.18</v>
      </c>
      <c r="Y106" s="6"/>
      <c r="Z106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106" s="6">
        <f>('TE BE'!$AA$13+'TE BF'!$AA$13+'TE CVA'!$AA$13)*(1-CUSTOS!$M$35)</f>
        <v>198.4385178937107</v>
      </c>
      <c r="AB106" s="6">
        <f t="shared" si="6"/>
        <v>0</v>
      </c>
      <c r="AC106" s="6">
        <f>(L106-M106)*(W106+X106)+($W$123+$X$123-$W$106-$X$106)*(L106)</f>
        <v>2056.6663999999996</v>
      </c>
      <c r="AD106" s="6">
        <f t="shared" si="8"/>
        <v>0</v>
      </c>
      <c r="AE106" s="6">
        <f ca="1">(L106-M106)*(Z106+AA106)+($Z$123+$AA$123-$Z$106-$AA$106)*(L106)</f>
        <v>2397.0366451315317</v>
      </c>
      <c r="AF106" s="4" t="s">
        <v>669</v>
      </c>
    </row>
    <row r="107" spans="1:32" ht="11.25" customHeight="1" x14ac:dyDescent="0.3">
      <c r="A107" s="4" t="s">
        <v>21</v>
      </c>
      <c r="B107" s="4" t="s">
        <v>22</v>
      </c>
      <c r="C107" s="4" t="s">
        <v>23</v>
      </c>
      <c r="D107" s="4" t="s">
        <v>24</v>
      </c>
      <c r="E107" s="4" t="s">
        <v>30</v>
      </c>
      <c r="F107" s="4" t="s">
        <v>25</v>
      </c>
      <c r="G107" s="4" t="s">
        <v>25</v>
      </c>
      <c r="H107" s="4" t="s">
        <v>25</v>
      </c>
      <c r="I107" s="5">
        <v>44531</v>
      </c>
      <c r="J107" s="6">
        <v>0</v>
      </c>
      <c r="K107" s="6">
        <v>0</v>
      </c>
      <c r="L107" s="6">
        <v>5.51</v>
      </c>
      <c r="M107" s="6">
        <v>5.51</v>
      </c>
      <c r="N107" s="6">
        <v>5.51</v>
      </c>
      <c r="O107" s="6">
        <v>5.51</v>
      </c>
      <c r="P107" s="6">
        <v>20</v>
      </c>
      <c r="Q107" s="4" t="s">
        <v>26</v>
      </c>
      <c r="R107" s="4">
        <v>0</v>
      </c>
      <c r="S107" s="4">
        <v>0</v>
      </c>
      <c r="T107" s="4">
        <v>53</v>
      </c>
      <c r="U107" s="4">
        <v>76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469.16</v>
      </c>
      <c r="X107" s="6">
        <f>IF(ISERROR(VLOOKUP($U$107,'TAR FIN'!$A$1:$O$85,15,0)),0,VLOOKUP($U$107,'TAR FIN'!$A$1:$O$85,15,0))</f>
        <v>144.18</v>
      </c>
      <c r="Y107" s="6"/>
      <c r="Z107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107" s="6">
        <f>('TE BE'!$AA$13+'TE BF'!$AA$13+'TE CVA'!$AA$13)*(1-CUSTOS!$M$35)</f>
        <v>198.4385178937107</v>
      </c>
      <c r="AB107" s="6">
        <f t="shared" si="6"/>
        <v>0</v>
      </c>
      <c r="AC107" s="6">
        <f>(L107-M107)*(W107+X107)+($W$123+$X$123-$W$107-$X$107)*(L107)</f>
        <v>2252.9287999999997</v>
      </c>
      <c r="AD107" s="6">
        <f t="shared" si="8"/>
        <v>0</v>
      </c>
      <c r="AE107" s="6">
        <f ca="1">(L107-M107)*(Z107+AA107)+($Z$123+$AA$123-$Z$107-$AA$107)*(L107)</f>
        <v>2625.7797047067074</v>
      </c>
      <c r="AF107" s="4" t="s">
        <v>669</v>
      </c>
    </row>
    <row r="108" spans="1:32" ht="11.25" customHeight="1" x14ac:dyDescent="0.3">
      <c r="A108" s="4" t="s">
        <v>21</v>
      </c>
      <c r="B108" s="4" t="s">
        <v>22</v>
      </c>
      <c r="C108" s="4" t="s">
        <v>23</v>
      </c>
      <c r="D108" s="4" t="s">
        <v>24</v>
      </c>
      <c r="E108" s="4" t="s">
        <v>30</v>
      </c>
      <c r="F108" s="4" t="s">
        <v>25</v>
      </c>
      <c r="G108" s="4" t="s">
        <v>25</v>
      </c>
      <c r="H108" s="4" t="s">
        <v>25</v>
      </c>
      <c r="I108" s="5">
        <v>44562</v>
      </c>
      <c r="J108" s="6">
        <v>0</v>
      </c>
      <c r="K108" s="6">
        <v>0</v>
      </c>
      <c r="L108" s="6">
        <v>5.641</v>
      </c>
      <c r="M108" s="6">
        <v>5.641</v>
      </c>
      <c r="N108" s="6">
        <v>5.641</v>
      </c>
      <c r="O108" s="6">
        <v>5.641</v>
      </c>
      <c r="P108" s="6">
        <v>19</v>
      </c>
      <c r="Q108" s="4" t="s">
        <v>26</v>
      </c>
      <c r="R108" s="4">
        <v>0</v>
      </c>
      <c r="S108" s="4">
        <v>0</v>
      </c>
      <c r="T108" s="4">
        <v>53</v>
      </c>
      <c r="U108" s="4">
        <v>76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469.16</v>
      </c>
      <c r="X108" s="6">
        <f>IF(ISERROR(VLOOKUP($U$108,'TAR FIN'!$A$1:$O$85,15,0)),0,VLOOKUP($U$108,'TAR FIN'!$A$1:$O$85,15,0))</f>
        <v>144.18</v>
      </c>
      <c r="Y108" s="6"/>
      <c r="Z108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108" s="6">
        <f>('TE BE'!$AA$13+'TE BF'!$AA$13+'TE CVA'!$AA$13)*(1-CUSTOS!$M$35)</f>
        <v>198.4385178937107</v>
      </c>
      <c r="AB108" s="6">
        <f t="shared" si="6"/>
        <v>0</v>
      </c>
      <c r="AC108" s="6">
        <f>(L108-M108)*(W108+X108)+($W$123+$X$123-$W$108-$X$108)*(L108)</f>
        <v>2306.4920799999995</v>
      </c>
      <c r="AD108" s="6">
        <f t="shared" si="8"/>
        <v>0</v>
      </c>
      <c r="AE108" s="6">
        <f ca="1">(L108-M108)*(Z108+AA108)+($Z$123+$AA$123-$Z$108-$AA$108)*(L108)</f>
        <v>2688.2074980490993</v>
      </c>
      <c r="AF108" s="4" t="s">
        <v>669</v>
      </c>
    </row>
    <row r="109" spans="1:32" ht="11.25" customHeight="1" x14ac:dyDescent="0.3">
      <c r="A109" s="4" t="s">
        <v>21</v>
      </c>
      <c r="B109" s="4" t="s">
        <v>22</v>
      </c>
      <c r="C109" s="4" t="s">
        <v>23</v>
      </c>
      <c r="D109" s="4" t="s">
        <v>24</v>
      </c>
      <c r="E109" s="4" t="s">
        <v>30</v>
      </c>
      <c r="F109" s="4" t="s">
        <v>25</v>
      </c>
      <c r="G109" s="4" t="s">
        <v>25</v>
      </c>
      <c r="H109" s="4" t="s">
        <v>25</v>
      </c>
      <c r="I109" s="5">
        <v>44593</v>
      </c>
      <c r="J109" s="6">
        <v>0</v>
      </c>
      <c r="K109" s="6">
        <v>0</v>
      </c>
      <c r="L109" s="6">
        <v>6.7670000000000003</v>
      </c>
      <c r="M109" s="6">
        <v>6.7670000000000003</v>
      </c>
      <c r="N109" s="6">
        <v>6.7670000000000003</v>
      </c>
      <c r="O109" s="6">
        <v>6.7670000000000003</v>
      </c>
      <c r="P109" s="6">
        <v>14</v>
      </c>
      <c r="Q109" s="4" t="s">
        <v>26</v>
      </c>
      <c r="R109" s="4">
        <v>0</v>
      </c>
      <c r="S109" s="4">
        <v>0</v>
      </c>
      <c r="T109" s="4">
        <v>53</v>
      </c>
      <c r="U109" s="4">
        <v>76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469.16</v>
      </c>
      <c r="X109" s="6">
        <f>IF(ISERROR(VLOOKUP($U$109,'TAR FIN'!$A$1:$O$85,15,0)),0,VLOOKUP($U$109,'TAR FIN'!$A$1:$O$85,15,0))</f>
        <v>144.18</v>
      </c>
      <c r="Y109" s="6"/>
      <c r="Z109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109" s="6">
        <f>('TE BE'!$AA$13+'TE BF'!$AA$13+'TE CVA'!$AA$13)*(1-CUSTOS!$M$35)</f>
        <v>198.4385178937107</v>
      </c>
      <c r="AB109" s="6">
        <f t="shared" si="6"/>
        <v>0</v>
      </c>
      <c r="AC109" s="6">
        <f>(L109-M109)*(W109+X109)+($W$123+$X$123-$W$109-$X$109)*(L109)</f>
        <v>2766.8909599999997</v>
      </c>
      <c r="AD109" s="6">
        <f t="shared" si="8"/>
        <v>0</v>
      </c>
      <c r="AE109" s="6">
        <f ca="1">(L109-M109)*(Z109+AA109)+($Z$123+$AA$123-$Z$109-$AA$109)*(L109)</f>
        <v>3224.8005919691996</v>
      </c>
      <c r="AF109" s="4" t="s">
        <v>669</v>
      </c>
    </row>
    <row r="110" spans="1:32" ht="11.25" customHeight="1" x14ac:dyDescent="0.3">
      <c r="A110" s="4" t="s">
        <v>21</v>
      </c>
      <c r="B110" s="4" t="s">
        <v>22</v>
      </c>
      <c r="C110" s="4" t="s">
        <v>23</v>
      </c>
      <c r="D110" s="4" t="s">
        <v>24</v>
      </c>
      <c r="E110" s="4" t="s">
        <v>30</v>
      </c>
      <c r="F110" s="4" t="s">
        <v>25</v>
      </c>
      <c r="G110" s="4" t="s">
        <v>25</v>
      </c>
      <c r="H110" s="4" t="s">
        <v>25</v>
      </c>
      <c r="I110" s="5">
        <v>44621</v>
      </c>
      <c r="J110" s="6">
        <v>0</v>
      </c>
      <c r="K110" s="6">
        <v>0</v>
      </c>
      <c r="L110" s="6">
        <v>22.331</v>
      </c>
      <c r="M110" s="6">
        <v>22.331</v>
      </c>
      <c r="N110" s="6">
        <v>22.331</v>
      </c>
      <c r="O110" s="6">
        <v>22.331</v>
      </c>
      <c r="P110" s="6">
        <v>92</v>
      </c>
      <c r="Q110" s="4" t="s">
        <v>26</v>
      </c>
      <c r="R110" s="4">
        <v>0</v>
      </c>
      <c r="S110" s="4">
        <v>0</v>
      </c>
      <c r="T110" s="4">
        <v>53</v>
      </c>
      <c r="U110" s="4">
        <v>76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469.16</v>
      </c>
      <c r="X110" s="6">
        <f>IF(ISERROR(VLOOKUP($U$110,'TAR FIN'!$A$1:$O$85,15,0)),0,VLOOKUP($U$110,'TAR FIN'!$A$1:$O$85,15,0))</f>
        <v>144.18</v>
      </c>
      <c r="Y110" s="6"/>
      <c r="Z110" s="6">
        <f ca="1">('TUSD BE'!$AM$22+'TUSD BF'!$AM$22+'TUSD CVA'!$AM$22-('TUSD BE'!$P$22+'TUSD BF'!$P$22+'TUSD CVA'!$P$22)-('TUSD BE'!$Q$22+'TUSD BF'!$Q$22+'TUSD CVA'!$Q$22)-('TUSD BE'!$R$22+'TUSD BF'!$R$22+'TUSD CVA'!$R$22))*(1-CUSTOS!$M$35)</f>
        <v>516.38354327871423</v>
      </c>
      <c r="AA110" s="6">
        <f>('TE BE'!$AA$13+'TE BF'!$AA$13+'TE CVA'!$AA$13)*(1-CUSTOS!$M$35)</f>
        <v>198.4385178937107</v>
      </c>
      <c r="AB110" s="6">
        <f t="shared" si="6"/>
        <v>0</v>
      </c>
      <c r="AC110" s="6">
        <f>(L110-M110)*(W110+X110)+($W$123+$X$123-$W$110-$X$110)*(L110)</f>
        <v>9130.6992799999989</v>
      </c>
      <c r="AD110" s="6">
        <f t="shared" si="8"/>
        <v>0</v>
      </c>
      <c r="AE110" s="6">
        <f ca="1">(L110-M110)*(Z110+AA110)+($Z$123+$AA$123-$Z$110-$AA$110)*(L110)</f>
        <v>10641.79429869428</v>
      </c>
      <c r="AF110" s="4" t="s">
        <v>669</v>
      </c>
    </row>
    <row r="111" spans="1:32" ht="11.25" customHeight="1" x14ac:dyDescent="0.3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31</v>
      </c>
      <c r="F111" s="4" t="s">
        <v>25</v>
      </c>
      <c r="G111" s="4" t="s">
        <v>25</v>
      </c>
      <c r="H111" s="4" t="s">
        <v>25</v>
      </c>
      <c r="I111" s="5">
        <v>44287</v>
      </c>
      <c r="J111" s="6">
        <v>0</v>
      </c>
      <c r="K111" s="6">
        <v>0</v>
      </c>
      <c r="L111" s="6">
        <v>4.0590000000000002</v>
      </c>
      <c r="M111" s="6">
        <v>4.0590000000000002</v>
      </c>
      <c r="N111" s="6">
        <v>4.0590000000000002</v>
      </c>
      <c r="O111" s="6">
        <v>4.0590000000000002</v>
      </c>
      <c r="P111" s="6">
        <v>47</v>
      </c>
      <c r="Q111" s="4" t="s">
        <v>26</v>
      </c>
      <c r="R111" s="4">
        <v>0</v>
      </c>
      <c r="S111" s="4">
        <v>0</v>
      </c>
      <c r="T111" s="4">
        <v>54</v>
      </c>
      <c r="U111" s="4">
        <v>24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703.74</v>
      </c>
      <c r="X111" s="6">
        <f>IF(ISERROR(VLOOKUP($U$111,'TAR FIN'!$A$1:$O$85,15,0)),0,VLOOKUP($U$111,'TAR FIN'!$A$1:$O$85,15,0))</f>
        <v>216.26</v>
      </c>
      <c r="Y111" s="6"/>
      <c r="Z111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111" s="6">
        <f>('TE BE'!$AA$14+'TE BF'!$AA$14+'TE CVA'!$AA$14)*(1-CUSTOS!$M$36)</f>
        <v>297.65777684056604</v>
      </c>
      <c r="AB111" s="6">
        <f t="shared" si="6"/>
        <v>0</v>
      </c>
      <c r="AC111" s="6">
        <f>(L111-M111)*(W111+X111)+($W$123+$X$123-$W$111-$X$111)*(L111)</f>
        <v>414.91097999999965</v>
      </c>
      <c r="AD111" s="6">
        <f t="shared" si="8"/>
        <v>0</v>
      </c>
      <c r="AE111" s="6">
        <f ca="1">(L111-M111)*(Z111+AA111)+($Z$123+$AA$123-$Z$111-$AA$111)*(L111)</f>
        <v>483.57712438314508</v>
      </c>
      <c r="AF111" s="4" t="s">
        <v>669</v>
      </c>
    </row>
    <row r="112" spans="1:32" ht="11.25" customHeight="1" x14ac:dyDescent="0.3">
      <c r="A112" s="4" t="s">
        <v>21</v>
      </c>
      <c r="B112" s="4" t="s">
        <v>22</v>
      </c>
      <c r="C112" s="4" t="s">
        <v>23</v>
      </c>
      <c r="D112" s="4" t="s">
        <v>24</v>
      </c>
      <c r="E112" s="4" t="s">
        <v>31</v>
      </c>
      <c r="F112" s="4" t="s">
        <v>25</v>
      </c>
      <c r="G112" s="4" t="s">
        <v>25</v>
      </c>
      <c r="H112" s="4" t="s">
        <v>25</v>
      </c>
      <c r="I112" s="5">
        <v>44317</v>
      </c>
      <c r="J112" s="6">
        <v>0</v>
      </c>
      <c r="K112" s="6">
        <v>0</v>
      </c>
      <c r="L112" s="6">
        <v>2.5710000000000002</v>
      </c>
      <c r="M112" s="6">
        <v>2.5710000000000002</v>
      </c>
      <c r="N112" s="6">
        <v>2.5710000000000002</v>
      </c>
      <c r="O112" s="6">
        <v>2.5710000000000002</v>
      </c>
      <c r="P112" s="6">
        <v>53</v>
      </c>
      <c r="Q112" s="4" t="s">
        <v>26</v>
      </c>
      <c r="R112" s="4">
        <v>0</v>
      </c>
      <c r="S112" s="4">
        <v>0</v>
      </c>
      <c r="T112" s="4">
        <v>54</v>
      </c>
      <c r="U112" s="4">
        <v>24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703.74</v>
      </c>
      <c r="X112" s="6">
        <f>IF(ISERROR(VLOOKUP($U$112,'TAR FIN'!$A$1:$O$85,15,0)),0,VLOOKUP($U$112,'TAR FIN'!$A$1:$O$85,15,0))</f>
        <v>216.26</v>
      </c>
      <c r="Y112" s="6"/>
      <c r="Z112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112" s="6">
        <f>('TE BE'!$AA$14+'TE BF'!$AA$14+'TE CVA'!$AA$14)*(1-CUSTOS!$M$36)</f>
        <v>297.65777684056604</v>
      </c>
      <c r="AB112" s="6">
        <f t="shared" si="6"/>
        <v>0</v>
      </c>
      <c r="AC112" s="6">
        <f>(L112-M112)*(W112+X112)+($W$123+$X$123-$W$112-$X$112)*(L112)</f>
        <v>262.80761999999982</v>
      </c>
      <c r="AD112" s="6">
        <f t="shared" si="8"/>
        <v>0</v>
      </c>
      <c r="AE112" s="6">
        <f ca="1">(L112-M112)*(Z112+AA112)+($Z$123+$AA$123-$Z$112-$AA$112)*(L112)</f>
        <v>306.30125321238387</v>
      </c>
      <c r="AF112" s="4" t="s">
        <v>669</v>
      </c>
    </row>
    <row r="113" spans="1:32" ht="11.25" customHeight="1" x14ac:dyDescent="0.3">
      <c r="A113" s="4" t="s">
        <v>21</v>
      </c>
      <c r="B113" s="4" t="s">
        <v>22</v>
      </c>
      <c r="C113" s="4" t="s">
        <v>23</v>
      </c>
      <c r="D113" s="4" t="s">
        <v>24</v>
      </c>
      <c r="E113" s="4" t="s">
        <v>31</v>
      </c>
      <c r="F113" s="4" t="s">
        <v>25</v>
      </c>
      <c r="G113" s="4" t="s">
        <v>25</v>
      </c>
      <c r="H113" s="4" t="s">
        <v>25</v>
      </c>
      <c r="I113" s="5">
        <v>44348</v>
      </c>
      <c r="J113" s="6">
        <v>0</v>
      </c>
      <c r="K113" s="6">
        <v>0</v>
      </c>
      <c r="L113" s="6">
        <v>3.3809999999999998</v>
      </c>
      <c r="M113" s="6">
        <v>3.3809999999999998</v>
      </c>
      <c r="N113" s="6">
        <v>3.3809999999999998</v>
      </c>
      <c r="O113" s="6">
        <v>3.3809999999999998</v>
      </c>
      <c r="P113" s="6">
        <v>53</v>
      </c>
      <c r="Q113" s="4" t="s">
        <v>26</v>
      </c>
      <c r="R113" s="4">
        <v>0</v>
      </c>
      <c r="S113" s="4">
        <v>0</v>
      </c>
      <c r="T113" s="4">
        <v>54</v>
      </c>
      <c r="U113" s="4">
        <v>24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703.74</v>
      </c>
      <c r="X113" s="6">
        <f>IF(ISERROR(VLOOKUP($U$113,'TAR FIN'!$A$1:$O$85,15,0)),0,VLOOKUP($U$113,'TAR FIN'!$A$1:$O$85,15,0))</f>
        <v>216.26</v>
      </c>
      <c r="Y113" s="6"/>
      <c r="Z113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113" s="6">
        <f>('TE BE'!$AA$14+'TE BF'!$AA$14+'TE CVA'!$AA$14)*(1-CUSTOS!$M$36)</f>
        <v>297.65777684056604</v>
      </c>
      <c r="AB113" s="6">
        <f t="shared" si="6"/>
        <v>0</v>
      </c>
      <c r="AC113" s="6">
        <f>(L113-M113)*(W113+X113)+($W$123+$X$123-$W$113-$X$113)*(L113)</f>
        <v>345.60581999999971</v>
      </c>
      <c r="AD113" s="6">
        <f t="shared" si="8"/>
        <v>0</v>
      </c>
      <c r="AE113" s="6">
        <f ca="1">(L113-M113)*(Z113+AA113)+($Z$123+$AA$123-$Z$113-$AA$113)*(L113)</f>
        <v>402.80223147066113</v>
      </c>
      <c r="AF113" s="4" t="s">
        <v>669</v>
      </c>
    </row>
    <row r="114" spans="1:32" ht="11.25" customHeight="1" x14ac:dyDescent="0.3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31</v>
      </c>
      <c r="F114" s="4" t="s">
        <v>25</v>
      </c>
      <c r="G114" s="4" t="s">
        <v>25</v>
      </c>
      <c r="H114" s="4" t="s">
        <v>25</v>
      </c>
      <c r="I114" s="5">
        <v>44378</v>
      </c>
      <c r="J114" s="6">
        <v>0</v>
      </c>
      <c r="K114" s="6">
        <v>0</v>
      </c>
      <c r="L114" s="6">
        <v>1.5980000000000001</v>
      </c>
      <c r="M114" s="6">
        <v>1.5980000000000001</v>
      </c>
      <c r="N114" s="6">
        <v>1.5980000000000001</v>
      </c>
      <c r="O114" s="6">
        <v>1.5980000000000001</v>
      </c>
      <c r="P114" s="6">
        <v>42</v>
      </c>
      <c r="Q114" s="4" t="s">
        <v>26</v>
      </c>
      <c r="R114" s="4">
        <v>0</v>
      </c>
      <c r="S114" s="4">
        <v>0</v>
      </c>
      <c r="T114" s="4">
        <v>54</v>
      </c>
      <c r="U114" s="4">
        <v>24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703.74</v>
      </c>
      <c r="X114" s="6">
        <f>IF(ISERROR(VLOOKUP($U$114,'TAR FIN'!$A$1:$O$85,15,0)),0,VLOOKUP($U$114,'TAR FIN'!$A$1:$O$85,15,0))</f>
        <v>216.26</v>
      </c>
      <c r="Y114" s="6"/>
      <c r="Z114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114" s="6">
        <f>('TE BE'!$AA$14+'TE BF'!$AA$14+'TE CVA'!$AA$14)*(1-CUSTOS!$M$36)</f>
        <v>297.65777684056604</v>
      </c>
      <c r="AB114" s="6">
        <f t="shared" si="6"/>
        <v>0</v>
      </c>
      <c r="AC114" s="6">
        <f>(L114-M114)*(W114+X114)+($W$123+$X$123-$W$114-$X$114)*(L114)</f>
        <v>163.34755999999987</v>
      </c>
      <c r="AD114" s="6">
        <f t="shared" si="8"/>
        <v>0</v>
      </c>
      <c r="AE114" s="6">
        <f ca="1">(L114-M114)*(Z114+AA114)+($Z$123+$AA$123-$Z$114-$AA$114)*(L114)</f>
        <v>190.3809422922557</v>
      </c>
      <c r="AF114" s="4" t="s">
        <v>669</v>
      </c>
    </row>
    <row r="115" spans="1:32" ht="11.25" customHeight="1" x14ac:dyDescent="0.3">
      <c r="A115" s="4" t="s">
        <v>21</v>
      </c>
      <c r="B115" s="4" t="s">
        <v>22</v>
      </c>
      <c r="C115" s="4" t="s">
        <v>23</v>
      </c>
      <c r="D115" s="4" t="s">
        <v>24</v>
      </c>
      <c r="E115" s="4" t="s">
        <v>31</v>
      </c>
      <c r="F115" s="4" t="s">
        <v>25</v>
      </c>
      <c r="G115" s="4" t="s">
        <v>25</v>
      </c>
      <c r="H115" s="4" t="s">
        <v>25</v>
      </c>
      <c r="I115" s="5">
        <v>44409</v>
      </c>
      <c r="J115" s="6">
        <v>0</v>
      </c>
      <c r="K115" s="6">
        <v>0</v>
      </c>
      <c r="L115" s="6">
        <v>1.5640000000000001</v>
      </c>
      <c r="M115" s="6">
        <v>1.5640000000000001</v>
      </c>
      <c r="N115" s="6">
        <v>1.5640000000000001</v>
      </c>
      <c r="O115" s="6">
        <v>1.5640000000000001</v>
      </c>
      <c r="P115" s="6">
        <v>39</v>
      </c>
      <c r="Q115" s="4" t="s">
        <v>26</v>
      </c>
      <c r="R115" s="4">
        <v>0</v>
      </c>
      <c r="S115" s="4">
        <v>0</v>
      </c>
      <c r="T115" s="4">
        <v>54</v>
      </c>
      <c r="U115" s="4">
        <v>24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703.74</v>
      </c>
      <c r="X115" s="6">
        <f>IF(ISERROR(VLOOKUP($U$115,'TAR FIN'!$A$1:$O$85,15,0)),0,VLOOKUP($U$115,'TAR FIN'!$A$1:$O$85,15,0))</f>
        <v>216.26</v>
      </c>
      <c r="Y115" s="6"/>
      <c r="Z115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115" s="6">
        <f>('TE BE'!$AA$14+'TE BF'!$AA$14+'TE CVA'!$AA$14)*(1-CUSTOS!$M$36)</f>
        <v>297.65777684056604</v>
      </c>
      <c r="AB115" s="6">
        <f t="shared" si="6"/>
        <v>0</v>
      </c>
      <c r="AC115" s="6">
        <f>(L115-M115)*(W115+X115)+($W$123+$X$123-$W$115-$X$115)*(L115)</f>
        <v>159.87207999999987</v>
      </c>
      <c r="AD115" s="6">
        <f t="shared" si="8"/>
        <v>0</v>
      </c>
      <c r="AE115" s="6">
        <f ca="1">(L115-M115)*(Z115+AA115)+($Z$123+$AA$123-$Z$115-$AA$115)*(L115)</f>
        <v>186.33028394561197</v>
      </c>
      <c r="AF115" s="4" t="s">
        <v>669</v>
      </c>
    </row>
    <row r="116" spans="1:32" ht="11.25" customHeight="1" x14ac:dyDescent="0.3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31</v>
      </c>
      <c r="F116" s="4" t="s">
        <v>25</v>
      </c>
      <c r="G116" s="4" t="s">
        <v>25</v>
      </c>
      <c r="H116" s="4" t="s">
        <v>25</v>
      </c>
      <c r="I116" s="5">
        <v>44440</v>
      </c>
      <c r="J116" s="6">
        <v>0</v>
      </c>
      <c r="K116" s="6">
        <v>0</v>
      </c>
      <c r="L116" s="6">
        <v>2.6970000000000001</v>
      </c>
      <c r="M116" s="6">
        <v>2.6970000000000001</v>
      </c>
      <c r="N116" s="6">
        <v>2.6970000000000001</v>
      </c>
      <c r="O116" s="6">
        <v>2.6970000000000001</v>
      </c>
      <c r="P116" s="6">
        <v>52</v>
      </c>
      <c r="Q116" s="4" t="s">
        <v>26</v>
      </c>
      <c r="R116" s="4">
        <v>0</v>
      </c>
      <c r="S116" s="4">
        <v>0</v>
      </c>
      <c r="T116" s="4">
        <v>54</v>
      </c>
      <c r="U116" s="4">
        <v>24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703.74</v>
      </c>
      <c r="X116" s="6">
        <f>IF(ISERROR(VLOOKUP($U$116,'TAR FIN'!$A$1:$O$85,15,0)),0,VLOOKUP($U$116,'TAR FIN'!$A$1:$O$85,15,0))</f>
        <v>216.26</v>
      </c>
      <c r="Y116" s="6"/>
      <c r="Z116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116" s="6">
        <f>('TE BE'!$AA$14+'TE BF'!$AA$14+'TE CVA'!$AA$14)*(1-CUSTOS!$M$36)</f>
        <v>297.65777684056604</v>
      </c>
      <c r="AB116" s="6">
        <f t="shared" si="6"/>
        <v>0</v>
      </c>
      <c r="AC116" s="6">
        <f>(L116-M116)*(W116+X116)+($W$123+$X$123-$W$116-$X$116)*(L116)</f>
        <v>275.68733999999978</v>
      </c>
      <c r="AD116" s="6">
        <f t="shared" si="8"/>
        <v>0</v>
      </c>
      <c r="AE116" s="6">
        <f ca="1">(L116-M116)*(Z116+AA116)+($Z$123+$AA$123-$Z$116-$AA$116)*(L116)</f>
        <v>321.31251649700476</v>
      </c>
      <c r="AF116" s="4" t="s">
        <v>669</v>
      </c>
    </row>
    <row r="117" spans="1:32" ht="11.25" customHeight="1" x14ac:dyDescent="0.3">
      <c r="A117" s="4" t="s">
        <v>21</v>
      </c>
      <c r="B117" s="4" t="s">
        <v>22</v>
      </c>
      <c r="C117" s="4" t="s">
        <v>23</v>
      </c>
      <c r="D117" s="4" t="s">
        <v>24</v>
      </c>
      <c r="E117" s="4" t="s">
        <v>31</v>
      </c>
      <c r="F117" s="4" t="s">
        <v>25</v>
      </c>
      <c r="G117" s="4" t="s">
        <v>25</v>
      </c>
      <c r="H117" s="4" t="s">
        <v>25</v>
      </c>
      <c r="I117" s="5">
        <v>44470</v>
      </c>
      <c r="J117" s="6">
        <v>0</v>
      </c>
      <c r="K117" s="6">
        <v>0</v>
      </c>
      <c r="L117" s="6">
        <v>2.8450000000000002</v>
      </c>
      <c r="M117" s="6">
        <v>2.8450000000000002</v>
      </c>
      <c r="N117" s="6">
        <v>2.8450000000000002</v>
      </c>
      <c r="O117" s="6">
        <v>2.8450000000000002</v>
      </c>
      <c r="P117" s="6">
        <v>54</v>
      </c>
      <c r="Q117" s="4" t="s">
        <v>26</v>
      </c>
      <c r="R117" s="4">
        <v>0</v>
      </c>
      <c r="S117" s="4">
        <v>0</v>
      </c>
      <c r="T117" s="4">
        <v>54</v>
      </c>
      <c r="U117" s="4">
        <v>24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703.74</v>
      </c>
      <c r="X117" s="6">
        <f>IF(ISERROR(VLOOKUP($U$117,'TAR FIN'!$A$1:$O$85,15,0)),0,VLOOKUP($U$117,'TAR FIN'!$A$1:$O$85,15,0))</f>
        <v>216.26</v>
      </c>
      <c r="Y117" s="6"/>
      <c r="Z117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117" s="6">
        <f>('TE BE'!$AA$14+'TE BF'!$AA$14+'TE CVA'!$AA$14)*(1-CUSTOS!$M$36)</f>
        <v>297.65777684056604</v>
      </c>
      <c r="AB117" s="6">
        <f t="shared" si="6"/>
        <v>0</v>
      </c>
      <c r="AC117" s="6">
        <f>(L117-M117)*(W117+X117)+($W$123+$X$123-$W$117-$X$117)*(L117)</f>
        <v>290.81589999999977</v>
      </c>
      <c r="AD117" s="6">
        <f t="shared" si="8"/>
        <v>0</v>
      </c>
      <c r="AE117" s="6">
        <f ca="1">(L117-M117)*(Z117+AA117)+($Z$123+$AA$123-$Z$117-$AA$117)*(L117)</f>
        <v>338.94479400592456</v>
      </c>
      <c r="AF117" s="4" t="s">
        <v>669</v>
      </c>
    </row>
    <row r="118" spans="1:32" ht="11.25" customHeight="1" x14ac:dyDescent="0.3">
      <c r="A118" s="4" t="s">
        <v>21</v>
      </c>
      <c r="B118" s="4" t="s">
        <v>22</v>
      </c>
      <c r="C118" s="4" t="s">
        <v>23</v>
      </c>
      <c r="D118" s="4" t="s">
        <v>24</v>
      </c>
      <c r="E118" s="4" t="s">
        <v>31</v>
      </c>
      <c r="F118" s="4" t="s">
        <v>25</v>
      </c>
      <c r="G118" s="4" t="s">
        <v>25</v>
      </c>
      <c r="H118" s="4" t="s">
        <v>25</v>
      </c>
      <c r="I118" s="5">
        <v>44501</v>
      </c>
      <c r="J118" s="6">
        <v>0</v>
      </c>
      <c r="K118" s="6">
        <v>0</v>
      </c>
      <c r="L118" s="6">
        <v>2.488</v>
      </c>
      <c r="M118" s="6">
        <v>2.488</v>
      </c>
      <c r="N118" s="6">
        <v>2.488</v>
      </c>
      <c r="O118" s="6">
        <v>2.488</v>
      </c>
      <c r="P118" s="6">
        <v>51</v>
      </c>
      <c r="Q118" s="4" t="s">
        <v>26</v>
      </c>
      <c r="R118" s="4">
        <v>0</v>
      </c>
      <c r="S118" s="4">
        <v>0</v>
      </c>
      <c r="T118" s="4">
        <v>54</v>
      </c>
      <c r="U118" s="4">
        <v>24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703.74</v>
      </c>
      <c r="X118" s="6">
        <f>IF(ISERROR(VLOOKUP($U$118,'TAR FIN'!$A$1:$O$85,15,0)),0,VLOOKUP($U$118,'TAR FIN'!$A$1:$O$85,15,0))</f>
        <v>216.26</v>
      </c>
      <c r="Y118" s="6"/>
      <c r="Z118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118" s="6">
        <f>('TE BE'!$AA$14+'TE BF'!$AA$14+'TE CVA'!$AA$14)*(1-CUSTOS!$M$36)</f>
        <v>297.65777684056604</v>
      </c>
      <c r="AB118" s="6">
        <f t="shared" si="6"/>
        <v>0</v>
      </c>
      <c r="AC118" s="6">
        <f>(L118-M118)*(W118+X118)+($W$123+$X$123-$W$118-$X$118)*(L118)</f>
        <v>254.32335999999978</v>
      </c>
      <c r="AD118" s="6">
        <f t="shared" si="8"/>
        <v>0</v>
      </c>
      <c r="AE118" s="6">
        <f ca="1">(L118-M118)*(Z118+AA118)+($Z$123+$AA$123-$Z$118-$AA$118)*(L118)</f>
        <v>296.41288136616532</v>
      </c>
      <c r="AF118" s="4" t="s">
        <v>669</v>
      </c>
    </row>
    <row r="119" spans="1:32" ht="11.25" customHeight="1" x14ac:dyDescent="0.3">
      <c r="A119" s="4" t="s">
        <v>21</v>
      </c>
      <c r="B119" s="4" t="s">
        <v>22</v>
      </c>
      <c r="C119" s="4" t="s">
        <v>23</v>
      </c>
      <c r="D119" s="4" t="s">
        <v>24</v>
      </c>
      <c r="E119" s="4" t="s">
        <v>31</v>
      </c>
      <c r="F119" s="4" t="s">
        <v>25</v>
      </c>
      <c r="G119" s="4" t="s">
        <v>25</v>
      </c>
      <c r="H119" s="4" t="s">
        <v>25</v>
      </c>
      <c r="I119" s="5">
        <v>44531</v>
      </c>
      <c r="J119" s="6">
        <v>0</v>
      </c>
      <c r="K119" s="6">
        <v>0</v>
      </c>
      <c r="L119" s="6">
        <v>3.766</v>
      </c>
      <c r="M119" s="6">
        <v>3.766</v>
      </c>
      <c r="N119" s="6">
        <v>3.766</v>
      </c>
      <c r="O119" s="6">
        <v>3.766</v>
      </c>
      <c r="P119" s="6">
        <v>59</v>
      </c>
      <c r="Q119" s="4" t="s">
        <v>26</v>
      </c>
      <c r="R119" s="4">
        <v>0</v>
      </c>
      <c r="S119" s="4">
        <v>0</v>
      </c>
      <c r="T119" s="4">
        <v>54</v>
      </c>
      <c r="U119" s="4">
        <v>24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703.74</v>
      </c>
      <c r="X119" s="6">
        <f>IF(ISERROR(VLOOKUP($U$119,'TAR FIN'!$A$1:$O$85,15,0)),0,VLOOKUP($U$119,'TAR FIN'!$A$1:$O$85,15,0))</f>
        <v>216.26</v>
      </c>
      <c r="Y119" s="6"/>
      <c r="Z119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119" s="6">
        <f>('TE BE'!$AA$14+'TE BF'!$AA$14+'TE CVA'!$AA$14)*(1-CUSTOS!$M$36)</f>
        <v>297.65777684056604</v>
      </c>
      <c r="AB119" s="6">
        <f t="shared" si="6"/>
        <v>0</v>
      </c>
      <c r="AC119" s="6">
        <f>(L119-M119)*(W119+X119)+($W$123+$X$123-$W$119-$X$119)*(L119)</f>
        <v>384.96051999999969</v>
      </c>
      <c r="AD119" s="6">
        <f t="shared" si="8"/>
        <v>0</v>
      </c>
      <c r="AE119" s="6">
        <f ca="1">(L119-M119)*(Z119+AA119)+($Z$123+$AA$123-$Z$119-$AA$119)*(L119)</f>
        <v>448.66998039589168</v>
      </c>
      <c r="AF119" s="4" t="s">
        <v>669</v>
      </c>
    </row>
    <row r="120" spans="1:32" ht="11.25" customHeight="1" x14ac:dyDescent="0.3">
      <c r="A120" s="4" t="s">
        <v>21</v>
      </c>
      <c r="B120" s="4" t="s">
        <v>22</v>
      </c>
      <c r="C120" s="4" t="s">
        <v>23</v>
      </c>
      <c r="D120" s="4" t="s">
        <v>24</v>
      </c>
      <c r="E120" s="4" t="s">
        <v>31</v>
      </c>
      <c r="F120" s="4" t="s">
        <v>25</v>
      </c>
      <c r="G120" s="4" t="s">
        <v>25</v>
      </c>
      <c r="H120" s="4" t="s">
        <v>25</v>
      </c>
      <c r="I120" s="5">
        <v>44562</v>
      </c>
      <c r="J120" s="6">
        <v>0</v>
      </c>
      <c r="K120" s="6">
        <v>0</v>
      </c>
      <c r="L120" s="6">
        <v>4.38</v>
      </c>
      <c r="M120" s="6">
        <v>4.38</v>
      </c>
      <c r="N120" s="6">
        <v>4.38</v>
      </c>
      <c r="O120" s="6">
        <v>4.38</v>
      </c>
      <c r="P120" s="6">
        <v>60</v>
      </c>
      <c r="Q120" s="4" t="s">
        <v>26</v>
      </c>
      <c r="R120" s="4">
        <v>0</v>
      </c>
      <c r="S120" s="4">
        <v>0</v>
      </c>
      <c r="T120" s="4">
        <v>54</v>
      </c>
      <c r="U120" s="4">
        <v>24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703.74</v>
      </c>
      <c r="X120" s="6">
        <f>IF(ISERROR(VLOOKUP($U$120,'TAR FIN'!$A$1:$O$85,15,0)),0,VLOOKUP($U$120,'TAR FIN'!$A$1:$O$85,15,0))</f>
        <v>216.26</v>
      </c>
      <c r="Y120" s="6"/>
      <c r="Z120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120" s="6">
        <f>('TE BE'!$AA$14+'TE BF'!$AA$14+'TE CVA'!$AA$14)*(1-CUSTOS!$M$36)</f>
        <v>297.65777684056604</v>
      </c>
      <c r="AB120" s="6">
        <f t="shared" si="6"/>
        <v>0</v>
      </c>
      <c r="AC120" s="6">
        <f>(L120-M120)*(W120+X120)+($W$123+$X$123-$W$120-$X$120)*(L120)</f>
        <v>447.72359999999964</v>
      </c>
      <c r="AD120" s="6">
        <f t="shared" si="8"/>
        <v>0</v>
      </c>
      <c r="AE120" s="6">
        <f ca="1">(L120-M120)*(Z120+AA120)+($Z$123+$AA$123-$Z$120-$AA$120)*(L120)</f>
        <v>521.82010465586973</v>
      </c>
      <c r="AF120" s="4" t="s">
        <v>669</v>
      </c>
    </row>
    <row r="121" spans="1:32" ht="11.25" customHeight="1" x14ac:dyDescent="0.3">
      <c r="A121" s="4" t="s">
        <v>21</v>
      </c>
      <c r="B121" s="4" t="s">
        <v>22</v>
      </c>
      <c r="C121" s="4" t="s">
        <v>23</v>
      </c>
      <c r="D121" s="4" t="s">
        <v>24</v>
      </c>
      <c r="E121" s="4" t="s">
        <v>31</v>
      </c>
      <c r="F121" s="4" t="s">
        <v>25</v>
      </c>
      <c r="G121" s="4" t="s">
        <v>25</v>
      </c>
      <c r="H121" s="4" t="s">
        <v>25</v>
      </c>
      <c r="I121" s="5">
        <v>44593</v>
      </c>
      <c r="J121" s="6">
        <v>0</v>
      </c>
      <c r="K121" s="6">
        <v>0</v>
      </c>
      <c r="L121" s="6">
        <v>6.0750000000000002</v>
      </c>
      <c r="M121" s="6">
        <v>6.0750000000000002</v>
      </c>
      <c r="N121" s="6">
        <v>6.0750000000000002</v>
      </c>
      <c r="O121" s="6">
        <v>6.0750000000000002</v>
      </c>
      <c r="P121" s="6">
        <v>68</v>
      </c>
      <c r="Q121" s="4" t="s">
        <v>26</v>
      </c>
      <c r="R121" s="4">
        <v>0</v>
      </c>
      <c r="S121" s="4">
        <v>0</v>
      </c>
      <c r="T121" s="4">
        <v>54</v>
      </c>
      <c r="U121" s="4">
        <v>24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703.74</v>
      </c>
      <c r="X121" s="6">
        <f>IF(ISERROR(VLOOKUP($U$121,'TAR FIN'!$A$1:$O$85,15,0)),0,VLOOKUP($U$121,'TAR FIN'!$A$1:$O$85,15,0))</f>
        <v>216.26</v>
      </c>
      <c r="Y121" s="6"/>
      <c r="Z121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121" s="6">
        <f>('TE BE'!$AA$14+'TE BF'!$AA$14+'TE CVA'!$AA$14)*(1-CUSTOS!$M$36)</f>
        <v>297.65777684056604</v>
      </c>
      <c r="AB121" s="6">
        <f t="shared" si="6"/>
        <v>0</v>
      </c>
      <c r="AC121" s="6">
        <f>(L121-M121)*(W121+X121)+($W$123+$X$123-$W$121-$X$121)*(L121)</f>
        <v>620.98649999999952</v>
      </c>
      <c r="AD121" s="6">
        <f t="shared" si="8"/>
        <v>0</v>
      </c>
      <c r="AE121" s="6">
        <f ca="1">(L121-M121)*(Z121+AA121)+($Z$123+$AA$123-$Z$121-$AA$121)*(L121)</f>
        <v>723.75733693707969</v>
      </c>
      <c r="AF121" s="4" t="s">
        <v>669</v>
      </c>
    </row>
    <row r="122" spans="1:32" ht="11.25" customHeight="1" x14ac:dyDescent="0.3">
      <c r="A122" s="4" t="s">
        <v>21</v>
      </c>
      <c r="B122" s="4" t="s">
        <v>22</v>
      </c>
      <c r="C122" s="4" t="s">
        <v>23</v>
      </c>
      <c r="D122" s="4" t="s">
        <v>24</v>
      </c>
      <c r="E122" s="4" t="s">
        <v>31</v>
      </c>
      <c r="F122" s="4" t="s">
        <v>25</v>
      </c>
      <c r="G122" s="4" t="s">
        <v>25</v>
      </c>
      <c r="H122" s="4" t="s">
        <v>25</v>
      </c>
      <c r="I122" s="5">
        <v>44621</v>
      </c>
      <c r="J122" s="6">
        <v>0</v>
      </c>
      <c r="K122" s="6">
        <v>0</v>
      </c>
      <c r="L122" s="6">
        <v>19.045999999999999</v>
      </c>
      <c r="M122" s="6">
        <v>19.045999999999999</v>
      </c>
      <c r="N122" s="6">
        <v>19.045999999999999</v>
      </c>
      <c r="O122" s="6">
        <v>19.045999999999999</v>
      </c>
      <c r="P122" s="6">
        <v>199</v>
      </c>
      <c r="Q122" s="4" t="s">
        <v>26</v>
      </c>
      <c r="R122" s="4">
        <v>0</v>
      </c>
      <c r="S122" s="4">
        <v>0</v>
      </c>
      <c r="T122" s="4">
        <v>54</v>
      </c>
      <c r="U122" s="4">
        <v>24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703.74</v>
      </c>
      <c r="X122" s="6">
        <f>IF(ISERROR(VLOOKUP($U$122,'TAR FIN'!$A$1:$O$85,15,0)),0,VLOOKUP($U$122,'TAR FIN'!$A$1:$O$85,15,0))</f>
        <v>216.26</v>
      </c>
      <c r="Y122" s="6"/>
      <c r="Z122" s="6">
        <f ca="1">('TUSD BE'!$AM$23+'TUSD BF'!$AM$23+'TUSD CVA'!$AM$23-('TUSD BE'!$P$23+'TUSD BF'!$P$23+'TUSD CVA'!$P$23)-('TUSD BE'!$Q$23+'TUSD BF'!$Q$23+'TUSD CVA'!$Q$23)-('TUSD BE'!$R$23+'TUSD BF'!$R$23+'TUSD CVA'!$R$23))*(1-CUSTOS!$M$36)</f>
        <v>774.5753149180714</v>
      </c>
      <c r="AA122" s="6">
        <f>('TE BE'!$AA$14+'TE BF'!$AA$14+'TE CVA'!$AA$14)*(1-CUSTOS!$M$36)</f>
        <v>297.65777684056604</v>
      </c>
      <c r="AB122" s="6">
        <f t="shared" si="6"/>
        <v>0</v>
      </c>
      <c r="AC122" s="6">
        <f>(L122-M122)*(W122+X122)+($W$123+$X$123-$W$122-$X$122)*(L122)</f>
        <v>1946.8821199999984</v>
      </c>
      <c r="AD122" s="6">
        <f t="shared" si="8"/>
        <v>0</v>
      </c>
      <c r="AE122" s="6">
        <f ca="1">(L122-M122)*(Z122+AA122)+($Z$123+$AA$123-$Z$122-$AA$122)*(L122)</f>
        <v>2269.0834961816659</v>
      </c>
      <c r="AF122" s="4" t="s">
        <v>669</v>
      </c>
    </row>
    <row r="123" spans="1:32" ht="11.25" customHeight="1" x14ac:dyDescent="0.3">
      <c r="A123" s="4" t="s">
        <v>21</v>
      </c>
      <c r="B123" s="4" t="s">
        <v>22</v>
      </c>
      <c r="C123" s="4" t="s">
        <v>23</v>
      </c>
      <c r="D123" s="4" t="s">
        <v>24</v>
      </c>
      <c r="E123" s="4" t="s">
        <v>32</v>
      </c>
      <c r="F123" s="4" t="s">
        <v>25</v>
      </c>
      <c r="G123" s="4" t="s">
        <v>25</v>
      </c>
      <c r="H123" s="4" t="s">
        <v>25</v>
      </c>
      <c r="I123" s="5">
        <v>44287</v>
      </c>
      <c r="J123" s="6">
        <v>0</v>
      </c>
      <c r="K123" s="6">
        <v>0</v>
      </c>
      <c r="L123" s="6">
        <v>0.97699999999999998</v>
      </c>
      <c r="M123" s="6">
        <v>0.97699999999999998</v>
      </c>
      <c r="N123" s="6">
        <v>0.97699999999999998</v>
      </c>
      <c r="O123" s="6">
        <v>0.97699999999999998</v>
      </c>
      <c r="P123" s="6">
        <v>9</v>
      </c>
      <c r="Q123" s="4" t="s">
        <v>26</v>
      </c>
      <c r="R123" s="4">
        <v>0</v>
      </c>
      <c r="S123" s="4">
        <v>0</v>
      </c>
      <c r="T123" s="4">
        <v>10</v>
      </c>
      <c r="U123" s="4">
        <v>25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781.93</v>
      </c>
      <c r="X123" s="6">
        <f>IF(ISERROR(VLOOKUP($U$123,'TAR FIN'!$A$1:$O$85,15,0)),0,VLOOKUP($U$123,'TAR FIN'!$A$1:$O$85,15,0))</f>
        <v>240.29</v>
      </c>
      <c r="Y123" s="6"/>
      <c r="Z123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123" s="6">
        <f>('TE BE'!$AA$15+'TE BF'!$AA$15+'TE CVA'!$AA$15)*(1-CUSTOS!$M$37)</f>
        <v>330.73086315618451</v>
      </c>
      <c r="AB123" s="6">
        <f t="shared" si="6"/>
        <v>0</v>
      </c>
      <c r="AC123" s="6">
        <f>(L123-M123)*(W123+X123)+($W$123+$X$123-$W$123-$X$123)*(L123)</f>
        <v>-2.7768010113504715E-14</v>
      </c>
      <c r="AD123" s="6">
        <f t="shared" si="8"/>
        <v>0</v>
      </c>
      <c r="AE123" s="6">
        <f ca="1">(L123-M123)*(Z123+AA123)+($Z$123+$AA$123-$Z$123-$AA$123)*(L123)</f>
        <v>-5.5536020227009429E-14</v>
      </c>
      <c r="AF123" s="4" t="s">
        <v>669</v>
      </c>
    </row>
    <row r="124" spans="1:32" ht="11.25" customHeight="1" x14ac:dyDescent="0.3">
      <c r="A124" s="4" t="s">
        <v>21</v>
      </c>
      <c r="B124" s="4" t="s">
        <v>22</v>
      </c>
      <c r="C124" s="4" t="s">
        <v>23</v>
      </c>
      <c r="D124" s="4" t="s">
        <v>24</v>
      </c>
      <c r="E124" s="4" t="s">
        <v>32</v>
      </c>
      <c r="F124" s="4" t="s">
        <v>25</v>
      </c>
      <c r="G124" s="4" t="s">
        <v>25</v>
      </c>
      <c r="H124" s="4" t="s">
        <v>25</v>
      </c>
      <c r="I124" s="5">
        <v>44317</v>
      </c>
      <c r="J124" s="6">
        <v>0</v>
      </c>
      <c r="K124" s="6">
        <v>0</v>
      </c>
      <c r="L124" s="6">
        <v>0.21199999999999999</v>
      </c>
      <c r="M124" s="6">
        <v>0.21199999999999999</v>
      </c>
      <c r="N124" s="6">
        <v>0.21199999999999999</v>
      </c>
      <c r="O124" s="6">
        <v>0.21199999999999999</v>
      </c>
      <c r="P124" s="6">
        <v>4</v>
      </c>
      <c r="Q124" s="4" t="s">
        <v>26</v>
      </c>
      <c r="R124" s="4">
        <v>0</v>
      </c>
      <c r="S124" s="4">
        <v>0</v>
      </c>
      <c r="T124" s="4">
        <v>10</v>
      </c>
      <c r="U124" s="4">
        <v>25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781.93</v>
      </c>
      <c r="X124" s="6">
        <f>IF(ISERROR(VLOOKUP($U$124,'TAR FIN'!$A$1:$O$85,15,0)),0,VLOOKUP($U$124,'TAR FIN'!$A$1:$O$85,15,0))</f>
        <v>240.29</v>
      </c>
      <c r="Y124" s="6"/>
      <c r="Z124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124" s="6">
        <f>('TE BE'!$AA$15+'TE BF'!$AA$15+'TE CVA'!$AA$15)*(1-CUSTOS!$M$37)</f>
        <v>330.73086315618451</v>
      </c>
      <c r="AB124" s="6">
        <f t="shared" si="6"/>
        <v>0</v>
      </c>
      <c r="AC124" s="6">
        <f>(L124-M124)*(W124+X124)+($W$123+$X$123-$W$124-$X$124)*(L124)</f>
        <v>-6.0254023992456494E-15</v>
      </c>
      <c r="AD124" s="6">
        <f t="shared" si="8"/>
        <v>0</v>
      </c>
      <c r="AE124" s="6">
        <f ca="1">(L124-M124)*(Z124+AA124)+($Z$123+$AA$123-$Z$124-$AA$124)*(L124)</f>
        <v>-1.2050804798491299E-14</v>
      </c>
      <c r="AF124" s="4" t="s">
        <v>669</v>
      </c>
    </row>
    <row r="125" spans="1:32" ht="11.25" customHeight="1" x14ac:dyDescent="0.3">
      <c r="A125" s="4" t="s">
        <v>21</v>
      </c>
      <c r="B125" s="4" t="s">
        <v>22</v>
      </c>
      <c r="C125" s="4" t="s">
        <v>23</v>
      </c>
      <c r="D125" s="4" t="s">
        <v>24</v>
      </c>
      <c r="E125" s="4" t="s">
        <v>32</v>
      </c>
      <c r="F125" s="4" t="s">
        <v>25</v>
      </c>
      <c r="G125" s="4" t="s">
        <v>25</v>
      </c>
      <c r="H125" s="4" t="s">
        <v>25</v>
      </c>
      <c r="I125" s="5">
        <v>44348</v>
      </c>
      <c r="J125" s="6">
        <v>0</v>
      </c>
      <c r="K125" s="6">
        <v>0</v>
      </c>
      <c r="L125" s="6">
        <v>0.38800000000000001</v>
      </c>
      <c r="M125" s="6">
        <v>0.38800000000000001</v>
      </c>
      <c r="N125" s="6">
        <v>0.38800000000000001</v>
      </c>
      <c r="O125" s="6">
        <v>0.38800000000000001</v>
      </c>
      <c r="P125" s="6">
        <v>4</v>
      </c>
      <c r="Q125" s="4" t="s">
        <v>26</v>
      </c>
      <c r="R125" s="4">
        <v>0</v>
      </c>
      <c r="S125" s="4">
        <v>0</v>
      </c>
      <c r="T125" s="4">
        <v>10</v>
      </c>
      <c r="U125" s="4">
        <v>25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781.93</v>
      </c>
      <c r="X125" s="6">
        <f>IF(ISERROR(VLOOKUP($U$125,'TAR FIN'!$A$1:$O$85,15,0)),0,VLOOKUP($U$125,'TAR FIN'!$A$1:$O$85,15,0))</f>
        <v>240.29</v>
      </c>
      <c r="Y125" s="6"/>
      <c r="Z125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125" s="6">
        <f>('TE BE'!$AA$15+'TE BF'!$AA$15+'TE CVA'!$AA$15)*(1-CUSTOS!$M$37)</f>
        <v>330.73086315618451</v>
      </c>
      <c r="AB125" s="6">
        <f t="shared" si="6"/>
        <v>0</v>
      </c>
      <c r="AC125" s="6">
        <f>(L125-M125)*(W125+X125)+($W$123+$X$123-$W$125-$X$125)*(L125)</f>
        <v>-1.1027623258996755E-14</v>
      </c>
      <c r="AD125" s="6">
        <f t="shared" si="8"/>
        <v>0</v>
      </c>
      <c r="AE125" s="6">
        <f ca="1">(L125-M125)*(Z125+AA125)+($Z$123+$AA$123-$Z$125-$AA$125)*(L125)</f>
        <v>-2.205524651799351E-14</v>
      </c>
      <c r="AF125" s="4" t="s">
        <v>669</v>
      </c>
    </row>
    <row r="126" spans="1:32" ht="11.25" customHeight="1" x14ac:dyDescent="0.3">
      <c r="A126" s="4" t="s">
        <v>21</v>
      </c>
      <c r="B126" s="4" t="s">
        <v>22</v>
      </c>
      <c r="C126" s="4" t="s">
        <v>23</v>
      </c>
      <c r="D126" s="4" t="s">
        <v>24</v>
      </c>
      <c r="E126" s="4" t="s">
        <v>32</v>
      </c>
      <c r="F126" s="4" t="s">
        <v>25</v>
      </c>
      <c r="G126" s="4" t="s">
        <v>25</v>
      </c>
      <c r="H126" s="4" t="s">
        <v>25</v>
      </c>
      <c r="I126" s="5">
        <v>44378</v>
      </c>
      <c r="J126" s="6">
        <v>0</v>
      </c>
      <c r="K126" s="6">
        <v>0</v>
      </c>
      <c r="L126" s="6">
        <v>0.18</v>
      </c>
      <c r="M126" s="6">
        <v>0.18</v>
      </c>
      <c r="N126" s="6">
        <v>0.18</v>
      </c>
      <c r="O126" s="6">
        <v>0.18</v>
      </c>
      <c r="P126" s="6">
        <v>3</v>
      </c>
      <c r="Q126" s="4" t="s">
        <v>26</v>
      </c>
      <c r="R126" s="4">
        <v>0</v>
      </c>
      <c r="S126" s="4">
        <v>0</v>
      </c>
      <c r="T126" s="4">
        <v>10</v>
      </c>
      <c r="U126" s="4">
        <v>25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781.93</v>
      </c>
      <c r="X126" s="6">
        <f>IF(ISERROR(VLOOKUP($U$126,'TAR FIN'!$A$1:$O$85,15,0)),0,VLOOKUP($U$126,'TAR FIN'!$A$1:$O$85,15,0))</f>
        <v>240.29</v>
      </c>
      <c r="Y126" s="6"/>
      <c r="Z126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126" s="6">
        <f>('TE BE'!$AA$15+'TE BF'!$AA$15+'TE CVA'!$AA$15)*(1-CUSTOS!$M$37)</f>
        <v>330.73086315618451</v>
      </c>
      <c r="AB126" s="6">
        <f t="shared" si="6"/>
        <v>0</v>
      </c>
      <c r="AC126" s="6">
        <f>(L126-M126)*(W126+X126)+($W$123+$X$123-$W$126-$X$126)*(L126)</f>
        <v>-5.1159076974727211E-15</v>
      </c>
      <c r="AD126" s="6">
        <f t="shared" si="8"/>
        <v>0</v>
      </c>
      <c r="AE126" s="6">
        <f ca="1">(L126-M126)*(Z126+AA126)+($Z$123+$AA$123-$Z$126-$AA$126)*(L126)</f>
        <v>-1.0231815394945442E-14</v>
      </c>
      <c r="AF126" s="4" t="s">
        <v>669</v>
      </c>
    </row>
    <row r="127" spans="1:32" ht="11.25" customHeight="1" x14ac:dyDescent="0.3">
      <c r="A127" s="4" t="s">
        <v>21</v>
      </c>
      <c r="B127" s="4" t="s">
        <v>22</v>
      </c>
      <c r="C127" s="4" t="s">
        <v>23</v>
      </c>
      <c r="D127" s="4" t="s">
        <v>24</v>
      </c>
      <c r="E127" s="4" t="s">
        <v>32</v>
      </c>
      <c r="F127" s="4" t="s">
        <v>25</v>
      </c>
      <c r="G127" s="4" t="s">
        <v>25</v>
      </c>
      <c r="H127" s="4" t="s">
        <v>25</v>
      </c>
      <c r="I127" s="5">
        <v>44409</v>
      </c>
      <c r="J127" s="6">
        <v>0</v>
      </c>
      <c r="K127" s="6">
        <v>0</v>
      </c>
      <c r="L127" s="6">
        <v>6.2E-2</v>
      </c>
      <c r="M127" s="6">
        <v>6.2E-2</v>
      </c>
      <c r="N127" s="6">
        <v>6.2E-2</v>
      </c>
      <c r="O127" s="6">
        <v>6.2E-2</v>
      </c>
      <c r="P127" s="6">
        <v>2</v>
      </c>
      <c r="Q127" s="4" t="s">
        <v>26</v>
      </c>
      <c r="R127" s="4">
        <v>0</v>
      </c>
      <c r="S127" s="4">
        <v>0</v>
      </c>
      <c r="T127" s="4">
        <v>10</v>
      </c>
      <c r="U127" s="4">
        <v>25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781.93</v>
      </c>
      <c r="X127" s="6">
        <f>IF(ISERROR(VLOOKUP($U$127,'TAR FIN'!$A$1:$O$85,15,0)),0,VLOOKUP($U$127,'TAR FIN'!$A$1:$O$85,15,0))</f>
        <v>240.29</v>
      </c>
      <c r="Y127" s="6"/>
      <c r="Z127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127" s="6">
        <f>('TE BE'!$AA$15+'TE BF'!$AA$15+'TE CVA'!$AA$15)*(1-CUSTOS!$M$37)</f>
        <v>330.73086315618451</v>
      </c>
      <c r="AB127" s="6">
        <f t="shared" si="6"/>
        <v>0</v>
      </c>
      <c r="AC127" s="6">
        <f>(L127-M127)*(W127+X127)+($W$123+$X$123-$W$127-$X$127)*(L127)</f>
        <v>-1.7621459846850484E-15</v>
      </c>
      <c r="AD127" s="6">
        <f t="shared" si="8"/>
        <v>0</v>
      </c>
      <c r="AE127" s="6">
        <f ca="1">(L127-M127)*(Z127+AA127)+($Z$123+$AA$123-$Z$127-$AA$127)*(L127)</f>
        <v>-3.5242919693700969E-15</v>
      </c>
      <c r="AF127" s="4" t="s">
        <v>669</v>
      </c>
    </row>
    <row r="128" spans="1:32" ht="11.25" customHeight="1" x14ac:dyDescent="0.3">
      <c r="A128" s="4" t="s">
        <v>21</v>
      </c>
      <c r="B128" s="4" t="s">
        <v>22</v>
      </c>
      <c r="C128" s="4" t="s">
        <v>23</v>
      </c>
      <c r="D128" s="4" t="s">
        <v>24</v>
      </c>
      <c r="E128" s="4" t="s">
        <v>32</v>
      </c>
      <c r="F128" s="4" t="s">
        <v>25</v>
      </c>
      <c r="G128" s="4" t="s">
        <v>25</v>
      </c>
      <c r="H128" s="4" t="s">
        <v>25</v>
      </c>
      <c r="I128" s="5">
        <v>44440</v>
      </c>
      <c r="J128" s="6">
        <v>0</v>
      </c>
      <c r="K128" s="6">
        <v>0</v>
      </c>
      <c r="L128" s="6">
        <v>0.153</v>
      </c>
      <c r="M128" s="6">
        <v>0.153</v>
      </c>
      <c r="N128" s="6">
        <v>0.153</v>
      </c>
      <c r="O128" s="6">
        <v>0.153</v>
      </c>
      <c r="P128" s="6">
        <v>4</v>
      </c>
      <c r="Q128" s="4" t="s">
        <v>26</v>
      </c>
      <c r="R128" s="4">
        <v>0</v>
      </c>
      <c r="S128" s="4">
        <v>0</v>
      </c>
      <c r="T128" s="4">
        <v>10</v>
      </c>
      <c r="U128" s="4">
        <v>25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781.93</v>
      </c>
      <c r="X128" s="6">
        <f>IF(ISERROR(VLOOKUP($U$128,'TAR FIN'!$A$1:$O$85,15,0)),0,VLOOKUP($U$128,'TAR FIN'!$A$1:$O$85,15,0))</f>
        <v>240.29</v>
      </c>
      <c r="Y128" s="6"/>
      <c r="Z128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128" s="6">
        <f>('TE BE'!$AA$15+'TE BF'!$AA$15+'TE CVA'!$AA$15)*(1-CUSTOS!$M$37)</f>
        <v>330.73086315618451</v>
      </c>
      <c r="AB128" s="6">
        <f t="shared" si="6"/>
        <v>0</v>
      </c>
      <c r="AC128" s="6">
        <f>(L128-M128)*(W128+X128)+($W$123+$X$123-$W$128-$X$128)*(L128)</f>
        <v>-4.3485215428518131E-15</v>
      </c>
      <c r="AD128" s="6">
        <f t="shared" si="8"/>
        <v>0</v>
      </c>
      <c r="AE128" s="6">
        <f ca="1">(L128-M128)*(Z128+AA128)+($Z$123+$AA$123-$Z$128-$AA$128)*(L128)</f>
        <v>-8.6970430857036261E-15</v>
      </c>
      <c r="AF128" s="4" t="s">
        <v>669</v>
      </c>
    </row>
    <row r="129" spans="1:32" ht="11.25" customHeight="1" x14ac:dyDescent="0.3">
      <c r="A129" s="4" t="s">
        <v>21</v>
      </c>
      <c r="B129" s="4" t="s">
        <v>22</v>
      </c>
      <c r="C129" s="4" t="s">
        <v>23</v>
      </c>
      <c r="D129" s="4" t="s">
        <v>24</v>
      </c>
      <c r="E129" s="4" t="s">
        <v>32</v>
      </c>
      <c r="F129" s="4" t="s">
        <v>25</v>
      </c>
      <c r="G129" s="4" t="s">
        <v>25</v>
      </c>
      <c r="H129" s="4" t="s">
        <v>25</v>
      </c>
      <c r="I129" s="5">
        <v>44470</v>
      </c>
      <c r="J129" s="6">
        <v>0</v>
      </c>
      <c r="K129" s="6">
        <v>0</v>
      </c>
      <c r="L129" s="6">
        <v>0.43</v>
      </c>
      <c r="M129" s="6">
        <v>0.43</v>
      </c>
      <c r="N129" s="6">
        <v>0.43</v>
      </c>
      <c r="O129" s="6">
        <v>0.43</v>
      </c>
      <c r="P129" s="6">
        <v>6</v>
      </c>
      <c r="Q129" s="4" t="s">
        <v>26</v>
      </c>
      <c r="R129" s="4">
        <v>0</v>
      </c>
      <c r="S129" s="4">
        <v>0</v>
      </c>
      <c r="T129" s="4">
        <v>10</v>
      </c>
      <c r="U129" s="4">
        <v>25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781.93</v>
      </c>
      <c r="X129" s="6">
        <f>IF(ISERROR(VLOOKUP($U$129,'TAR FIN'!$A$1:$O$85,15,0)),0,VLOOKUP($U$129,'TAR FIN'!$A$1:$O$85,15,0))</f>
        <v>240.29</v>
      </c>
      <c r="Y129" s="6"/>
      <c r="Z129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129" s="6">
        <f>('TE BE'!$AA$15+'TE BF'!$AA$15+'TE CVA'!$AA$15)*(1-CUSTOS!$M$37)</f>
        <v>330.73086315618451</v>
      </c>
      <c r="AB129" s="6">
        <f t="shared" si="6"/>
        <v>0</v>
      </c>
      <c r="AC129" s="6">
        <f>(L129-M129)*(W129+X129)+($W$123+$X$123-$W$129-$X$129)*(L129)</f>
        <v>-1.2221335055073723E-14</v>
      </c>
      <c r="AD129" s="6">
        <f t="shared" si="8"/>
        <v>0</v>
      </c>
      <c r="AE129" s="6">
        <f ca="1">(L129-M129)*(Z129+AA129)+($Z$123+$AA$123-$Z$129-$AA$129)*(L129)</f>
        <v>-2.4442670110147446E-14</v>
      </c>
      <c r="AF129" s="4" t="s">
        <v>669</v>
      </c>
    </row>
    <row r="130" spans="1:32" ht="11.25" customHeight="1" x14ac:dyDescent="0.3">
      <c r="A130" s="4" t="s">
        <v>21</v>
      </c>
      <c r="B130" s="4" t="s">
        <v>22</v>
      </c>
      <c r="C130" s="4" t="s">
        <v>23</v>
      </c>
      <c r="D130" s="4" t="s">
        <v>24</v>
      </c>
      <c r="E130" s="4" t="s">
        <v>32</v>
      </c>
      <c r="F130" s="4" t="s">
        <v>25</v>
      </c>
      <c r="G130" s="4" t="s">
        <v>25</v>
      </c>
      <c r="H130" s="4" t="s">
        <v>25</v>
      </c>
      <c r="I130" s="5">
        <v>44501</v>
      </c>
      <c r="J130" s="6">
        <v>0</v>
      </c>
      <c r="K130" s="6">
        <v>0</v>
      </c>
      <c r="L130" s="6">
        <v>0.222</v>
      </c>
      <c r="M130" s="6">
        <v>0.222</v>
      </c>
      <c r="N130" s="6">
        <v>0.222</v>
      </c>
      <c r="O130" s="6">
        <v>0.222</v>
      </c>
      <c r="P130" s="6">
        <v>4</v>
      </c>
      <c r="Q130" s="4" t="s">
        <v>26</v>
      </c>
      <c r="R130" s="4">
        <v>0</v>
      </c>
      <c r="S130" s="4">
        <v>0</v>
      </c>
      <c r="T130" s="4">
        <v>10</v>
      </c>
      <c r="U130" s="4">
        <v>25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781.93</v>
      </c>
      <c r="X130" s="6">
        <f>IF(ISERROR(VLOOKUP($U$130,'TAR FIN'!$A$1:$O$85,15,0)),0,VLOOKUP($U$130,'TAR FIN'!$A$1:$O$85,15,0))</f>
        <v>240.29</v>
      </c>
      <c r="Y130" s="6"/>
      <c r="Z130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130" s="6">
        <f>('TE BE'!$AA$15+'TE BF'!$AA$15+'TE CVA'!$AA$15)*(1-CUSTOS!$M$37)</f>
        <v>330.73086315618451</v>
      </c>
      <c r="AB130" s="6">
        <f t="shared" ref="AB130:AB193" si="10">(J130-K130)*V130</f>
        <v>0</v>
      </c>
      <c r="AC130" s="6">
        <f>(L130-M130)*(W130+X130)+($W$123+$X$123-$W$130-$X$130)*(L130)</f>
        <v>-6.3096194935496897E-15</v>
      </c>
      <c r="AD130" s="6">
        <f t="shared" ref="AD130:AD193" si="11">(J130-K130)*Y130</f>
        <v>0</v>
      </c>
      <c r="AE130" s="6">
        <f ca="1">(L130-M130)*(Z130+AA130)+($Z$123+$AA$123-$Z$130-$AA$130)*(L130)</f>
        <v>-1.2619238987099379E-14</v>
      </c>
      <c r="AF130" s="4" t="s">
        <v>669</v>
      </c>
    </row>
    <row r="131" spans="1:32" ht="11.25" customHeight="1" x14ac:dyDescent="0.3">
      <c r="A131" s="4" t="s">
        <v>21</v>
      </c>
      <c r="B131" s="4" t="s">
        <v>22</v>
      </c>
      <c r="C131" s="4" t="s">
        <v>23</v>
      </c>
      <c r="D131" s="4" t="s">
        <v>24</v>
      </c>
      <c r="E131" s="4" t="s">
        <v>32</v>
      </c>
      <c r="F131" s="4" t="s">
        <v>25</v>
      </c>
      <c r="G131" s="4" t="s">
        <v>25</v>
      </c>
      <c r="H131" s="4" t="s">
        <v>25</v>
      </c>
      <c r="I131" s="5">
        <v>44531</v>
      </c>
      <c r="J131" s="6">
        <v>0</v>
      </c>
      <c r="K131" s="6">
        <v>0</v>
      </c>
      <c r="L131" s="6">
        <v>0.36599999999999999</v>
      </c>
      <c r="M131" s="6">
        <v>0.36599999999999999</v>
      </c>
      <c r="N131" s="6">
        <v>0.36599999999999999</v>
      </c>
      <c r="O131" s="6">
        <v>0.36599999999999999</v>
      </c>
      <c r="P131" s="6">
        <v>7</v>
      </c>
      <c r="Q131" s="4" t="s">
        <v>26</v>
      </c>
      <c r="R131" s="4">
        <v>0</v>
      </c>
      <c r="S131" s="4">
        <v>0</v>
      </c>
      <c r="T131" s="4">
        <v>10</v>
      </c>
      <c r="U131" s="4">
        <v>25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781.93</v>
      </c>
      <c r="X131" s="6">
        <f>IF(ISERROR(VLOOKUP($U$131,'TAR FIN'!$A$1:$O$85,15,0)),0,VLOOKUP($U$131,'TAR FIN'!$A$1:$O$85,15,0))</f>
        <v>240.29</v>
      </c>
      <c r="Y131" s="6"/>
      <c r="Z131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131" s="6">
        <f>('TE BE'!$AA$15+'TE BF'!$AA$15+'TE CVA'!$AA$15)*(1-CUSTOS!$M$37)</f>
        <v>330.73086315618451</v>
      </c>
      <c r="AB131" s="6">
        <f t="shared" si="10"/>
        <v>0</v>
      </c>
      <c r="AC131" s="6">
        <f>(L131-M131)*(W131+X131)+($W$123+$X$123-$W$131-$X$131)*(L131)</f>
        <v>-1.0402345651527866E-14</v>
      </c>
      <c r="AD131" s="6">
        <f t="shared" si="11"/>
        <v>0</v>
      </c>
      <c r="AE131" s="6">
        <f ca="1">(L131-M131)*(Z131+AA131)+($Z$123+$AA$123-$Z$131-$AA$131)*(L131)</f>
        <v>-2.0804691303055733E-14</v>
      </c>
      <c r="AF131" s="4" t="s">
        <v>669</v>
      </c>
    </row>
    <row r="132" spans="1:32" ht="11.25" customHeight="1" x14ac:dyDescent="0.3">
      <c r="A132" s="4" t="s">
        <v>21</v>
      </c>
      <c r="B132" s="4" t="s">
        <v>22</v>
      </c>
      <c r="C132" s="4" t="s">
        <v>23</v>
      </c>
      <c r="D132" s="4" t="s">
        <v>24</v>
      </c>
      <c r="E132" s="4" t="s">
        <v>32</v>
      </c>
      <c r="F132" s="4" t="s">
        <v>25</v>
      </c>
      <c r="G132" s="4" t="s">
        <v>25</v>
      </c>
      <c r="H132" s="4" t="s">
        <v>25</v>
      </c>
      <c r="I132" s="5">
        <v>44562</v>
      </c>
      <c r="J132" s="6">
        <v>0</v>
      </c>
      <c r="K132" s="6">
        <v>0</v>
      </c>
      <c r="L132" s="6">
        <v>0.46</v>
      </c>
      <c r="M132" s="6">
        <v>0.46</v>
      </c>
      <c r="N132" s="6">
        <v>0.46</v>
      </c>
      <c r="O132" s="6">
        <v>0.46</v>
      </c>
      <c r="P132" s="6">
        <v>9</v>
      </c>
      <c r="Q132" s="4" t="s">
        <v>26</v>
      </c>
      <c r="R132" s="4">
        <v>0</v>
      </c>
      <c r="S132" s="4">
        <v>0</v>
      </c>
      <c r="T132" s="4">
        <v>10</v>
      </c>
      <c r="U132" s="4">
        <v>25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781.93</v>
      </c>
      <c r="X132" s="6">
        <f>IF(ISERROR(VLOOKUP($U$132,'TAR FIN'!$A$1:$O$85,15,0)),0,VLOOKUP($U$132,'TAR FIN'!$A$1:$O$85,15,0))</f>
        <v>240.29</v>
      </c>
      <c r="Y132" s="6"/>
      <c r="Z132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132" s="6">
        <f>('TE BE'!$AA$15+'TE BF'!$AA$15+'TE CVA'!$AA$15)*(1-CUSTOS!$M$37)</f>
        <v>330.73086315618451</v>
      </c>
      <c r="AB132" s="6">
        <f t="shared" si="10"/>
        <v>0</v>
      </c>
      <c r="AC132" s="6">
        <f>(L132-M132)*(W132+X132)+($W$123+$X$123-$W$132-$X$132)*(L132)</f>
        <v>-1.3073986337985844E-14</v>
      </c>
      <c r="AD132" s="6">
        <f t="shared" si="11"/>
        <v>0</v>
      </c>
      <c r="AE132" s="6">
        <f ca="1">(L132-M132)*(Z132+AA132)+($Z$123+$AA$123-$Z$132-$AA$132)*(L132)</f>
        <v>-2.6147972675971688E-14</v>
      </c>
      <c r="AF132" s="4" t="s">
        <v>669</v>
      </c>
    </row>
    <row r="133" spans="1:32" ht="11.25" customHeight="1" x14ac:dyDescent="0.3">
      <c r="A133" s="4" t="s">
        <v>21</v>
      </c>
      <c r="B133" s="4" t="s">
        <v>22</v>
      </c>
      <c r="C133" s="4" t="s">
        <v>23</v>
      </c>
      <c r="D133" s="4" t="s">
        <v>24</v>
      </c>
      <c r="E133" s="4" t="s">
        <v>32</v>
      </c>
      <c r="F133" s="4" t="s">
        <v>25</v>
      </c>
      <c r="G133" s="4" t="s">
        <v>25</v>
      </c>
      <c r="H133" s="4" t="s">
        <v>25</v>
      </c>
      <c r="I133" s="5">
        <v>44593</v>
      </c>
      <c r="J133" s="6">
        <v>0</v>
      </c>
      <c r="K133" s="6">
        <v>0</v>
      </c>
      <c r="L133" s="6">
        <v>1.0629999999999999</v>
      </c>
      <c r="M133" s="6">
        <v>1.0629999999999999</v>
      </c>
      <c r="N133" s="6">
        <v>1.0629999999999999</v>
      </c>
      <c r="O133" s="6">
        <v>1.0629999999999999</v>
      </c>
      <c r="P133" s="6">
        <v>19</v>
      </c>
      <c r="Q133" s="4" t="s">
        <v>26</v>
      </c>
      <c r="R133" s="4">
        <v>0</v>
      </c>
      <c r="S133" s="4">
        <v>0</v>
      </c>
      <c r="T133" s="4">
        <v>10</v>
      </c>
      <c r="U133" s="4">
        <v>25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781.93</v>
      </c>
      <c r="X133" s="6">
        <f>IF(ISERROR(VLOOKUP($U$133,'TAR FIN'!$A$1:$O$85,15,0)),0,VLOOKUP($U$133,'TAR FIN'!$A$1:$O$85,15,0))</f>
        <v>240.29</v>
      </c>
      <c r="Y133" s="6"/>
      <c r="Z133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133" s="6">
        <f>('TE BE'!$AA$15+'TE BF'!$AA$15+'TE CVA'!$AA$15)*(1-CUSTOS!$M$37)</f>
        <v>330.73086315618451</v>
      </c>
      <c r="AB133" s="6">
        <f t="shared" si="10"/>
        <v>0</v>
      </c>
      <c r="AC133" s="6">
        <f>(L133-M133)*(W133+X133)+($W$123+$X$123-$W$133-$X$133)*(L133)</f>
        <v>-3.0212277124519458E-14</v>
      </c>
      <c r="AD133" s="6">
        <f t="shared" si="11"/>
        <v>0</v>
      </c>
      <c r="AE133" s="6">
        <f ca="1">(L133-M133)*(Z133+AA133)+($Z$123+$AA$123-$Z$133-$AA$133)*(L133)</f>
        <v>-6.0424554249038917E-14</v>
      </c>
      <c r="AF133" s="4" t="s">
        <v>669</v>
      </c>
    </row>
    <row r="134" spans="1:32" ht="11.25" customHeight="1" x14ac:dyDescent="0.3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32</v>
      </c>
      <c r="F134" s="4" t="s">
        <v>25</v>
      </c>
      <c r="G134" s="4" t="s">
        <v>25</v>
      </c>
      <c r="H134" s="4" t="s">
        <v>25</v>
      </c>
      <c r="I134" s="5">
        <v>44621</v>
      </c>
      <c r="J134" s="6">
        <v>0</v>
      </c>
      <c r="K134" s="6">
        <v>0</v>
      </c>
      <c r="L134" s="6">
        <v>4.6040000000000001</v>
      </c>
      <c r="M134" s="6">
        <v>4.6040000000000001</v>
      </c>
      <c r="N134" s="6">
        <v>4.6040000000000001</v>
      </c>
      <c r="O134" s="6">
        <v>4.6040000000000001</v>
      </c>
      <c r="P134" s="6">
        <v>68</v>
      </c>
      <c r="Q134" s="4" t="s">
        <v>26</v>
      </c>
      <c r="R134" s="4">
        <v>0</v>
      </c>
      <c r="S134" s="4">
        <v>0</v>
      </c>
      <c r="T134" s="4">
        <v>10</v>
      </c>
      <c r="U134" s="4">
        <v>25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781.93</v>
      </c>
      <c r="X134" s="6">
        <f>IF(ISERROR(VLOOKUP($U$134,'TAR FIN'!$A$1:$O$85,15,0)),0,VLOOKUP($U$134,'TAR FIN'!$A$1:$O$85,15,0))</f>
        <v>240.29</v>
      </c>
      <c r="Y134" s="6"/>
      <c r="Z134" s="6">
        <f ca="1">('TUSD BE'!$AM$24+'TUSD BF'!$AM$24+'TUSD CVA'!$AM$24-('TUSD BE'!$P$24+'TUSD BF'!$P$24+'TUSD CVA'!$P$24)-('TUSD BE'!$Q$24+'TUSD BF'!$Q$24+'TUSD CVA'!$Q$24)-('TUSD BE'!$R$24+'TUSD BF'!$R$24+'TUSD CVA'!$R$24))*(1-CUSTOS!$M$37)</f>
        <v>860.63923879785705</v>
      </c>
      <c r="AA134" s="6">
        <f>('TE BE'!$AA$15+'TE BF'!$AA$15+'TE CVA'!$AA$15)*(1-CUSTOS!$M$37)</f>
        <v>330.73086315618451</v>
      </c>
      <c r="AB134" s="6">
        <f t="shared" si="10"/>
        <v>0</v>
      </c>
      <c r="AC134" s="6">
        <f>(L134-M134)*(W134+X134)+($W$123+$X$123-$W$134-$X$134)*(L134)</f>
        <v>-1.3085355021758005E-13</v>
      </c>
      <c r="AD134" s="6">
        <f t="shared" si="11"/>
        <v>0</v>
      </c>
      <c r="AE134" s="6">
        <f ca="1">(L134-M134)*(Z134+AA134)+($Z$123+$AA$123-$Z$134-$AA$134)*(L134)</f>
        <v>-2.6170710043516011E-13</v>
      </c>
      <c r="AF134" s="4" t="s">
        <v>669</v>
      </c>
    </row>
    <row r="135" spans="1:32" ht="11.25" customHeight="1" x14ac:dyDescent="0.3">
      <c r="A135" s="4" t="s">
        <v>21</v>
      </c>
      <c r="B135" s="4" t="s">
        <v>43</v>
      </c>
      <c r="C135" s="4" t="s">
        <v>23</v>
      </c>
      <c r="D135" s="4" t="s">
        <v>44</v>
      </c>
      <c r="E135" s="4" t="s">
        <v>52</v>
      </c>
      <c r="F135" s="4" t="s">
        <v>53</v>
      </c>
      <c r="G135" s="4" t="s">
        <v>25</v>
      </c>
      <c r="H135" s="4" t="s">
        <v>25</v>
      </c>
      <c r="I135" s="5">
        <v>44287</v>
      </c>
      <c r="J135" s="6">
        <v>0</v>
      </c>
      <c r="K135" s="6">
        <v>0</v>
      </c>
      <c r="L135" s="6">
        <v>1.222</v>
      </c>
      <c r="M135" s="6">
        <v>1.222</v>
      </c>
      <c r="N135" s="6">
        <v>1.222</v>
      </c>
      <c r="O135" s="6">
        <v>1.222</v>
      </c>
      <c r="P135" s="6">
        <v>0</v>
      </c>
      <c r="Q135" s="4" t="s">
        <v>26</v>
      </c>
      <c r="R135" s="4">
        <v>0</v>
      </c>
      <c r="S135" s="4">
        <v>0</v>
      </c>
      <c r="T135" s="4">
        <v>57</v>
      </c>
      <c r="U135" s="4">
        <v>31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763.29</v>
      </c>
      <c r="X135" s="6">
        <f>IF(ISERROR(VLOOKUP($U$135,'TAR FIN'!$A$1:$O$85,15,0)),0,VLOOKUP($U$135,'TAR FIN'!$A$1:$O$85,15,0))</f>
        <v>211.46</v>
      </c>
      <c r="Y135" s="6"/>
      <c r="Z135" s="6">
        <f ca="1">('TUSD BE'!$AM$33+'TUSD BF'!$AM$33+'TUSD CVA'!$AM$33)*(1-CUSTOS!$M$38)</f>
        <v>923.13389839835577</v>
      </c>
      <c r="AA135" s="6">
        <f>('TE BE'!$AA$24+'TE BF'!$AA$24+'TE CVA'!$AA$24)*(1-CUSTOS!$M$38)</f>
        <v>310.8870113668134</v>
      </c>
      <c r="AB135" s="6">
        <f t="shared" si="10"/>
        <v>0</v>
      </c>
      <c r="AC135" s="6">
        <f>(L135-M135)*(W135+X135)+($W$86+$X$86-$W$135-$X$135)*(L135)</f>
        <v>162.42824000000013</v>
      </c>
      <c r="AD135" s="6">
        <f t="shared" si="11"/>
        <v>0</v>
      </c>
      <c r="AE135" s="6">
        <f ca="1">(L135-M135)*(Z135+AA135)+($Z$86+$AA$86-$Z$135-$AA$135)*(L135)</f>
        <v>96.253630961683243</v>
      </c>
      <c r="AF135" s="4" t="s">
        <v>666</v>
      </c>
    </row>
    <row r="136" spans="1:32" ht="11.25" customHeight="1" x14ac:dyDescent="0.3">
      <c r="A136" s="4" t="s">
        <v>21</v>
      </c>
      <c r="B136" s="4" t="s">
        <v>43</v>
      </c>
      <c r="C136" s="4" t="s">
        <v>23</v>
      </c>
      <c r="D136" s="4" t="s">
        <v>44</v>
      </c>
      <c r="E136" s="4" t="s">
        <v>52</v>
      </c>
      <c r="F136" s="4" t="s">
        <v>53</v>
      </c>
      <c r="G136" s="4" t="s">
        <v>25</v>
      </c>
      <c r="H136" s="4" t="s">
        <v>25</v>
      </c>
      <c r="I136" s="5">
        <v>44317</v>
      </c>
      <c r="J136" s="6">
        <v>0</v>
      </c>
      <c r="K136" s="6">
        <v>0</v>
      </c>
      <c r="L136" s="6">
        <v>0.61199999999999999</v>
      </c>
      <c r="M136" s="6">
        <v>0.61199999999999999</v>
      </c>
      <c r="N136" s="6">
        <v>0.61199999999999999</v>
      </c>
      <c r="O136" s="6">
        <v>0.61199999999999999</v>
      </c>
      <c r="P136" s="6">
        <v>0</v>
      </c>
      <c r="Q136" s="4" t="s">
        <v>26</v>
      </c>
      <c r="R136" s="4">
        <v>0</v>
      </c>
      <c r="S136" s="4">
        <v>0</v>
      </c>
      <c r="T136" s="4">
        <v>57</v>
      </c>
      <c r="U136" s="4">
        <v>31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763.29</v>
      </c>
      <c r="X136" s="6">
        <f>IF(ISERROR(VLOOKUP($U$136,'TAR FIN'!$A$1:$O$85,15,0)),0,VLOOKUP($U$136,'TAR FIN'!$A$1:$O$85,15,0))</f>
        <v>211.46</v>
      </c>
      <c r="Y136" s="6"/>
      <c r="Z136" s="6">
        <f ca="1">('TUSD BE'!$AM$33+'TUSD BF'!$AM$33+'TUSD CVA'!$AM$33)*(1-CUSTOS!$M$38)</f>
        <v>923.13389839835577</v>
      </c>
      <c r="AA136" s="6">
        <f>('TE BE'!$AA$24+'TE BF'!$AA$24+'TE CVA'!$AA$24)*(1-CUSTOS!$M$38)</f>
        <v>310.8870113668134</v>
      </c>
      <c r="AB136" s="6">
        <f t="shared" si="10"/>
        <v>0</v>
      </c>
      <c r="AC136" s="6">
        <f>(L136-M136)*(W136+X136)+($W$86+$X$86-$W$136-$X$136)*(L136)</f>
        <v>81.347040000000064</v>
      </c>
      <c r="AD136" s="6">
        <f t="shared" si="11"/>
        <v>0</v>
      </c>
      <c r="AE136" s="6">
        <f ca="1">(L136-M136)*(Z136+AA136)+($Z$86+$AA$86-$Z$136-$AA$136)*(L136)</f>
        <v>48.205582772954294</v>
      </c>
      <c r="AF136" s="4" t="s">
        <v>666</v>
      </c>
    </row>
    <row r="137" spans="1:32" ht="11.25" customHeight="1" x14ac:dyDescent="0.3">
      <c r="A137" s="4" t="s">
        <v>21</v>
      </c>
      <c r="B137" s="4" t="s">
        <v>43</v>
      </c>
      <c r="C137" s="4" t="s">
        <v>23</v>
      </c>
      <c r="D137" s="4" t="s">
        <v>44</v>
      </c>
      <c r="E137" s="4" t="s">
        <v>52</v>
      </c>
      <c r="F137" s="4" t="s">
        <v>53</v>
      </c>
      <c r="G137" s="4" t="s">
        <v>25</v>
      </c>
      <c r="H137" s="4" t="s">
        <v>25</v>
      </c>
      <c r="I137" s="5">
        <v>44348</v>
      </c>
      <c r="J137" s="6">
        <v>0</v>
      </c>
      <c r="K137" s="6">
        <v>0</v>
      </c>
      <c r="L137" s="6">
        <v>1.256</v>
      </c>
      <c r="M137" s="6">
        <v>1.256</v>
      </c>
      <c r="N137" s="6">
        <v>1.256</v>
      </c>
      <c r="O137" s="6">
        <v>1.256</v>
      </c>
      <c r="P137" s="6">
        <v>0</v>
      </c>
      <c r="Q137" s="4" t="s">
        <v>26</v>
      </c>
      <c r="R137" s="4">
        <v>0</v>
      </c>
      <c r="S137" s="4">
        <v>0</v>
      </c>
      <c r="T137" s="4">
        <v>57</v>
      </c>
      <c r="U137" s="4">
        <v>31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763.29</v>
      </c>
      <c r="X137" s="6">
        <f>IF(ISERROR(VLOOKUP($U$137,'TAR FIN'!$A$1:$O$85,15,0)),0,VLOOKUP($U$137,'TAR FIN'!$A$1:$O$85,15,0))</f>
        <v>211.46</v>
      </c>
      <c r="Y137" s="6"/>
      <c r="Z137" s="6">
        <f ca="1">('TUSD BE'!$AM$33+'TUSD BF'!$AM$33+'TUSD CVA'!$AM$33)*(1-CUSTOS!$M$38)</f>
        <v>923.13389839835577</v>
      </c>
      <c r="AA137" s="6">
        <f>('TE BE'!$AA$24+'TE BF'!$AA$24+'TE CVA'!$AA$24)*(1-CUSTOS!$M$38)</f>
        <v>310.8870113668134</v>
      </c>
      <c r="AB137" s="6">
        <f t="shared" si="10"/>
        <v>0</v>
      </c>
      <c r="AC137" s="6">
        <f>(L137-M137)*(W137+X137)+($W$86+$X$86-$W$137-$X$137)*(L137)</f>
        <v>166.94752000000014</v>
      </c>
      <c r="AD137" s="6">
        <f t="shared" si="11"/>
        <v>0</v>
      </c>
      <c r="AE137" s="6">
        <f ca="1">(L137-M137)*(Z137+AA137)+($Z$86+$AA$86-$Z$137-$AA$137)*(L137)</f>
        <v>98.931718893514045</v>
      </c>
      <c r="AF137" s="4" t="s">
        <v>666</v>
      </c>
    </row>
    <row r="138" spans="1:32" ht="11.25" customHeight="1" x14ac:dyDescent="0.3">
      <c r="A138" s="4" t="s">
        <v>21</v>
      </c>
      <c r="B138" s="4" t="s">
        <v>43</v>
      </c>
      <c r="C138" s="4" t="s">
        <v>23</v>
      </c>
      <c r="D138" s="4" t="s">
        <v>44</v>
      </c>
      <c r="E138" s="4" t="s">
        <v>52</v>
      </c>
      <c r="F138" s="4" t="s">
        <v>53</v>
      </c>
      <c r="G138" s="4" t="s">
        <v>25</v>
      </c>
      <c r="H138" s="4" t="s">
        <v>25</v>
      </c>
      <c r="I138" s="5">
        <v>44378</v>
      </c>
      <c r="J138" s="6">
        <v>0</v>
      </c>
      <c r="K138" s="6">
        <v>0</v>
      </c>
      <c r="L138" s="6">
        <v>1.0760000000000001</v>
      </c>
      <c r="M138" s="6">
        <v>1.0760000000000001</v>
      </c>
      <c r="N138" s="6">
        <v>1.0760000000000001</v>
      </c>
      <c r="O138" s="6">
        <v>1.0760000000000001</v>
      </c>
      <c r="P138" s="6">
        <v>0</v>
      </c>
      <c r="Q138" s="4" t="s">
        <v>26</v>
      </c>
      <c r="R138" s="4">
        <v>0</v>
      </c>
      <c r="S138" s="4">
        <v>0</v>
      </c>
      <c r="T138" s="4">
        <v>57</v>
      </c>
      <c r="U138" s="4">
        <v>31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763.29</v>
      </c>
      <c r="X138" s="6">
        <f>IF(ISERROR(VLOOKUP($U$138,'TAR FIN'!$A$1:$O$85,15,0)),0,VLOOKUP($U$138,'TAR FIN'!$A$1:$O$85,15,0))</f>
        <v>211.46</v>
      </c>
      <c r="Y138" s="6"/>
      <c r="Z138" s="6">
        <f ca="1">('TUSD BE'!$AM$33+'TUSD BF'!$AM$33+'TUSD CVA'!$AM$33)*(1-CUSTOS!$M$38)</f>
        <v>923.13389839835577</v>
      </c>
      <c r="AA138" s="6">
        <f>('TE BE'!$AA$24+'TE BF'!$AA$24+'TE CVA'!$AA$24)*(1-CUSTOS!$M$38)</f>
        <v>310.8870113668134</v>
      </c>
      <c r="AB138" s="6">
        <f t="shared" si="10"/>
        <v>0</v>
      </c>
      <c r="AC138" s="6">
        <f>(L138-M138)*(W138+X138)+($W$86+$X$86-$W$138-$X$138)*(L138)</f>
        <v>143.02192000000011</v>
      </c>
      <c r="AD138" s="6">
        <f t="shared" si="11"/>
        <v>0</v>
      </c>
      <c r="AE138" s="6">
        <f ca="1">(L138-M138)*(Z138+AA138)+($Z$86+$AA$86-$Z$138-$AA$138)*(L138)</f>
        <v>84.753606313233377</v>
      </c>
      <c r="AF138" s="4" t="s">
        <v>666</v>
      </c>
    </row>
    <row r="139" spans="1:32" ht="11.25" customHeight="1" x14ac:dyDescent="0.3">
      <c r="A139" s="4" t="s">
        <v>21</v>
      </c>
      <c r="B139" s="4" t="s">
        <v>43</v>
      </c>
      <c r="C139" s="4" t="s">
        <v>23</v>
      </c>
      <c r="D139" s="4" t="s">
        <v>44</v>
      </c>
      <c r="E139" s="4" t="s">
        <v>52</v>
      </c>
      <c r="F139" s="4" t="s">
        <v>53</v>
      </c>
      <c r="G139" s="4" t="s">
        <v>25</v>
      </c>
      <c r="H139" s="4" t="s">
        <v>25</v>
      </c>
      <c r="I139" s="5">
        <v>44409</v>
      </c>
      <c r="J139" s="6">
        <v>0</v>
      </c>
      <c r="K139" s="6">
        <v>0</v>
      </c>
      <c r="L139" s="6">
        <v>1.0289999999999999</v>
      </c>
      <c r="M139" s="6">
        <v>1.0289999999999999</v>
      </c>
      <c r="N139" s="6">
        <v>1.0289999999999999</v>
      </c>
      <c r="O139" s="6">
        <v>1.0289999999999999</v>
      </c>
      <c r="P139" s="6">
        <v>0</v>
      </c>
      <c r="Q139" s="4" t="s">
        <v>26</v>
      </c>
      <c r="R139" s="4">
        <v>0</v>
      </c>
      <c r="S139" s="4">
        <v>0</v>
      </c>
      <c r="T139" s="4">
        <v>57</v>
      </c>
      <c r="U139" s="4">
        <v>31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763.29</v>
      </c>
      <c r="X139" s="6">
        <f>IF(ISERROR(VLOOKUP($U$139,'TAR FIN'!$A$1:$O$85,15,0)),0,VLOOKUP($U$139,'TAR FIN'!$A$1:$O$85,15,0))</f>
        <v>211.46</v>
      </c>
      <c r="Y139" s="6"/>
      <c r="Z139" s="6">
        <f ca="1">('TUSD BE'!$AM$33+'TUSD BF'!$AM$33+'TUSD CVA'!$AM$33)*(1-CUSTOS!$M$38)</f>
        <v>923.13389839835577</v>
      </c>
      <c r="AA139" s="6">
        <f>('TE BE'!$AA$24+'TE BF'!$AA$24+'TE CVA'!$AA$24)*(1-CUSTOS!$M$38)</f>
        <v>310.8870113668134</v>
      </c>
      <c r="AB139" s="6">
        <f t="shared" si="10"/>
        <v>0</v>
      </c>
      <c r="AC139" s="6">
        <f>(L139-M139)*(W139+X139)+($W$86+$X$86-$W$139-$X$139)*(L139)</f>
        <v>136.7746800000001</v>
      </c>
      <c r="AD139" s="6">
        <f t="shared" si="11"/>
        <v>0</v>
      </c>
      <c r="AE139" s="6">
        <f ca="1">(L139-M139)*(Z139+AA139)+($Z$86+$AA$86-$Z$139-$AA$139)*(L139)</f>
        <v>81.051543583937857</v>
      </c>
      <c r="AF139" s="4" t="s">
        <v>666</v>
      </c>
    </row>
    <row r="140" spans="1:32" ht="11.25" customHeight="1" x14ac:dyDescent="0.3">
      <c r="A140" s="4" t="s">
        <v>21</v>
      </c>
      <c r="B140" s="4" t="s">
        <v>43</v>
      </c>
      <c r="C140" s="4" t="s">
        <v>23</v>
      </c>
      <c r="D140" s="4" t="s">
        <v>44</v>
      </c>
      <c r="E140" s="4" t="s">
        <v>52</v>
      </c>
      <c r="F140" s="4" t="s">
        <v>53</v>
      </c>
      <c r="G140" s="4" t="s">
        <v>25</v>
      </c>
      <c r="H140" s="4" t="s">
        <v>25</v>
      </c>
      <c r="I140" s="5">
        <v>44440</v>
      </c>
      <c r="J140" s="6">
        <v>0</v>
      </c>
      <c r="K140" s="6">
        <v>0</v>
      </c>
      <c r="L140" s="6">
        <v>1.3660000000000001</v>
      </c>
      <c r="M140" s="6">
        <v>1.3660000000000001</v>
      </c>
      <c r="N140" s="6">
        <v>1.3660000000000001</v>
      </c>
      <c r="O140" s="6">
        <v>1.3660000000000001</v>
      </c>
      <c r="P140" s="6">
        <v>0</v>
      </c>
      <c r="Q140" s="4" t="s">
        <v>26</v>
      </c>
      <c r="R140" s="4">
        <v>0</v>
      </c>
      <c r="S140" s="4">
        <v>0</v>
      </c>
      <c r="T140" s="4">
        <v>57</v>
      </c>
      <c r="U140" s="4">
        <v>31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763.29</v>
      </c>
      <c r="X140" s="6">
        <f>IF(ISERROR(VLOOKUP($U$140,'TAR FIN'!$A$1:$O$85,15,0)),0,VLOOKUP($U$140,'TAR FIN'!$A$1:$O$85,15,0))</f>
        <v>211.46</v>
      </c>
      <c r="Y140" s="6"/>
      <c r="Z140" s="6">
        <f ca="1">('TUSD BE'!$AM$33+'TUSD BF'!$AM$33+'TUSD CVA'!$AM$33)*(1-CUSTOS!$M$38)</f>
        <v>923.13389839835577</v>
      </c>
      <c r="AA140" s="6">
        <f>('TE BE'!$AA$24+'TE BF'!$AA$24+'TE CVA'!$AA$24)*(1-CUSTOS!$M$38)</f>
        <v>310.8870113668134</v>
      </c>
      <c r="AB140" s="6">
        <f t="shared" si="10"/>
        <v>0</v>
      </c>
      <c r="AC140" s="6">
        <f>(L140-M140)*(W140+X140)+($W$86+$X$86-$W$140-$X$140)*(L140)</f>
        <v>181.56872000000016</v>
      </c>
      <c r="AD140" s="6">
        <f t="shared" si="11"/>
        <v>0</v>
      </c>
      <c r="AE140" s="6">
        <f ca="1">(L140-M140)*(Z140+AA140)+($Z$86+$AA$86-$Z$140-$AA$140)*(L140)</f>
        <v>107.59612102590781</v>
      </c>
      <c r="AF140" s="4" t="s">
        <v>666</v>
      </c>
    </row>
    <row r="141" spans="1:32" ht="11.25" customHeight="1" x14ac:dyDescent="0.3">
      <c r="A141" s="4" t="s">
        <v>21</v>
      </c>
      <c r="B141" s="4" t="s">
        <v>43</v>
      </c>
      <c r="C141" s="4" t="s">
        <v>23</v>
      </c>
      <c r="D141" s="4" t="s">
        <v>44</v>
      </c>
      <c r="E141" s="4" t="s">
        <v>52</v>
      </c>
      <c r="F141" s="4" t="s">
        <v>53</v>
      </c>
      <c r="G141" s="4" t="s">
        <v>25</v>
      </c>
      <c r="H141" s="4" t="s">
        <v>25</v>
      </c>
      <c r="I141" s="5">
        <v>44470</v>
      </c>
      <c r="J141" s="6">
        <v>0</v>
      </c>
      <c r="K141" s="6">
        <v>0</v>
      </c>
      <c r="L141" s="6">
        <v>1.696</v>
      </c>
      <c r="M141" s="6">
        <v>1.696</v>
      </c>
      <c r="N141" s="6">
        <v>1.696</v>
      </c>
      <c r="O141" s="6">
        <v>1.696</v>
      </c>
      <c r="P141" s="6">
        <v>0</v>
      </c>
      <c r="Q141" s="4" t="s">
        <v>26</v>
      </c>
      <c r="R141" s="4">
        <v>0</v>
      </c>
      <c r="S141" s="4">
        <v>0</v>
      </c>
      <c r="T141" s="4">
        <v>57</v>
      </c>
      <c r="U141" s="4">
        <v>31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763.29</v>
      </c>
      <c r="X141" s="6">
        <f>IF(ISERROR(VLOOKUP($U$141,'TAR FIN'!$A$1:$O$85,15,0)),0,VLOOKUP($U$141,'TAR FIN'!$A$1:$O$85,15,0))</f>
        <v>211.46</v>
      </c>
      <c r="Y141" s="6"/>
      <c r="Z141" s="6">
        <f ca="1">('TUSD BE'!$AM$33+'TUSD BF'!$AM$33+'TUSD CVA'!$AM$33)*(1-CUSTOS!$M$38)</f>
        <v>923.13389839835577</v>
      </c>
      <c r="AA141" s="6">
        <f>('TE BE'!$AA$24+'TE BF'!$AA$24+'TE CVA'!$AA$24)*(1-CUSTOS!$M$38)</f>
        <v>310.8870113668134</v>
      </c>
      <c r="AB141" s="6">
        <f t="shared" si="10"/>
        <v>0</v>
      </c>
      <c r="AC141" s="6">
        <f>(L141-M141)*(W141+X141)+($W$86+$X$86-$W$141-$X$141)*(L141)</f>
        <v>225.43232000000017</v>
      </c>
      <c r="AD141" s="6">
        <f t="shared" si="11"/>
        <v>0</v>
      </c>
      <c r="AE141" s="6">
        <f ca="1">(L141-M141)*(Z141+AA141)+($Z$86+$AA$86-$Z$141-$AA$141)*(L141)</f>
        <v>133.58932742308903</v>
      </c>
      <c r="AF141" s="4" t="s">
        <v>666</v>
      </c>
    </row>
    <row r="142" spans="1:32" ht="11.25" customHeight="1" x14ac:dyDescent="0.3">
      <c r="A142" s="4" t="s">
        <v>21</v>
      </c>
      <c r="B142" s="4" t="s">
        <v>43</v>
      </c>
      <c r="C142" s="4" t="s">
        <v>23</v>
      </c>
      <c r="D142" s="4" t="s">
        <v>44</v>
      </c>
      <c r="E142" s="4" t="s">
        <v>52</v>
      </c>
      <c r="F142" s="4" t="s">
        <v>53</v>
      </c>
      <c r="G142" s="4" t="s">
        <v>25</v>
      </c>
      <c r="H142" s="4" t="s">
        <v>25</v>
      </c>
      <c r="I142" s="5">
        <v>44501</v>
      </c>
      <c r="J142" s="6">
        <v>0</v>
      </c>
      <c r="K142" s="6">
        <v>0</v>
      </c>
      <c r="L142" s="6">
        <v>0.5</v>
      </c>
      <c r="M142" s="6">
        <v>0.5</v>
      </c>
      <c r="N142" s="6">
        <v>0.5</v>
      </c>
      <c r="O142" s="6">
        <v>0.5</v>
      </c>
      <c r="P142" s="6">
        <v>0</v>
      </c>
      <c r="Q142" s="4" t="s">
        <v>26</v>
      </c>
      <c r="R142" s="4">
        <v>0</v>
      </c>
      <c r="S142" s="4">
        <v>0</v>
      </c>
      <c r="T142" s="4">
        <v>57</v>
      </c>
      <c r="U142" s="4">
        <v>31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763.29</v>
      </c>
      <c r="X142" s="6">
        <f>IF(ISERROR(VLOOKUP($U$142,'TAR FIN'!$A$1:$O$85,15,0)),0,VLOOKUP($U$142,'TAR FIN'!$A$1:$O$85,15,0))</f>
        <v>211.46</v>
      </c>
      <c r="Y142" s="6"/>
      <c r="Z142" s="6">
        <f ca="1">('TUSD BE'!$AM$33+'TUSD BF'!$AM$33+'TUSD CVA'!$AM$33)*(1-CUSTOS!$M$38)</f>
        <v>923.13389839835577</v>
      </c>
      <c r="AA142" s="6">
        <f>('TE BE'!$AA$24+'TE BF'!$AA$24+'TE CVA'!$AA$24)*(1-CUSTOS!$M$38)</f>
        <v>310.8870113668134</v>
      </c>
      <c r="AB142" s="6">
        <f t="shared" si="10"/>
        <v>0</v>
      </c>
      <c r="AC142" s="6">
        <f>(L142-M142)*(W142+X142)+($W$86+$X$86-$W$142-$X$142)*(L142)</f>
        <v>66.460000000000051</v>
      </c>
      <c r="AD142" s="6">
        <f t="shared" si="11"/>
        <v>0</v>
      </c>
      <c r="AE142" s="6">
        <f ca="1">(L142-M142)*(Z142+AA142)+($Z$86+$AA$86-$Z$142-$AA$142)*(L142)</f>
        <v>39.383646056335209</v>
      </c>
      <c r="AF142" s="4" t="s">
        <v>666</v>
      </c>
    </row>
    <row r="143" spans="1:32" ht="11.25" customHeight="1" x14ac:dyDescent="0.3">
      <c r="A143" s="4" t="s">
        <v>21</v>
      </c>
      <c r="B143" s="4" t="s">
        <v>43</v>
      </c>
      <c r="C143" s="4" t="s">
        <v>23</v>
      </c>
      <c r="D143" s="4" t="s">
        <v>44</v>
      </c>
      <c r="E143" s="4" t="s">
        <v>52</v>
      </c>
      <c r="F143" s="4" t="s">
        <v>53</v>
      </c>
      <c r="G143" s="4" t="s">
        <v>25</v>
      </c>
      <c r="H143" s="4" t="s">
        <v>25</v>
      </c>
      <c r="I143" s="5">
        <v>44531</v>
      </c>
      <c r="J143" s="6">
        <v>0</v>
      </c>
      <c r="K143" s="6">
        <v>0</v>
      </c>
      <c r="L143" s="6">
        <v>0.373</v>
      </c>
      <c r="M143" s="6">
        <v>0.373</v>
      </c>
      <c r="N143" s="6">
        <v>0.373</v>
      </c>
      <c r="O143" s="6">
        <v>0.373</v>
      </c>
      <c r="P143" s="6">
        <v>0</v>
      </c>
      <c r="Q143" s="4" t="s">
        <v>26</v>
      </c>
      <c r="R143" s="4">
        <v>0</v>
      </c>
      <c r="S143" s="4">
        <v>0</v>
      </c>
      <c r="T143" s="4">
        <v>57</v>
      </c>
      <c r="U143" s="4">
        <v>31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763.29</v>
      </c>
      <c r="X143" s="6">
        <f>IF(ISERROR(VLOOKUP($U$143,'TAR FIN'!$A$1:$O$85,15,0)),0,VLOOKUP($U$143,'TAR FIN'!$A$1:$O$85,15,0))</f>
        <v>211.46</v>
      </c>
      <c r="Y143" s="6"/>
      <c r="Z143" s="6">
        <f ca="1">('TUSD BE'!$AM$33+'TUSD BF'!$AM$33+'TUSD CVA'!$AM$33)*(1-CUSTOS!$M$38)</f>
        <v>923.13389839835577</v>
      </c>
      <c r="AA143" s="6">
        <f>('TE BE'!$AA$24+'TE BF'!$AA$24+'TE CVA'!$AA$24)*(1-CUSTOS!$M$38)</f>
        <v>310.8870113668134</v>
      </c>
      <c r="AB143" s="6">
        <f t="shared" si="10"/>
        <v>0</v>
      </c>
      <c r="AC143" s="6">
        <f>(L143-M143)*(W143+X143)+($W$86+$X$86-$W$143-$X$143)*(L143)</f>
        <v>49.579160000000037</v>
      </c>
      <c r="AD143" s="6">
        <f t="shared" si="11"/>
        <v>0</v>
      </c>
      <c r="AE143" s="6">
        <f ca="1">(L143-M143)*(Z143+AA143)+($Z$86+$AA$86-$Z$143-$AA$143)*(L143)</f>
        <v>29.380199958026065</v>
      </c>
      <c r="AF143" s="4" t="s">
        <v>666</v>
      </c>
    </row>
    <row r="144" spans="1:32" ht="11.25" customHeight="1" x14ac:dyDescent="0.3">
      <c r="A144" s="4" t="s">
        <v>21</v>
      </c>
      <c r="B144" s="4" t="s">
        <v>43</v>
      </c>
      <c r="C144" s="4" t="s">
        <v>23</v>
      </c>
      <c r="D144" s="4" t="s">
        <v>44</v>
      </c>
      <c r="E144" s="4" t="s">
        <v>52</v>
      </c>
      <c r="F144" s="4" t="s">
        <v>53</v>
      </c>
      <c r="G144" s="4" t="s">
        <v>25</v>
      </c>
      <c r="H144" s="4" t="s">
        <v>25</v>
      </c>
      <c r="I144" s="5">
        <v>44562</v>
      </c>
      <c r="J144" s="6">
        <v>0</v>
      </c>
      <c r="K144" s="6">
        <v>0</v>
      </c>
      <c r="L144" s="6">
        <v>0.52100000000000002</v>
      </c>
      <c r="M144" s="6">
        <v>0.52100000000000002</v>
      </c>
      <c r="N144" s="6">
        <v>0.52100000000000002</v>
      </c>
      <c r="O144" s="6">
        <v>0.52100000000000002</v>
      </c>
      <c r="P144" s="6">
        <v>0</v>
      </c>
      <c r="Q144" s="4" t="s">
        <v>26</v>
      </c>
      <c r="R144" s="4">
        <v>0</v>
      </c>
      <c r="S144" s="4">
        <v>0</v>
      </c>
      <c r="T144" s="4">
        <v>57</v>
      </c>
      <c r="U144" s="4">
        <v>31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763.29</v>
      </c>
      <c r="X144" s="6">
        <f>IF(ISERROR(VLOOKUP($U$144,'TAR FIN'!$A$1:$O$85,15,0)),0,VLOOKUP($U$144,'TAR FIN'!$A$1:$O$85,15,0))</f>
        <v>211.46</v>
      </c>
      <c r="Y144" s="6"/>
      <c r="Z144" s="6">
        <f ca="1">('TUSD BE'!$AM$33+'TUSD BF'!$AM$33+'TUSD CVA'!$AM$33)*(1-CUSTOS!$M$38)</f>
        <v>923.13389839835577</v>
      </c>
      <c r="AA144" s="6">
        <f>('TE BE'!$AA$24+'TE BF'!$AA$24+'TE CVA'!$AA$24)*(1-CUSTOS!$M$38)</f>
        <v>310.8870113668134</v>
      </c>
      <c r="AB144" s="6">
        <f t="shared" si="10"/>
        <v>0</v>
      </c>
      <c r="AC144" s="6">
        <f>(L144-M144)*(W144+X144)+($W$86+$X$86-$W$144-$X$144)*(L144)</f>
        <v>69.25132000000005</v>
      </c>
      <c r="AD144" s="6">
        <f t="shared" si="11"/>
        <v>0</v>
      </c>
      <c r="AE144" s="6">
        <f ca="1">(L144-M144)*(Z144+AA144)+($Z$86+$AA$86-$Z$144-$AA$144)*(L144)</f>
        <v>41.037759190701287</v>
      </c>
      <c r="AF144" s="4" t="s">
        <v>666</v>
      </c>
    </row>
    <row r="145" spans="1:32" ht="11.25" customHeight="1" x14ac:dyDescent="0.3">
      <c r="A145" s="4" t="s">
        <v>21</v>
      </c>
      <c r="B145" s="4" t="s">
        <v>43</v>
      </c>
      <c r="C145" s="4" t="s">
        <v>23</v>
      </c>
      <c r="D145" s="4" t="s">
        <v>44</v>
      </c>
      <c r="E145" s="4" t="s">
        <v>52</v>
      </c>
      <c r="F145" s="4" t="s">
        <v>53</v>
      </c>
      <c r="G145" s="4" t="s">
        <v>25</v>
      </c>
      <c r="H145" s="4" t="s">
        <v>25</v>
      </c>
      <c r="I145" s="5">
        <v>44593</v>
      </c>
      <c r="J145" s="6">
        <v>0</v>
      </c>
      <c r="K145" s="6">
        <v>0</v>
      </c>
      <c r="L145" s="6">
        <v>0.45200000000000001</v>
      </c>
      <c r="M145" s="6">
        <v>0.45200000000000001</v>
      </c>
      <c r="N145" s="6">
        <v>0.45200000000000001</v>
      </c>
      <c r="O145" s="6">
        <v>0.45200000000000001</v>
      </c>
      <c r="P145" s="6">
        <v>0</v>
      </c>
      <c r="Q145" s="4" t="s">
        <v>26</v>
      </c>
      <c r="R145" s="4">
        <v>0</v>
      </c>
      <c r="S145" s="4">
        <v>0</v>
      </c>
      <c r="T145" s="4">
        <v>57</v>
      </c>
      <c r="U145" s="4">
        <v>31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763.29</v>
      </c>
      <c r="X145" s="6">
        <f>IF(ISERROR(VLOOKUP($U$145,'TAR FIN'!$A$1:$O$85,15,0)),0,VLOOKUP($U$145,'TAR FIN'!$A$1:$O$85,15,0))</f>
        <v>211.46</v>
      </c>
      <c r="Y145" s="6"/>
      <c r="Z145" s="6">
        <f ca="1">('TUSD BE'!$AM$33+'TUSD BF'!$AM$33+'TUSD CVA'!$AM$33)*(1-CUSTOS!$M$38)</f>
        <v>923.13389839835577</v>
      </c>
      <c r="AA145" s="6">
        <f>('TE BE'!$AA$24+'TE BF'!$AA$24+'TE CVA'!$AA$24)*(1-CUSTOS!$M$38)</f>
        <v>310.8870113668134</v>
      </c>
      <c r="AB145" s="6">
        <f t="shared" si="10"/>
        <v>0</v>
      </c>
      <c r="AC145" s="6">
        <f>(L145-M145)*(W145+X145)+($W$86+$X$86-$W$145-$X$145)*(L145)</f>
        <v>60.079840000000047</v>
      </c>
      <c r="AD145" s="6">
        <f t="shared" si="11"/>
        <v>0</v>
      </c>
      <c r="AE145" s="6">
        <f ca="1">(L145-M145)*(Z145+AA145)+($Z$86+$AA$86-$Z$145-$AA$145)*(L145)</f>
        <v>35.602816034927031</v>
      </c>
      <c r="AF145" s="4" t="s">
        <v>666</v>
      </c>
    </row>
    <row r="146" spans="1:32" ht="11.25" customHeight="1" x14ac:dyDescent="0.3">
      <c r="A146" s="4" t="s">
        <v>21</v>
      </c>
      <c r="B146" s="4" t="s">
        <v>43</v>
      </c>
      <c r="C146" s="4" t="s">
        <v>23</v>
      </c>
      <c r="D146" s="4" t="s">
        <v>44</v>
      </c>
      <c r="E146" s="4" t="s">
        <v>52</v>
      </c>
      <c r="F146" s="4" t="s">
        <v>53</v>
      </c>
      <c r="G146" s="4" t="s">
        <v>25</v>
      </c>
      <c r="H146" s="4" t="s">
        <v>25</v>
      </c>
      <c r="I146" s="5">
        <v>44621</v>
      </c>
      <c r="J146" s="6">
        <v>0</v>
      </c>
      <c r="K146" s="6">
        <v>0</v>
      </c>
      <c r="L146" s="6">
        <v>0.59499999999999997</v>
      </c>
      <c r="M146" s="6">
        <v>0.59499999999999997</v>
      </c>
      <c r="N146" s="6">
        <v>0.59499999999999997</v>
      </c>
      <c r="O146" s="6">
        <v>0.59499999999999997</v>
      </c>
      <c r="P146" s="6">
        <v>0</v>
      </c>
      <c r="Q146" s="4" t="s">
        <v>26</v>
      </c>
      <c r="R146" s="4">
        <v>0</v>
      </c>
      <c r="S146" s="4">
        <v>0</v>
      </c>
      <c r="T146" s="4">
        <v>57</v>
      </c>
      <c r="U146" s="4">
        <v>31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763.29</v>
      </c>
      <c r="X146" s="6">
        <f>IF(ISERROR(VLOOKUP($U$146,'TAR FIN'!$A$1:$O$85,15,0)),0,VLOOKUP($U$146,'TAR FIN'!$A$1:$O$85,15,0))</f>
        <v>211.46</v>
      </c>
      <c r="Y146" s="6"/>
      <c r="Z146" s="6">
        <f ca="1">('TUSD BE'!$AM$33+'TUSD BF'!$AM$33+'TUSD CVA'!$AM$33)*(1-CUSTOS!$M$38)</f>
        <v>923.13389839835577</v>
      </c>
      <c r="AA146" s="6">
        <f>('TE BE'!$AA$24+'TE BF'!$AA$24+'TE CVA'!$AA$24)*(1-CUSTOS!$M$38)</f>
        <v>310.8870113668134</v>
      </c>
      <c r="AB146" s="6">
        <f t="shared" si="10"/>
        <v>0</v>
      </c>
      <c r="AC146" s="6">
        <f>(L146-M146)*(W146+X146)+($W$86+$X$86-$W$146-$X$146)*(L146)</f>
        <v>79.087400000000059</v>
      </c>
      <c r="AD146" s="6">
        <f t="shared" si="11"/>
        <v>0</v>
      </c>
      <c r="AE146" s="6">
        <f ca="1">(L146-M146)*(Z146+AA146)+($Z$86+$AA$86-$Z$146-$AA$146)*(L146)</f>
        <v>46.8665388070389</v>
      </c>
      <c r="AF146" s="4" t="s">
        <v>666</v>
      </c>
    </row>
    <row r="147" spans="1:32" ht="11.25" customHeight="1" x14ac:dyDescent="0.3">
      <c r="A147" s="4" t="s">
        <v>21</v>
      </c>
      <c r="B147" s="4" t="s">
        <v>43</v>
      </c>
      <c r="C147" s="4" t="s">
        <v>23</v>
      </c>
      <c r="D147" s="4" t="s">
        <v>44</v>
      </c>
      <c r="E147" s="4" t="s">
        <v>52</v>
      </c>
      <c r="F147" s="4" t="s">
        <v>54</v>
      </c>
      <c r="G147" s="4" t="s">
        <v>25</v>
      </c>
      <c r="H147" s="4" t="s">
        <v>25</v>
      </c>
      <c r="I147" s="5">
        <v>44287</v>
      </c>
      <c r="J147" s="6">
        <v>0</v>
      </c>
      <c r="K147" s="6">
        <v>0</v>
      </c>
      <c r="L147" s="6">
        <v>0.125</v>
      </c>
      <c r="M147" s="6">
        <v>0.05</v>
      </c>
      <c r="N147" s="6">
        <v>0.125</v>
      </c>
      <c r="O147" s="6">
        <v>0.05</v>
      </c>
      <c r="P147" s="6">
        <v>0</v>
      </c>
      <c r="Q147" s="4" t="s">
        <v>26</v>
      </c>
      <c r="R147" s="4">
        <v>0</v>
      </c>
      <c r="S147" s="4">
        <v>0</v>
      </c>
      <c r="T147" s="4">
        <v>57</v>
      </c>
      <c r="U147" s="4">
        <v>31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763.29</v>
      </c>
      <c r="X147" s="6">
        <f>IF(ISERROR(VLOOKUP($U$147,'TAR FIN'!$A$1:$O$85,15,0)),0,VLOOKUP($U$147,'TAR FIN'!$A$1:$O$85,15,0))</f>
        <v>211.46</v>
      </c>
      <c r="Y147" s="6"/>
      <c r="Z147" s="6">
        <f ca="1">('TUSD BE'!$AM$33+'TUSD BF'!$AM$33+'TUSD CVA'!$AM$33)*(1-CUSTOS!$M$38)</f>
        <v>923.13389839835577</v>
      </c>
      <c r="AA147" s="6">
        <f>('TE BE'!$AA$24+'TE BF'!$AA$24+'TE CVA'!$AA$24)*(1-CUSTOS!$M$38)</f>
        <v>310.8870113668134</v>
      </c>
      <c r="AB147" s="6">
        <f t="shared" si="10"/>
        <v>0</v>
      </c>
      <c r="AC147" s="6">
        <f>(L147-M147)*(W147+X147)+($W$86+$X$86-$W$147-$X$147)*(L147)</f>
        <v>89.721250000000012</v>
      </c>
      <c r="AD147" s="6">
        <f t="shared" si="11"/>
        <v>0</v>
      </c>
      <c r="AE147" s="6">
        <f ca="1">(L147-M147)*(Z147+AA147)+($Z$86+$AA$86-$Z$147-$AA$147)*(L147)</f>
        <v>102.39747974647148</v>
      </c>
      <c r="AF147" s="4" t="s">
        <v>667</v>
      </c>
    </row>
    <row r="148" spans="1:32" ht="11.25" customHeight="1" x14ac:dyDescent="0.3">
      <c r="A148" s="4" t="s">
        <v>21</v>
      </c>
      <c r="B148" s="4" t="s">
        <v>43</v>
      </c>
      <c r="C148" s="4" t="s">
        <v>23</v>
      </c>
      <c r="D148" s="4" t="s">
        <v>44</v>
      </c>
      <c r="E148" s="4" t="s">
        <v>52</v>
      </c>
      <c r="F148" s="4" t="s">
        <v>54</v>
      </c>
      <c r="G148" s="4" t="s">
        <v>25</v>
      </c>
      <c r="H148" s="4" t="s">
        <v>25</v>
      </c>
      <c r="I148" s="5">
        <v>44317</v>
      </c>
      <c r="J148" s="6">
        <v>0</v>
      </c>
      <c r="K148" s="6">
        <v>0</v>
      </c>
      <c r="L148" s="6">
        <v>0.152</v>
      </c>
      <c r="M148" s="6">
        <v>6.08E-2</v>
      </c>
      <c r="N148" s="6">
        <v>0.152</v>
      </c>
      <c r="O148" s="6">
        <v>6.08E-2</v>
      </c>
      <c r="P148" s="6">
        <v>0</v>
      </c>
      <c r="Q148" s="4" t="s">
        <v>26</v>
      </c>
      <c r="R148" s="4">
        <v>0</v>
      </c>
      <c r="S148" s="4">
        <v>0</v>
      </c>
      <c r="T148" s="4">
        <v>57</v>
      </c>
      <c r="U148" s="4">
        <v>31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763.29</v>
      </c>
      <c r="X148" s="6">
        <f>IF(ISERROR(VLOOKUP($U$148,'TAR FIN'!$A$1:$O$85,15,0)),0,VLOOKUP($U$148,'TAR FIN'!$A$1:$O$85,15,0))</f>
        <v>211.46</v>
      </c>
      <c r="Y148" s="6"/>
      <c r="Z148" s="6">
        <f ca="1">('TUSD BE'!$AM$33+'TUSD BF'!$AM$33+'TUSD CVA'!$AM$33)*(1-CUSTOS!$M$38)</f>
        <v>923.13389839835577</v>
      </c>
      <c r="AA148" s="6">
        <f>('TE BE'!$AA$24+'TE BF'!$AA$24+'TE CVA'!$AA$24)*(1-CUSTOS!$M$38)</f>
        <v>310.8870113668134</v>
      </c>
      <c r="AB148" s="6">
        <f t="shared" si="10"/>
        <v>0</v>
      </c>
      <c r="AC148" s="6">
        <f>(L148-M148)*(W148+X148)+($W$86+$X$86-$W$148-$X$148)*(L148)</f>
        <v>109.10104000000001</v>
      </c>
      <c r="AD148" s="6">
        <f t="shared" si="11"/>
        <v>0</v>
      </c>
      <c r="AE148" s="6">
        <f ca="1">(L148-M148)*(Z148+AA148)+($Z$86+$AA$86-$Z$148-$AA$148)*(L148)</f>
        <v>124.51533537170933</v>
      </c>
      <c r="AF148" s="4" t="s">
        <v>667</v>
      </c>
    </row>
    <row r="149" spans="1:32" ht="11.25" customHeight="1" x14ac:dyDescent="0.3">
      <c r="A149" s="4" t="s">
        <v>21</v>
      </c>
      <c r="B149" s="4" t="s">
        <v>43</v>
      </c>
      <c r="C149" s="4" t="s">
        <v>23</v>
      </c>
      <c r="D149" s="4" t="s">
        <v>44</v>
      </c>
      <c r="E149" s="4" t="s">
        <v>52</v>
      </c>
      <c r="F149" s="4" t="s">
        <v>54</v>
      </c>
      <c r="G149" s="4" t="s">
        <v>25</v>
      </c>
      <c r="H149" s="4" t="s">
        <v>25</v>
      </c>
      <c r="I149" s="5">
        <v>44348</v>
      </c>
      <c r="J149" s="6">
        <v>0</v>
      </c>
      <c r="K149" s="6">
        <v>0</v>
      </c>
      <c r="L149" s="6">
        <v>4.0000000000000001E-3</v>
      </c>
      <c r="M149" s="6">
        <v>1.6000000000000001E-3</v>
      </c>
      <c r="N149" s="6">
        <v>4.0000000000000001E-3</v>
      </c>
      <c r="O149" s="6">
        <v>1.6000000000000001E-3</v>
      </c>
      <c r="P149" s="6">
        <v>0</v>
      </c>
      <c r="Q149" s="4" t="s">
        <v>26</v>
      </c>
      <c r="R149" s="4">
        <v>0</v>
      </c>
      <c r="S149" s="4">
        <v>0</v>
      </c>
      <c r="T149" s="4">
        <v>57</v>
      </c>
      <c r="U149" s="4">
        <v>31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763.29</v>
      </c>
      <c r="X149" s="6">
        <f>IF(ISERROR(VLOOKUP($U$149,'TAR FIN'!$A$1:$O$85,15,0)),0,VLOOKUP($U$149,'TAR FIN'!$A$1:$O$85,15,0))</f>
        <v>211.46</v>
      </c>
      <c r="Y149" s="6"/>
      <c r="Z149" s="6">
        <f ca="1">('TUSD BE'!$AM$33+'TUSD BF'!$AM$33+'TUSD CVA'!$AM$33)*(1-CUSTOS!$M$38)</f>
        <v>923.13389839835577</v>
      </c>
      <c r="AA149" s="6">
        <f>('TE BE'!$AA$24+'TE BF'!$AA$24+'TE CVA'!$AA$24)*(1-CUSTOS!$M$38)</f>
        <v>310.8870113668134</v>
      </c>
      <c r="AB149" s="6">
        <f t="shared" si="10"/>
        <v>0</v>
      </c>
      <c r="AC149" s="6">
        <f>(L149-M149)*(W149+X149)+($W$86+$X$86-$W$149-$X$149)*(L149)</f>
        <v>2.871080000000001</v>
      </c>
      <c r="AD149" s="6">
        <f t="shared" si="11"/>
        <v>0</v>
      </c>
      <c r="AE149" s="6">
        <f ca="1">(L149-M149)*(Z149+AA149)+($Z$86+$AA$86-$Z$149-$AA$149)*(L149)</f>
        <v>3.2767193518870878</v>
      </c>
      <c r="AF149" s="4" t="s">
        <v>667</v>
      </c>
    </row>
    <row r="150" spans="1:32" ht="11.25" customHeight="1" x14ac:dyDescent="0.3">
      <c r="A150" s="4" t="s">
        <v>21</v>
      </c>
      <c r="B150" s="4" t="s">
        <v>43</v>
      </c>
      <c r="C150" s="4" t="s">
        <v>23</v>
      </c>
      <c r="D150" s="4" t="s">
        <v>44</v>
      </c>
      <c r="E150" s="4" t="s">
        <v>52</v>
      </c>
      <c r="F150" s="4" t="s">
        <v>54</v>
      </c>
      <c r="G150" s="4" t="s">
        <v>25</v>
      </c>
      <c r="H150" s="4" t="s">
        <v>25</v>
      </c>
      <c r="I150" s="5">
        <v>44378</v>
      </c>
      <c r="J150" s="6">
        <v>0</v>
      </c>
      <c r="K150" s="6">
        <v>0</v>
      </c>
      <c r="L150" s="6">
        <v>3.0000000000000001E-3</v>
      </c>
      <c r="M150" s="6">
        <v>1.1999999999999999E-3</v>
      </c>
      <c r="N150" s="6">
        <v>3.0000000000000001E-3</v>
      </c>
      <c r="O150" s="6">
        <v>1.1999999999999999E-3</v>
      </c>
      <c r="P150" s="6">
        <v>0</v>
      </c>
      <c r="Q150" s="4" t="s">
        <v>26</v>
      </c>
      <c r="R150" s="4">
        <v>0</v>
      </c>
      <c r="S150" s="4">
        <v>0</v>
      </c>
      <c r="T150" s="4">
        <v>57</v>
      </c>
      <c r="U150" s="4">
        <v>31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763.29</v>
      </c>
      <c r="X150" s="6">
        <f>IF(ISERROR(VLOOKUP($U$150,'TAR FIN'!$A$1:$O$85,15,0)),0,VLOOKUP($U$150,'TAR FIN'!$A$1:$O$85,15,0))</f>
        <v>211.46</v>
      </c>
      <c r="Y150" s="6"/>
      <c r="Z150" s="6">
        <f ca="1">('TUSD BE'!$AM$33+'TUSD BF'!$AM$33+'TUSD CVA'!$AM$33)*(1-CUSTOS!$M$38)</f>
        <v>923.13389839835577</v>
      </c>
      <c r="AA150" s="6">
        <f>('TE BE'!$AA$24+'TE BF'!$AA$24+'TE CVA'!$AA$24)*(1-CUSTOS!$M$38)</f>
        <v>310.8870113668134</v>
      </c>
      <c r="AB150" s="6">
        <f t="shared" si="10"/>
        <v>0</v>
      </c>
      <c r="AC150" s="6">
        <f>(L150-M150)*(W150+X150)+($W$86+$X$86-$W$150-$X$150)*(L150)</f>
        <v>2.1533100000000003</v>
      </c>
      <c r="AD150" s="6">
        <f t="shared" si="11"/>
        <v>0</v>
      </c>
      <c r="AE150" s="6">
        <f ca="1">(L150-M150)*(Z150+AA150)+($Z$86+$AA$86-$Z$150-$AA$150)*(L150)</f>
        <v>2.4575395139153158</v>
      </c>
      <c r="AF150" s="4" t="s">
        <v>667</v>
      </c>
    </row>
    <row r="151" spans="1:32" ht="11.25" customHeight="1" x14ac:dyDescent="0.3">
      <c r="A151" s="4" t="s">
        <v>21</v>
      </c>
      <c r="B151" s="4" t="s">
        <v>43</v>
      </c>
      <c r="C151" s="4" t="s">
        <v>23</v>
      </c>
      <c r="D151" s="4" t="s">
        <v>44</v>
      </c>
      <c r="E151" s="4" t="s">
        <v>52</v>
      </c>
      <c r="F151" s="4" t="s">
        <v>54</v>
      </c>
      <c r="G151" s="4" t="s">
        <v>25</v>
      </c>
      <c r="H151" s="4" t="s">
        <v>25</v>
      </c>
      <c r="I151" s="5">
        <v>44409</v>
      </c>
      <c r="J151" s="6">
        <v>0</v>
      </c>
      <c r="K151" s="6">
        <v>0</v>
      </c>
      <c r="L151" s="6">
        <v>0.23799999999999999</v>
      </c>
      <c r="M151" s="6">
        <v>9.5200000000000007E-2</v>
      </c>
      <c r="N151" s="6">
        <v>0.23799999999999999</v>
      </c>
      <c r="O151" s="6">
        <v>9.5200000000000007E-2</v>
      </c>
      <c r="P151" s="6">
        <v>0</v>
      </c>
      <c r="Q151" s="4" t="s">
        <v>26</v>
      </c>
      <c r="R151" s="4">
        <v>0</v>
      </c>
      <c r="S151" s="4">
        <v>0</v>
      </c>
      <c r="T151" s="4">
        <v>57</v>
      </c>
      <c r="U151" s="4">
        <v>31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763.29</v>
      </c>
      <c r="X151" s="6">
        <f>IF(ISERROR(VLOOKUP($U$151,'TAR FIN'!$A$1:$O$85,15,0)),0,VLOOKUP($U$151,'TAR FIN'!$A$1:$O$85,15,0))</f>
        <v>211.46</v>
      </c>
      <c r="Y151" s="6"/>
      <c r="Z151" s="6">
        <f ca="1">('TUSD BE'!$AM$33+'TUSD BF'!$AM$33+'TUSD CVA'!$AM$33)*(1-CUSTOS!$M$38)</f>
        <v>923.13389839835577</v>
      </c>
      <c r="AA151" s="6">
        <f>('TE BE'!$AA$24+'TE BF'!$AA$24+'TE CVA'!$AA$24)*(1-CUSTOS!$M$38)</f>
        <v>310.8870113668134</v>
      </c>
      <c r="AB151" s="6">
        <f t="shared" si="10"/>
        <v>0</v>
      </c>
      <c r="AC151" s="6">
        <f>(L151-M151)*(W151+X151)+($W$86+$X$86-$W$151-$X$151)*(L151)</f>
        <v>170.82926</v>
      </c>
      <c r="AD151" s="6">
        <f t="shared" si="11"/>
        <v>0</v>
      </c>
      <c r="AE151" s="6">
        <f ca="1">(L151-M151)*(Z151+AA151)+($Z$86+$AA$86-$Z$151-$AA$151)*(L151)</f>
        <v>194.96480143728166</v>
      </c>
      <c r="AF151" s="4" t="s">
        <v>667</v>
      </c>
    </row>
    <row r="152" spans="1:32" ht="11.25" customHeight="1" x14ac:dyDescent="0.3">
      <c r="A152" s="4" t="s">
        <v>21</v>
      </c>
      <c r="B152" s="4" t="s">
        <v>43</v>
      </c>
      <c r="C152" s="4" t="s">
        <v>23</v>
      </c>
      <c r="D152" s="4" t="s">
        <v>44</v>
      </c>
      <c r="E152" s="4" t="s">
        <v>52</v>
      </c>
      <c r="F152" s="4" t="s">
        <v>54</v>
      </c>
      <c r="G152" s="4" t="s">
        <v>25</v>
      </c>
      <c r="H152" s="4" t="s">
        <v>25</v>
      </c>
      <c r="I152" s="5">
        <v>44440</v>
      </c>
      <c r="J152" s="6">
        <v>0</v>
      </c>
      <c r="K152" s="6">
        <v>0</v>
      </c>
      <c r="L152" s="6">
        <v>2.9000000000000001E-2</v>
      </c>
      <c r="M152" s="6">
        <v>1.1599999999999999E-2</v>
      </c>
      <c r="N152" s="6">
        <v>2.9000000000000001E-2</v>
      </c>
      <c r="O152" s="6">
        <v>1.1599999999999999E-2</v>
      </c>
      <c r="P152" s="6">
        <v>0</v>
      </c>
      <c r="Q152" s="4" t="s">
        <v>26</v>
      </c>
      <c r="R152" s="4">
        <v>0</v>
      </c>
      <c r="S152" s="4">
        <v>0</v>
      </c>
      <c r="T152" s="4">
        <v>57</v>
      </c>
      <c r="U152" s="4">
        <v>31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763.29</v>
      </c>
      <c r="X152" s="6">
        <f>IF(ISERROR(VLOOKUP($U$152,'TAR FIN'!$A$1:$O$85,15,0)),0,VLOOKUP($U$152,'TAR FIN'!$A$1:$O$85,15,0))</f>
        <v>211.46</v>
      </c>
      <c r="Y152" s="6"/>
      <c r="Z152" s="6">
        <f ca="1">('TUSD BE'!$AM$33+'TUSD BF'!$AM$33+'TUSD CVA'!$AM$33)*(1-CUSTOS!$M$38)</f>
        <v>923.13389839835577</v>
      </c>
      <c r="AA152" s="6">
        <f>('TE BE'!$AA$24+'TE BF'!$AA$24+'TE CVA'!$AA$24)*(1-CUSTOS!$M$38)</f>
        <v>310.8870113668134</v>
      </c>
      <c r="AB152" s="6">
        <f t="shared" si="10"/>
        <v>0</v>
      </c>
      <c r="AC152" s="6">
        <f>(L152-M152)*(W152+X152)+($W$86+$X$86-$W$152-$X$152)*(L152)</f>
        <v>20.815330000000003</v>
      </c>
      <c r="AD152" s="6">
        <f t="shared" si="11"/>
        <v>0</v>
      </c>
      <c r="AE152" s="6">
        <f ca="1">(L152-M152)*(Z152+AA152)+($Z$86+$AA$86-$Z$152-$AA$152)*(L152)</f>
        <v>23.756215301181388</v>
      </c>
      <c r="AF152" s="4" t="s">
        <v>667</v>
      </c>
    </row>
    <row r="153" spans="1:32" ht="11.25" customHeight="1" x14ac:dyDescent="0.3">
      <c r="A153" s="4" t="s">
        <v>21</v>
      </c>
      <c r="B153" s="4" t="s">
        <v>43</v>
      </c>
      <c r="C153" s="4" t="s">
        <v>23</v>
      </c>
      <c r="D153" s="4" t="s">
        <v>44</v>
      </c>
      <c r="E153" s="4" t="s">
        <v>52</v>
      </c>
      <c r="F153" s="4" t="s">
        <v>54</v>
      </c>
      <c r="G153" s="4" t="s">
        <v>25</v>
      </c>
      <c r="H153" s="4" t="s">
        <v>25</v>
      </c>
      <c r="I153" s="5">
        <v>44470</v>
      </c>
      <c r="J153" s="6">
        <v>0</v>
      </c>
      <c r="K153" s="6">
        <v>0</v>
      </c>
      <c r="L153" s="6">
        <v>5.8999999999999997E-2</v>
      </c>
      <c r="M153" s="6">
        <v>2.3599999999999999E-2</v>
      </c>
      <c r="N153" s="6">
        <v>5.8999999999999997E-2</v>
      </c>
      <c r="O153" s="6">
        <v>2.3599999999999999E-2</v>
      </c>
      <c r="P153" s="6">
        <v>0</v>
      </c>
      <c r="Q153" s="4" t="s">
        <v>26</v>
      </c>
      <c r="R153" s="4">
        <v>0</v>
      </c>
      <c r="S153" s="4">
        <v>0</v>
      </c>
      <c r="T153" s="4">
        <v>57</v>
      </c>
      <c r="U153" s="4">
        <v>31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763.29</v>
      </c>
      <c r="X153" s="6">
        <f>IF(ISERROR(VLOOKUP($U$153,'TAR FIN'!$A$1:$O$85,15,0)),0,VLOOKUP($U$153,'TAR FIN'!$A$1:$O$85,15,0))</f>
        <v>211.46</v>
      </c>
      <c r="Y153" s="6"/>
      <c r="Z153" s="6">
        <f ca="1">('TUSD BE'!$AM$33+'TUSD BF'!$AM$33+'TUSD CVA'!$AM$33)*(1-CUSTOS!$M$38)</f>
        <v>923.13389839835577</v>
      </c>
      <c r="AA153" s="6">
        <f>('TE BE'!$AA$24+'TE BF'!$AA$24+'TE CVA'!$AA$24)*(1-CUSTOS!$M$38)</f>
        <v>310.8870113668134</v>
      </c>
      <c r="AB153" s="6">
        <f t="shared" si="10"/>
        <v>0</v>
      </c>
      <c r="AC153" s="6">
        <f>(L153-M153)*(W153+X153)+($W$86+$X$86-$W$153-$X$153)*(L153)</f>
        <v>42.348430000000008</v>
      </c>
      <c r="AD153" s="6">
        <f t="shared" si="11"/>
        <v>0</v>
      </c>
      <c r="AE153" s="6">
        <f ca="1">(L153-M153)*(Z153+AA153)+($Z$86+$AA$86-$Z$153-$AA$153)*(L153)</f>
        <v>48.331610440334543</v>
      </c>
      <c r="AF153" s="4" t="s">
        <v>667</v>
      </c>
    </row>
    <row r="154" spans="1:32" ht="11.25" customHeight="1" x14ac:dyDescent="0.3">
      <c r="A154" s="4" t="s">
        <v>21</v>
      </c>
      <c r="B154" s="4" t="s">
        <v>43</v>
      </c>
      <c r="C154" s="4" t="s">
        <v>23</v>
      </c>
      <c r="D154" s="4" t="s">
        <v>44</v>
      </c>
      <c r="E154" s="4" t="s">
        <v>52</v>
      </c>
      <c r="F154" s="4" t="s">
        <v>54</v>
      </c>
      <c r="G154" s="4" t="s">
        <v>25</v>
      </c>
      <c r="H154" s="4" t="s">
        <v>25</v>
      </c>
      <c r="I154" s="5">
        <v>44531</v>
      </c>
      <c r="J154" s="6">
        <v>0</v>
      </c>
      <c r="K154" s="6">
        <v>0</v>
      </c>
      <c r="L154" s="6">
        <v>0.621</v>
      </c>
      <c r="M154" s="6">
        <v>0.24840000000000001</v>
      </c>
      <c r="N154" s="6">
        <v>0.621</v>
      </c>
      <c r="O154" s="6">
        <v>0.24840000000000001</v>
      </c>
      <c r="P154" s="6">
        <v>0</v>
      </c>
      <c r="Q154" s="4" t="s">
        <v>26</v>
      </c>
      <c r="R154" s="4">
        <v>0</v>
      </c>
      <c r="S154" s="4">
        <v>0</v>
      </c>
      <c r="T154" s="4">
        <v>57</v>
      </c>
      <c r="U154" s="4">
        <v>31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763.29</v>
      </c>
      <c r="X154" s="6">
        <f>IF(ISERROR(VLOOKUP($U$154,'TAR FIN'!$A$1:$O$85,15,0)),0,VLOOKUP($U$154,'TAR FIN'!$A$1:$O$85,15,0))</f>
        <v>211.46</v>
      </c>
      <c r="Y154" s="6"/>
      <c r="Z154" s="6">
        <f ca="1">('TUSD BE'!$AM$33+'TUSD BF'!$AM$33+'TUSD CVA'!$AM$33)*(1-CUSTOS!$M$38)</f>
        <v>923.13389839835577</v>
      </c>
      <c r="AA154" s="6">
        <f>('TE BE'!$AA$24+'TE BF'!$AA$24+'TE CVA'!$AA$24)*(1-CUSTOS!$M$38)</f>
        <v>310.8870113668134</v>
      </c>
      <c r="AB154" s="6">
        <f t="shared" si="10"/>
        <v>0</v>
      </c>
      <c r="AC154" s="6">
        <f>(L154-M154)*(W154+X154)+($W$86+$X$86-$W$154-$X$154)*(L154)</f>
        <v>445.73517000000004</v>
      </c>
      <c r="AD154" s="6">
        <f t="shared" si="11"/>
        <v>0</v>
      </c>
      <c r="AE154" s="6">
        <f ca="1">(L154-M154)*(Z154+AA154)+($Z$86+$AA$86-$Z$154-$AA$154)*(L154)</f>
        <v>508.71067938047031</v>
      </c>
      <c r="AF154" s="4" t="s">
        <v>667</v>
      </c>
    </row>
    <row r="155" spans="1:32" ht="11.25" customHeight="1" x14ac:dyDescent="0.3">
      <c r="A155" s="4" t="s">
        <v>21</v>
      </c>
      <c r="B155" s="4" t="s">
        <v>43</v>
      </c>
      <c r="C155" s="4" t="s">
        <v>23</v>
      </c>
      <c r="D155" s="4" t="s">
        <v>44</v>
      </c>
      <c r="E155" s="4" t="s">
        <v>52</v>
      </c>
      <c r="F155" s="4" t="s">
        <v>54</v>
      </c>
      <c r="G155" s="4" t="s">
        <v>25</v>
      </c>
      <c r="H155" s="4" t="s">
        <v>25</v>
      </c>
      <c r="I155" s="5">
        <v>44562</v>
      </c>
      <c r="J155" s="6">
        <v>0</v>
      </c>
      <c r="K155" s="6">
        <v>0</v>
      </c>
      <c r="L155" s="6">
        <v>5.2999999999999999E-2</v>
      </c>
      <c r="M155" s="6">
        <v>2.12E-2</v>
      </c>
      <c r="N155" s="6">
        <v>5.2999999999999999E-2</v>
      </c>
      <c r="O155" s="6">
        <v>2.12E-2</v>
      </c>
      <c r="P155" s="6">
        <v>0</v>
      </c>
      <c r="Q155" s="4" t="s">
        <v>26</v>
      </c>
      <c r="R155" s="4">
        <v>0</v>
      </c>
      <c r="S155" s="4">
        <v>0</v>
      </c>
      <c r="T155" s="4">
        <v>57</v>
      </c>
      <c r="U155" s="4">
        <v>31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763.29</v>
      </c>
      <c r="X155" s="6">
        <f>IF(ISERROR(VLOOKUP($U$155,'TAR FIN'!$A$1:$O$85,15,0)),0,VLOOKUP($U$155,'TAR FIN'!$A$1:$O$85,15,0))</f>
        <v>211.46</v>
      </c>
      <c r="Y155" s="6"/>
      <c r="Z155" s="6">
        <f ca="1">('TUSD BE'!$AM$33+'TUSD BF'!$AM$33+'TUSD CVA'!$AM$33)*(1-CUSTOS!$M$38)</f>
        <v>923.13389839835577</v>
      </c>
      <c r="AA155" s="6">
        <f>('TE BE'!$AA$24+'TE BF'!$AA$24+'TE CVA'!$AA$24)*(1-CUSTOS!$M$38)</f>
        <v>310.8870113668134</v>
      </c>
      <c r="AB155" s="6">
        <f t="shared" si="10"/>
        <v>0</v>
      </c>
      <c r="AC155" s="6">
        <f>(L155-M155)*(W155+X155)+($W$86+$X$86-$W$155-$X$155)*(L155)</f>
        <v>38.041809999999998</v>
      </c>
      <c r="AD155" s="6">
        <f t="shared" si="11"/>
        <v>0</v>
      </c>
      <c r="AE155" s="6">
        <f ca="1">(L155-M155)*(Z155+AA155)+($Z$86+$AA$86-$Z$155-$AA$155)*(L155)</f>
        <v>43.416531412503907</v>
      </c>
      <c r="AF155" s="4" t="s">
        <v>667</v>
      </c>
    </row>
    <row r="156" spans="1:32" ht="11.25" customHeight="1" x14ac:dyDescent="0.3">
      <c r="A156" s="4" t="s">
        <v>21</v>
      </c>
      <c r="B156" s="4" t="s">
        <v>43</v>
      </c>
      <c r="C156" s="4" t="s">
        <v>23</v>
      </c>
      <c r="D156" s="4" t="s">
        <v>44</v>
      </c>
      <c r="E156" s="4" t="s">
        <v>52</v>
      </c>
      <c r="F156" s="4" t="s">
        <v>54</v>
      </c>
      <c r="G156" s="4" t="s">
        <v>25</v>
      </c>
      <c r="H156" s="4" t="s">
        <v>25</v>
      </c>
      <c r="I156" s="5">
        <v>44593</v>
      </c>
      <c r="J156" s="6">
        <v>0</v>
      </c>
      <c r="K156" s="6">
        <v>0</v>
      </c>
      <c r="L156" s="6">
        <v>0.80700000000000005</v>
      </c>
      <c r="M156" s="6">
        <v>0.32279999999999998</v>
      </c>
      <c r="N156" s="6">
        <v>0.80700000000000005</v>
      </c>
      <c r="O156" s="6">
        <v>0.32279999999999998</v>
      </c>
      <c r="P156" s="6">
        <v>0</v>
      </c>
      <c r="Q156" s="4" t="s">
        <v>26</v>
      </c>
      <c r="R156" s="4">
        <v>0</v>
      </c>
      <c r="S156" s="4">
        <v>0</v>
      </c>
      <c r="T156" s="4">
        <v>57</v>
      </c>
      <c r="U156" s="4">
        <v>31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763.29</v>
      </c>
      <c r="X156" s="6">
        <f>IF(ISERROR(VLOOKUP($U$156,'TAR FIN'!$A$1:$O$85,15,0)),0,VLOOKUP($U$156,'TAR FIN'!$A$1:$O$85,15,0))</f>
        <v>211.46</v>
      </c>
      <c r="Y156" s="6"/>
      <c r="Z156" s="6">
        <f ca="1">('TUSD BE'!$AM$33+'TUSD BF'!$AM$33+'TUSD CVA'!$AM$33)*(1-CUSTOS!$M$38)</f>
        <v>923.13389839835577</v>
      </c>
      <c r="AA156" s="6">
        <f>('TE BE'!$AA$24+'TE BF'!$AA$24+'TE CVA'!$AA$24)*(1-CUSTOS!$M$38)</f>
        <v>310.8870113668134</v>
      </c>
      <c r="AB156" s="6">
        <f t="shared" si="10"/>
        <v>0</v>
      </c>
      <c r="AC156" s="6">
        <f>(L156-M156)*(W156+X156)+($W$86+$X$86-$W$156-$X$156)*(L156)</f>
        <v>579.24039000000016</v>
      </c>
      <c r="AD156" s="6">
        <f t="shared" si="11"/>
        <v>0</v>
      </c>
      <c r="AE156" s="6">
        <f ca="1">(L156-M156)*(Z156+AA156)+($Z$86+$AA$86-$Z$156-$AA$156)*(L156)</f>
        <v>661.07812924322002</v>
      </c>
      <c r="AF156" s="4" t="s">
        <v>667</v>
      </c>
    </row>
    <row r="157" spans="1:32" ht="11.25" customHeight="1" x14ac:dyDescent="0.3">
      <c r="A157" s="4" t="s">
        <v>21</v>
      </c>
      <c r="B157" s="4" t="s">
        <v>43</v>
      </c>
      <c r="C157" s="4" t="s">
        <v>23</v>
      </c>
      <c r="D157" s="4" t="s">
        <v>44</v>
      </c>
      <c r="E157" s="4" t="s">
        <v>52</v>
      </c>
      <c r="F157" s="4" t="s">
        <v>54</v>
      </c>
      <c r="G157" s="4" t="s">
        <v>25</v>
      </c>
      <c r="H157" s="4" t="s">
        <v>25</v>
      </c>
      <c r="I157" s="5">
        <v>44621</v>
      </c>
      <c r="J157" s="6">
        <v>0</v>
      </c>
      <c r="K157" s="6">
        <v>0</v>
      </c>
      <c r="L157" s="6">
        <v>1.63</v>
      </c>
      <c r="M157" s="6">
        <v>0.65200000000000002</v>
      </c>
      <c r="N157" s="6">
        <v>1.63</v>
      </c>
      <c r="O157" s="6">
        <v>0.65200000000000002</v>
      </c>
      <c r="P157" s="6">
        <v>0</v>
      </c>
      <c r="Q157" s="4" t="s">
        <v>26</v>
      </c>
      <c r="R157" s="4">
        <v>0</v>
      </c>
      <c r="S157" s="4">
        <v>0</v>
      </c>
      <c r="T157" s="4">
        <v>57</v>
      </c>
      <c r="U157" s="4">
        <v>31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763.29</v>
      </c>
      <c r="X157" s="6">
        <f>IF(ISERROR(VLOOKUP($U$157,'TAR FIN'!$A$1:$O$85,15,0)),0,VLOOKUP($U$157,'TAR FIN'!$A$1:$O$85,15,0))</f>
        <v>211.46</v>
      </c>
      <c r="Y157" s="6"/>
      <c r="Z157" s="6">
        <f ca="1">('TUSD BE'!$AM$33+'TUSD BF'!$AM$33+'TUSD CVA'!$AM$33)*(1-CUSTOS!$M$38)</f>
        <v>923.13389839835577</v>
      </c>
      <c r="AA157" s="6">
        <f>('TE BE'!$AA$24+'TE BF'!$AA$24+'TE CVA'!$AA$24)*(1-CUSTOS!$M$38)</f>
        <v>310.8870113668134</v>
      </c>
      <c r="AB157" s="6">
        <f t="shared" si="10"/>
        <v>0</v>
      </c>
      <c r="AC157" s="6">
        <f>(L157-M157)*(W157+X157)+($W$86+$X$86-$W$157-$X$157)*(L157)</f>
        <v>1169.9650999999999</v>
      </c>
      <c r="AD157" s="6">
        <f t="shared" si="11"/>
        <v>0</v>
      </c>
      <c r="AE157" s="6">
        <f ca="1">(L157-M157)*(Z157+AA157)+($Z$86+$AA$86-$Z$157-$AA$157)*(L157)</f>
        <v>1335.263135893988</v>
      </c>
      <c r="AF157" s="4" t="s">
        <v>667</v>
      </c>
    </row>
    <row r="158" spans="1:32" ht="11.25" customHeight="1" x14ac:dyDescent="0.3">
      <c r="A158" s="4" t="s">
        <v>21</v>
      </c>
      <c r="B158" s="4" t="s">
        <v>43</v>
      </c>
      <c r="C158" s="4" t="s">
        <v>23</v>
      </c>
      <c r="D158" s="4" t="s">
        <v>44</v>
      </c>
      <c r="E158" s="4" t="s">
        <v>55</v>
      </c>
      <c r="F158" s="4" t="s">
        <v>53</v>
      </c>
      <c r="G158" s="4" t="s">
        <v>25</v>
      </c>
      <c r="H158" s="4" t="s">
        <v>25</v>
      </c>
      <c r="I158" s="5">
        <v>44409</v>
      </c>
      <c r="J158" s="6">
        <v>0</v>
      </c>
      <c r="K158" s="6">
        <v>0</v>
      </c>
      <c r="L158" s="6">
        <v>5.8970000000000002</v>
      </c>
      <c r="M158" s="6">
        <v>5.8970000000000002</v>
      </c>
      <c r="N158" s="6">
        <v>5.8970000000000002</v>
      </c>
      <c r="O158" s="6">
        <v>5.8970000000000002</v>
      </c>
      <c r="P158" s="6">
        <v>0</v>
      </c>
      <c r="Q158" s="4" t="s">
        <v>26</v>
      </c>
      <c r="R158" s="4">
        <v>0</v>
      </c>
      <c r="S158" s="4">
        <v>0</v>
      </c>
      <c r="T158" s="4">
        <v>57</v>
      </c>
      <c r="U158" s="4">
        <v>31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763.29</v>
      </c>
      <c r="X158" s="6">
        <f>IF(ISERROR(VLOOKUP($U$158,'TAR FIN'!$A$1:$O$85,15,0)),0,VLOOKUP($U$158,'TAR FIN'!$A$1:$O$85,15,0))</f>
        <v>211.46</v>
      </c>
      <c r="Y158" s="6"/>
      <c r="Z158" s="6">
        <f ca="1">('TUSD BE'!$AM$33+'TUSD BF'!$AM$33+'TUSD CVA'!$AM$33)*(1-CUSTOS!$M$38)</f>
        <v>923.13389839835577</v>
      </c>
      <c r="AA158" s="6">
        <f>('TE BE'!$AA$24+'TE BF'!$AA$24+'TE CVA'!$AA$24)*(1-CUSTOS!$M$38)</f>
        <v>310.8870113668134</v>
      </c>
      <c r="AB158" s="6">
        <f t="shared" si="10"/>
        <v>0</v>
      </c>
      <c r="AC158" s="6">
        <f>(L158-M158)*(W158+X158)+($W$86+$X$86-$W$158-$X$158)*(L158)</f>
        <v>783.8292400000006</v>
      </c>
      <c r="AD158" s="6">
        <f t="shared" si="11"/>
        <v>0</v>
      </c>
      <c r="AE158" s="6">
        <f ca="1">(L158-M158)*(Z158+AA158)+($Z$86+$AA$86-$Z$158-$AA$158)*(L158)</f>
        <v>464.4907215884175</v>
      </c>
      <c r="AF158" s="4" t="s">
        <v>666</v>
      </c>
    </row>
    <row r="159" spans="1:32" ht="11.25" customHeight="1" x14ac:dyDescent="0.3">
      <c r="A159" s="4" t="s">
        <v>21</v>
      </c>
      <c r="B159" s="4" t="s">
        <v>43</v>
      </c>
      <c r="C159" s="4" t="s">
        <v>23</v>
      </c>
      <c r="D159" s="4" t="s">
        <v>44</v>
      </c>
      <c r="E159" s="4" t="s">
        <v>55</v>
      </c>
      <c r="F159" s="4" t="s">
        <v>53</v>
      </c>
      <c r="G159" s="4" t="s">
        <v>25</v>
      </c>
      <c r="H159" s="4" t="s">
        <v>25</v>
      </c>
      <c r="I159" s="5">
        <v>44440</v>
      </c>
      <c r="J159" s="6">
        <v>0</v>
      </c>
      <c r="K159" s="6">
        <v>0</v>
      </c>
      <c r="L159" s="6">
        <v>6.6459999999999999</v>
      </c>
      <c r="M159" s="6">
        <v>6.6459999999999999</v>
      </c>
      <c r="N159" s="6">
        <v>6.6459999999999999</v>
      </c>
      <c r="O159" s="6">
        <v>6.6459999999999999</v>
      </c>
      <c r="P159" s="6">
        <v>0</v>
      </c>
      <c r="Q159" s="4" t="s">
        <v>26</v>
      </c>
      <c r="R159" s="4">
        <v>0</v>
      </c>
      <c r="S159" s="4">
        <v>0</v>
      </c>
      <c r="T159" s="4">
        <v>57</v>
      </c>
      <c r="U159" s="4">
        <v>31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763.29</v>
      </c>
      <c r="X159" s="6">
        <f>IF(ISERROR(VLOOKUP($U$159,'TAR FIN'!$A$1:$O$85,15,0)),0,VLOOKUP($U$159,'TAR FIN'!$A$1:$O$85,15,0))</f>
        <v>211.46</v>
      </c>
      <c r="Y159" s="6"/>
      <c r="Z159" s="6">
        <f ca="1">('TUSD BE'!$AM$33+'TUSD BF'!$AM$33+'TUSD CVA'!$AM$33)*(1-CUSTOS!$M$38)</f>
        <v>923.13389839835577</v>
      </c>
      <c r="AA159" s="6">
        <f>('TE BE'!$AA$24+'TE BF'!$AA$24+'TE CVA'!$AA$24)*(1-CUSTOS!$M$38)</f>
        <v>310.8870113668134</v>
      </c>
      <c r="AB159" s="6">
        <f t="shared" si="10"/>
        <v>0</v>
      </c>
      <c r="AC159" s="6">
        <f>(L159-M159)*(W159+X159)+($W$86+$X$86-$W$159-$X$159)*(L159)</f>
        <v>883.38632000000064</v>
      </c>
      <c r="AD159" s="6">
        <f t="shared" si="11"/>
        <v>0</v>
      </c>
      <c r="AE159" s="6">
        <f ca="1">(L159-M159)*(Z159+AA159)+($Z$86+$AA$86-$Z$159-$AA$159)*(L159)</f>
        <v>523.48742338080763</v>
      </c>
      <c r="AF159" s="4" t="s">
        <v>666</v>
      </c>
    </row>
    <row r="160" spans="1:32" ht="11.25" customHeight="1" x14ac:dyDescent="0.3">
      <c r="A160" s="4" t="s">
        <v>28</v>
      </c>
      <c r="B160" s="4" t="s">
        <v>43</v>
      </c>
      <c r="C160" s="4" t="s">
        <v>23</v>
      </c>
      <c r="D160" s="4" t="s">
        <v>44</v>
      </c>
      <c r="E160" s="4" t="s">
        <v>55</v>
      </c>
      <c r="F160" s="4" t="s">
        <v>53</v>
      </c>
      <c r="G160" s="4" t="s">
        <v>25</v>
      </c>
      <c r="H160" s="4" t="s">
        <v>25</v>
      </c>
      <c r="I160" s="5">
        <v>44470</v>
      </c>
      <c r="J160" s="6">
        <v>0</v>
      </c>
      <c r="K160" s="6">
        <v>0</v>
      </c>
      <c r="L160" s="6">
        <v>4.4130000000000003</v>
      </c>
      <c r="M160" s="6">
        <v>4.4130000000000003</v>
      </c>
      <c r="N160" s="6">
        <v>4.4130000000000003</v>
      </c>
      <c r="O160" s="6">
        <v>4.4130000000000003</v>
      </c>
      <c r="P160" s="6">
        <v>0</v>
      </c>
      <c r="Q160" s="4" t="s">
        <v>26</v>
      </c>
      <c r="R160" s="4">
        <v>0</v>
      </c>
      <c r="S160" s="4">
        <v>0</v>
      </c>
      <c r="T160" s="4">
        <v>57</v>
      </c>
      <c r="U160" s="4">
        <v>31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763.29</v>
      </c>
      <c r="X160" s="6">
        <f>IF(ISERROR(VLOOKUP($U$160,'TAR FIN'!$A$1:$O$85,15,0)),0,VLOOKUP($U$160,'TAR FIN'!$A$1:$O$85,15,0))</f>
        <v>211.46</v>
      </c>
      <c r="Y160" s="6"/>
      <c r="Z160" s="6">
        <f ca="1">('TUSD BE'!$AM$33+'TUSD BF'!$AM$33+'TUSD CVA'!$AM$33)*(1-CUSTOS!$M$38)</f>
        <v>923.13389839835577</v>
      </c>
      <c r="AA160" s="6">
        <f>('TE BE'!$AA$24+'TE BF'!$AA$24+'TE CVA'!$AA$24)*(1-CUSTOS!$M$38)</f>
        <v>310.8870113668134</v>
      </c>
      <c r="AB160" s="6">
        <f t="shared" si="10"/>
        <v>0</v>
      </c>
      <c r="AC160" s="6">
        <f>(L160-M160)*(W160+X160)+($W$86+$X$86-$W$160-$X$160)*(L160)</f>
        <v>586.57596000000046</v>
      </c>
      <c r="AD160" s="6">
        <f t="shared" si="11"/>
        <v>0</v>
      </c>
      <c r="AE160" s="6">
        <f ca="1">(L160-M160)*(Z160+AA160)+($Z$86+$AA$86-$Z$160-$AA$160)*(L160)</f>
        <v>347.60006009321455</v>
      </c>
      <c r="AF160" s="4" t="s">
        <v>666</v>
      </c>
    </row>
    <row r="161" spans="1:32" ht="11.25" customHeight="1" x14ac:dyDescent="0.3">
      <c r="A161" s="4" t="s">
        <v>28</v>
      </c>
      <c r="B161" s="4" t="s">
        <v>43</v>
      </c>
      <c r="C161" s="4" t="s">
        <v>23</v>
      </c>
      <c r="D161" s="4" t="s">
        <v>44</v>
      </c>
      <c r="E161" s="4" t="s">
        <v>55</v>
      </c>
      <c r="F161" s="4" t="s">
        <v>53</v>
      </c>
      <c r="G161" s="4" t="s">
        <v>25</v>
      </c>
      <c r="H161" s="4" t="s">
        <v>25</v>
      </c>
      <c r="I161" s="5">
        <v>44501</v>
      </c>
      <c r="J161" s="6">
        <v>0</v>
      </c>
      <c r="K161" s="6">
        <v>0</v>
      </c>
      <c r="L161" s="6">
        <v>0.93600000000000005</v>
      </c>
      <c r="M161" s="6">
        <v>0.93600000000000005</v>
      </c>
      <c r="N161" s="6">
        <v>0.93600000000000005</v>
      </c>
      <c r="O161" s="6">
        <v>0.93600000000000005</v>
      </c>
      <c r="P161" s="6">
        <v>0</v>
      </c>
      <c r="Q161" s="4" t="s">
        <v>26</v>
      </c>
      <c r="R161" s="4">
        <v>0</v>
      </c>
      <c r="S161" s="4">
        <v>0</v>
      </c>
      <c r="T161" s="4">
        <v>57</v>
      </c>
      <c r="U161" s="4">
        <v>31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763.29</v>
      </c>
      <c r="X161" s="6">
        <f>IF(ISERROR(VLOOKUP($U$161,'TAR FIN'!$A$1:$O$85,15,0)),0,VLOOKUP($U$161,'TAR FIN'!$A$1:$O$85,15,0))</f>
        <v>211.46</v>
      </c>
      <c r="Y161" s="6"/>
      <c r="Z161" s="6">
        <f ca="1">('TUSD BE'!$AM$33+'TUSD BF'!$AM$33+'TUSD CVA'!$AM$33)*(1-CUSTOS!$M$38)</f>
        <v>923.13389839835577</v>
      </c>
      <c r="AA161" s="6">
        <f>('TE BE'!$AA$24+'TE BF'!$AA$24+'TE CVA'!$AA$24)*(1-CUSTOS!$M$38)</f>
        <v>310.8870113668134</v>
      </c>
      <c r="AB161" s="6">
        <f t="shared" si="10"/>
        <v>0</v>
      </c>
      <c r="AC161" s="6">
        <f>(L161-M161)*(W161+X161)+($W$86+$X$86-$W$161-$X$161)*(L161)</f>
        <v>124.41312000000011</v>
      </c>
      <c r="AD161" s="6">
        <f t="shared" si="11"/>
        <v>0</v>
      </c>
      <c r="AE161" s="6">
        <f ca="1">(L161-M161)*(Z161+AA161)+($Z$86+$AA$86-$Z$161-$AA$161)*(L161)</f>
        <v>73.726185417459519</v>
      </c>
      <c r="AF161" s="4" t="s">
        <v>666</v>
      </c>
    </row>
    <row r="162" spans="1:32" ht="11.25" customHeight="1" x14ac:dyDescent="0.3">
      <c r="A162" s="4" t="s">
        <v>28</v>
      </c>
      <c r="B162" s="4" t="s">
        <v>43</v>
      </c>
      <c r="C162" s="4" t="s">
        <v>23</v>
      </c>
      <c r="D162" s="4" t="s">
        <v>44</v>
      </c>
      <c r="E162" s="4" t="s">
        <v>55</v>
      </c>
      <c r="F162" s="4" t="s">
        <v>53</v>
      </c>
      <c r="G162" s="4" t="s">
        <v>25</v>
      </c>
      <c r="H162" s="4" t="s">
        <v>25</v>
      </c>
      <c r="I162" s="5">
        <v>44562</v>
      </c>
      <c r="J162" s="6">
        <v>0</v>
      </c>
      <c r="K162" s="6">
        <v>0</v>
      </c>
      <c r="L162" s="6">
        <v>0.85699999999999998</v>
      </c>
      <c r="M162" s="6">
        <v>0.85699999999999998</v>
      </c>
      <c r="N162" s="6">
        <v>0.85699999999999998</v>
      </c>
      <c r="O162" s="6">
        <v>0.85699999999999998</v>
      </c>
      <c r="P162" s="6">
        <v>0</v>
      </c>
      <c r="Q162" s="4" t="s">
        <v>26</v>
      </c>
      <c r="R162" s="4">
        <v>0</v>
      </c>
      <c r="S162" s="4">
        <v>0</v>
      </c>
      <c r="T162" s="4">
        <v>57</v>
      </c>
      <c r="U162" s="4">
        <v>31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763.29</v>
      </c>
      <c r="X162" s="6">
        <f>IF(ISERROR(VLOOKUP($U$162,'TAR FIN'!$A$1:$O$85,15,0)),0,VLOOKUP($U$162,'TAR FIN'!$A$1:$O$85,15,0))</f>
        <v>211.46</v>
      </c>
      <c r="Y162" s="6"/>
      <c r="Z162" s="6">
        <f ca="1">('TUSD BE'!$AM$33+'TUSD BF'!$AM$33+'TUSD CVA'!$AM$33)*(1-CUSTOS!$M$38)</f>
        <v>923.13389839835577</v>
      </c>
      <c r="AA162" s="6">
        <f>('TE BE'!$AA$24+'TE BF'!$AA$24+'TE CVA'!$AA$24)*(1-CUSTOS!$M$38)</f>
        <v>310.8870113668134</v>
      </c>
      <c r="AB162" s="6">
        <f t="shared" si="10"/>
        <v>0</v>
      </c>
      <c r="AC162" s="6">
        <f>(L162-M162)*(W162+X162)+($W$86+$X$86-$W$162-$X$162)*(L162)</f>
        <v>113.91244000000009</v>
      </c>
      <c r="AD162" s="6">
        <f t="shared" si="11"/>
        <v>0</v>
      </c>
      <c r="AE162" s="6">
        <f ca="1">(L162-M162)*(Z162+AA162)+($Z$86+$AA$86-$Z$162-$AA$162)*(L162)</f>
        <v>67.503569340558542</v>
      </c>
      <c r="AF162" s="4" t="s">
        <v>666</v>
      </c>
    </row>
    <row r="163" spans="1:32" ht="11.25" customHeight="1" x14ac:dyDescent="0.3">
      <c r="A163" s="4" t="s">
        <v>28</v>
      </c>
      <c r="B163" s="4" t="s">
        <v>43</v>
      </c>
      <c r="C163" s="4" t="s">
        <v>23</v>
      </c>
      <c r="D163" s="4" t="s">
        <v>44</v>
      </c>
      <c r="E163" s="4" t="s">
        <v>55</v>
      </c>
      <c r="F163" s="4" t="s">
        <v>53</v>
      </c>
      <c r="G163" s="4" t="s">
        <v>25</v>
      </c>
      <c r="H163" s="4" t="s">
        <v>25</v>
      </c>
      <c r="I163" s="5">
        <v>44593</v>
      </c>
      <c r="J163" s="6">
        <v>0</v>
      </c>
      <c r="K163" s="6">
        <v>0</v>
      </c>
      <c r="L163" s="6">
        <v>0.29299999999999998</v>
      </c>
      <c r="M163" s="6">
        <v>0.29299999999999998</v>
      </c>
      <c r="N163" s="6">
        <v>0.29299999999999998</v>
      </c>
      <c r="O163" s="6">
        <v>0.29299999999999998</v>
      </c>
      <c r="P163" s="6">
        <v>0</v>
      </c>
      <c r="Q163" s="4" t="s">
        <v>26</v>
      </c>
      <c r="R163" s="4">
        <v>0</v>
      </c>
      <c r="S163" s="4">
        <v>0</v>
      </c>
      <c r="T163" s="4">
        <v>57</v>
      </c>
      <c r="U163" s="4">
        <v>31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763.29</v>
      </c>
      <c r="X163" s="6">
        <f>IF(ISERROR(VLOOKUP($U$163,'TAR FIN'!$A$1:$O$85,15,0)),0,VLOOKUP($U$163,'TAR FIN'!$A$1:$O$85,15,0))</f>
        <v>211.46</v>
      </c>
      <c r="Y163" s="6"/>
      <c r="Z163" s="6">
        <f ca="1">('TUSD BE'!$AM$33+'TUSD BF'!$AM$33+'TUSD CVA'!$AM$33)*(1-CUSTOS!$M$38)</f>
        <v>923.13389839835577</v>
      </c>
      <c r="AA163" s="6">
        <f>('TE BE'!$AA$24+'TE BF'!$AA$24+'TE CVA'!$AA$24)*(1-CUSTOS!$M$38)</f>
        <v>310.8870113668134</v>
      </c>
      <c r="AB163" s="6">
        <f t="shared" si="10"/>
        <v>0</v>
      </c>
      <c r="AC163" s="6">
        <f>(L163-M163)*(W163+X163)+($W$86+$X$86-$W$163-$X$163)*(L163)</f>
        <v>38.945560000000029</v>
      </c>
      <c r="AD163" s="6">
        <f t="shared" si="11"/>
        <v>0</v>
      </c>
      <c r="AE163" s="6">
        <f ca="1">(L163-M163)*(Z163+AA163)+($Z$86+$AA$86-$Z$163-$AA$163)*(L163)</f>
        <v>23.07881658901243</v>
      </c>
      <c r="AF163" s="4" t="s">
        <v>666</v>
      </c>
    </row>
    <row r="164" spans="1:32" ht="11.25" customHeight="1" x14ac:dyDescent="0.3">
      <c r="A164" s="4" t="s">
        <v>28</v>
      </c>
      <c r="B164" s="4" t="s">
        <v>43</v>
      </c>
      <c r="C164" s="4" t="s">
        <v>23</v>
      </c>
      <c r="D164" s="4" t="s">
        <v>44</v>
      </c>
      <c r="E164" s="4" t="s">
        <v>55</v>
      </c>
      <c r="F164" s="4" t="s">
        <v>53</v>
      </c>
      <c r="G164" s="4" t="s">
        <v>25</v>
      </c>
      <c r="H164" s="4" t="s">
        <v>25</v>
      </c>
      <c r="I164" s="5">
        <v>44621</v>
      </c>
      <c r="J164" s="6">
        <v>0</v>
      </c>
      <c r="K164" s="6">
        <v>0</v>
      </c>
      <c r="L164" s="6">
        <v>7.0000000000000007E-2</v>
      </c>
      <c r="M164" s="6">
        <v>7.0000000000000007E-2</v>
      </c>
      <c r="N164" s="6">
        <v>7.0000000000000007E-2</v>
      </c>
      <c r="O164" s="6">
        <v>7.0000000000000007E-2</v>
      </c>
      <c r="P164" s="6">
        <v>0</v>
      </c>
      <c r="Q164" s="4" t="s">
        <v>26</v>
      </c>
      <c r="R164" s="4">
        <v>0</v>
      </c>
      <c r="S164" s="4">
        <v>0</v>
      </c>
      <c r="T164" s="4">
        <v>57</v>
      </c>
      <c r="U164" s="4">
        <v>31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763.29</v>
      </c>
      <c r="X164" s="6">
        <f>IF(ISERROR(VLOOKUP($U$164,'TAR FIN'!$A$1:$O$85,15,0)),0,VLOOKUP($U$164,'TAR FIN'!$A$1:$O$85,15,0))</f>
        <v>211.46</v>
      </c>
      <c r="Y164" s="6"/>
      <c r="Z164" s="6">
        <f ca="1">('TUSD BE'!$AM$33+'TUSD BF'!$AM$33+'TUSD CVA'!$AM$33)*(1-CUSTOS!$M$38)</f>
        <v>923.13389839835577</v>
      </c>
      <c r="AA164" s="6">
        <f>('TE BE'!$AA$24+'TE BF'!$AA$24+'TE CVA'!$AA$24)*(1-CUSTOS!$M$38)</f>
        <v>310.8870113668134</v>
      </c>
      <c r="AB164" s="6">
        <f t="shared" si="10"/>
        <v>0</v>
      </c>
      <c r="AC164" s="6">
        <f>(L164-M164)*(W164+X164)+($W$86+$X$86-$W$164-$X$164)*(L164)</f>
        <v>9.3044000000000082</v>
      </c>
      <c r="AD164" s="6">
        <f t="shared" si="11"/>
        <v>0</v>
      </c>
      <c r="AE164" s="6">
        <f ca="1">(L164-M164)*(Z164+AA164)+($Z$86+$AA$86-$Z$164-$AA$164)*(L164)</f>
        <v>5.5137104478869299</v>
      </c>
      <c r="AF164" s="4" t="s">
        <v>666</v>
      </c>
    </row>
    <row r="165" spans="1:32" ht="11.25" customHeight="1" x14ac:dyDescent="0.3">
      <c r="A165" s="4" t="s">
        <v>21</v>
      </c>
      <c r="B165" s="4" t="s">
        <v>43</v>
      </c>
      <c r="C165" s="4" t="s">
        <v>23</v>
      </c>
      <c r="D165" s="4" t="s">
        <v>44</v>
      </c>
      <c r="E165" s="4" t="s">
        <v>55</v>
      </c>
      <c r="F165" s="4" t="s">
        <v>54</v>
      </c>
      <c r="G165" s="4" t="s">
        <v>25</v>
      </c>
      <c r="H165" s="4" t="s">
        <v>25</v>
      </c>
      <c r="I165" s="5">
        <v>44409</v>
      </c>
      <c r="J165" s="6">
        <v>0</v>
      </c>
      <c r="K165" s="6">
        <v>0</v>
      </c>
      <c r="L165" s="6">
        <v>2.9569999999999999</v>
      </c>
      <c r="M165" s="6">
        <v>1.1828000000000001</v>
      </c>
      <c r="N165" s="6">
        <v>2.9569999999999999</v>
      </c>
      <c r="O165" s="6">
        <v>1.1828000000000001</v>
      </c>
      <c r="P165" s="6">
        <v>0</v>
      </c>
      <c r="Q165" s="4" t="s">
        <v>26</v>
      </c>
      <c r="R165" s="4">
        <v>0</v>
      </c>
      <c r="S165" s="4">
        <v>0</v>
      </c>
      <c r="T165" s="4">
        <v>57</v>
      </c>
      <c r="U165" s="4">
        <v>31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763.29</v>
      </c>
      <c r="X165" s="6">
        <f>IF(ISERROR(VLOOKUP($U$165,'TAR FIN'!$A$1:$O$85,15,0)),0,VLOOKUP($U$165,'TAR FIN'!$A$1:$O$85,15,0))</f>
        <v>211.46</v>
      </c>
      <c r="Y165" s="6"/>
      <c r="Z165" s="6">
        <f ca="1">('TUSD BE'!$AM$33+'TUSD BF'!$AM$33+'TUSD CVA'!$AM$33)*(1-CUSTOS!$M$38)</f>
        <v>923.13389839835577</v>
      </c>
      <c r="AA165" s="6">
        <f>('TE BE'!$AA$24+'TE BF'!$AA$24+'TE CVA'!$AA$24)*(1-CUSTOS!$M$38)</f>
        <v>310.8870113668134</v>
      </c>
      <c r="AB165" s="6">
        <f t="shared" si="10"/>
        <v>0</v>
      </c>
      <c r="AC165" s="6">
        <f>(L165-M165)*(W165+X165)+($W$86+$X$86-$W$165-$X$165)*(L165)</f>
        <v>2122.44589</v>
      </c>
      <c r="AD165" s="6">
        <f t="shared" si="11"/>
        <v>0</v>
      </c>
      <c r="AE165" s="6">
        <f ca="1">(L165-M165)*(Z165+AA165)+($Z$86+$AA$86-$Z$165-$AA$165)*(L165)</f>
        <v>2422.3147808825292</v>
      </c>
      <c r="AF165" s="4" t="s">
        <v>667</v>
      </c>
    </row>
    <row r="166" spans="1:32" ht="11.25" customHeight="1" x14ac:dyDescent="0.3">
      <c r="A166" s="4" t="s">
        <v>21</v>
      </c>
      <c r="B166" s="4" t="s">
        <v>43</v>
      </c>
      <c r="C166" s="4" t="s">
        <v>23</v>
      </c>
      <c r="D166" s="4" t="s">
        <v>44</v>
      </c>
      <c r="E166" s="4" t="s">
        <v>55</v>
      </c>
      <c r="F166" s="4" t="s">
        <v>54</v>
      </c>
      <c r="G166" s="4" t="s">
        <v>25</v>
      </c>
      <c r="H166" s="4" t="s">
        <v>25</v>
      </c>
      <c r="I166" s="5">
        <v>44440</v>
      </c>
      <c r="J166" s="6">
        <v>0</v>
      </c>
      <c r="K166" s="6">
        <v>0</v>
      </c>
      <c r="L166" s="6">
        <v>2.016</v>
      </c>
      <c r="M166" s="6">
        <v>0.80640000000000001</v>
      </c>
      <c r="N166" s="6">
        <v>2.016</v>
      </c>
      <c r="O166" s="6">
        <v>0.80640000000000001</v>
      </c>
      <c r="P166" s="6">
        <v>0</v>
      </c>
      <c r="Q166" s="4" t="s">
        <v>26</v>
      </c>
      <c r="R166" s="4">
        <v>0</v>
      </c>
      <c r="S166" s="4">
        <v>0</v>
      </c>
      <c r="T166" s="4">
        <v>57</v>
      </c>
      <c r="U166" s="4">
        <v>31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763.29</v>
      </c>
      <c r="X166" s="6">
        <f>IF(ISERROR(VLOOKUP($U$166,'TAR FIN'!$A$1:$O$85,15,0)),0,VLOOKUP($U$166,'TAR FIN'!$A$1:$O$85,15,0))</f>
        <v>211.46</v>
      </c>
      <c r="Y166" s="6"/>
      <c r="Z166" s="6">
        <f ca="1">('TUSD BE'!$AM$33+'TUSD BF'!$AM$33+'TUSD CVA'!$AM$33)*(1-CUSTOS!$M$38)</f>
        <v>923.13389839835577</v>
      </c>
      <c r="AA166" s="6">
        <f>('TE BE'!$AA$24+'TE BF'!$AA$24+'TE CVA'!$AA$24)*(1-CUSTOS!$M$38)</f>
        <v>310.8870113668134</v>
      </c>
      <c r="AB166" s="6">
        <f t="shared" si="10"/>
        <v>0</v>
      </c>
      <c r="AC166" s="6">
        <f>(L166-M166)*(W166+X166)+($W$86+$X$86-$W$166-$X$166)*(L166)</f>
        <v>1447.0243200000002</v>
      </c>
      <c r="AD166" s="6">
        <f t="shared" si="11"/>
        <v>0</v>
      </c>
      <c r="AE166" s="6">
        <f ca="1">(L166-M166)*(Z166+AA166)+($Z$86+$AA$86-$Z$166-$AA$166)*(L166)</f>
        <v>1651.466553351092</v>
      </c>
      <c r="AF166" s="4" t="s">
        <v>667</v>
      </c>
    </row>
    <row r="167" spans="1:32" ht="11.25" customHeight="1" x14ac:dyDescent="0.3">
      <c r="A167" s="4" t="s">
        <v>28</v>
      </c>
      <c r="B167" s="4" t="s">
        <v>43</v>
      </c>
      <c r="C167" s="4" t="s">
        <v>23</v>
      </c>
      <c r="D167" s="4" t="s">
        <v>44</v>
      </c>
      <c r="E167" s="4" t="s">
        <v>55</v>
      </c>
      <c r="F167" s="4" t="s">
        <v>54</v>
      </c>
      <c r="G167" s="4" t="s">
        <v>25</v>
      </c>
      <c r="H167" s="4" t="s">
        <v>25</v>
      </c>
      <c r="I167" s="5">
        <v>44470</v>
      </c>
      <c r="J167" s="6">
        <v>0</v>
      </c>
      <c r="K167" s="6">
        <v>0</v>
      </c>
      <c r="L167" s="6">
        <v>2.2589999999999999</v>
      </c>
      <c r="M167" s="6">
        <v>2.2589999999999999</v>
      </c>
      <c r="N167" s="6">
        <v>2.2589999999999999</v>
      </c>
      <c r="O167" s="6">
        <v>2.2589999999999999</v>
      </c>
      <c r="P167" s="6">
        <v>0</v>
      </c>
      <c r="Q167" s="4" t="s">
        <v>26</v>
      </c>
      <c r="R167" s="4">
        <v>0</v>
      </c>
      <c r="S167" s="4">
        <v>0</v>
      </c>
      <c r="T167" s="4">
        <v>57</v>
      </c>
      <c r="U167" s="4">
        <v>31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763.29</v>
      </c>
      <c r="X167" s="6">
        <f>IF(ISERROR(VLOOKUP($U$167,'TAR FIN'!$A$1:$O$85,15,0)),0,VLOOKUP($U$167,'TAR FIN'!$A$1:$O$85,15,0))</f>
        <v>211.46</v>
      </c>
      <c r="Y167" s="6"/>
      <c r="Z167" s="6">
        <f ca="1">('TUSD BE'!$AM$33+'TUSD BF'!$AM$33+'TUSD CVA'!$AM$33)*(1-CUSTOS!$M$38)</f>
        <v>923.13389839835577</v>
      </c>
      <c r="AA167" s="6">
        <f>('TE BE'!$AA$24+'TE BF'!$AA$24+'TE CVA'!$AA$24)*(1-CUSTOS!$M$38)</f>
        <v>310.8870113668134</v>
      </c>
      <c r="AB167" s="6">
        <f t="shared" si="10"/>
        <v>0</v>
      </c>
      <c r="AC167" s="6">
        <f>(L167-M167)*(W167+X167)+($W$86+$X$86-$W$167-$X$167)*(L167)</f>
        <v>300.26628000000022</v>
      </c>
      <c r="AD167" s="6">
        <f t="shared" si="11"/>
        <v>0</v>
      </c>
      <c r="AE167" s="6">
        <f ca="1">(L167-M167)*(Z167+AA167)+($Z$86+$AA$86-$Z$167-$AA$167)*(L167)</f>
        <v>177.93531288252245</v>
      </c>
      <c r="AF167" s="4" t="s">
        <v>666</v>
      </c>
    </row>
    <row r="168" spans="1:32" ht="11.25" customHeight="1" x14ac:dyDescent="0.3">
      <c r="A168" s="4" t="s">
        <v>28</v>
      </c>
      <c r="B168" s="4" t="s">
        <v>43</v>
      </c>
      <c r="C168" s="4" t="s">
        <v>23</v>
      </c>
      <c r="D168" s="4" t="s">
        <v>44</v>
      </c>
      <c r="E168" s="4" t="s">
        <v>55</v>
      </c>
      <c r="F168" s="4" t="s">
        <v>54</v>
      </c>
      <c r="G168" s="4" t="s">
        <v>25</v>
      </c>
      <c r="H168" s="4" t="s">
        <v>25</v>
      </c>
      <c r="I168" s="5">
        <v>44501</v>
      </c>
      <c r="J168" s="6">
        <v>0</v>
      </c>
      <c r="K168" s="6">
        <v>0</v>
      </c>
      <c r="L168" s="6">
        <v>2.1850000000000001</v>
      </c>
      <c r="M168" s="6">
        <v>2.1850000000000001</v>
      </c>
      <c r="N168" s="6">
        <v>2.1850000000000001</v>
      </c>
      <c r="O168" s="6">
        <v>2.1850000000000001</v>
      </c>
      <c r="P168" s="6">
        <v>0</v>
      </c>
      <c r="Q168" s="4" t="s">
        <v>26</v>
      </c>
      <c r="R168" s="4">
        <v>0</v>
      </c>
      <c r="S168" s="4">
        <v>0</v>
      </c>
      <c r="T168" s="4">
        <v>57</v>
      </c>
      <c r="U168" s="4">
        <v>31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763.29</v>
      </c>
      <c r="X168" s="6">
        <f>IF(ISERROR(VLOOKUP($U$168,'TAR FIN'!$A$1:$O$85,15,0)),0,VLOOKUP($U$168,'TAR FIN'!$A$1:$O$85,15,0))</f>
        <v>211.46</v>
      </c>
      <c r="Y168" s="6"/>
      <c r="Z168" s="6">
        <f ca="1">('TUSD BE'!$AM$33+'TUSD BF'!$AM$33+'TUSD CVA'!$AM$33)*(1-CUSTOS!$M$38)</f>
        <v>923.13389839835577</v>
      </c>
      <c r="AA168" s="6">
        <f>('TE BE'!$AA$24+'TE BF'!$AA$24+'TE CVA'!$AA$24)*(1-CUSTOS!$M$38)</f>
        <v>310.8870113668134</v>
      </c>
      <c r="AB168" s="6">
        <f t="shared" si="10"/>
        <v>0</v>
      </c>
      <c r="AC168" s="6">
        <f>(L168-M168)*(W168+X168)+($W$86+$X$86-$W$168-$X$168)*(L168)</f>
        <v>290.43020000000024</v>
      </c>
      <c r="AD168" s="6">
        <f t="shared" si="11"/>
        <v>0</v>
      </c>
      <c r="AE168" s="6">
        <f ca="1">(L168-M168)*(Z168+AA168)+($Z$86+$AA$86-$Z$168-$AA$168)*(L168)</f>
        <v>172.10653326618487</v>
      </c>
      <c r="AF168" s="4" t="s">
        <v>666</v>
      </c>
    </row>
    <row r="169" spans="1:32" ht="11.25" customHeight="1" x14ac:dyDescent="0.3">
      <c r="A169" s="4" t="s">
        <v>28</v>
      </c>
      <c r="B169" s="4" t="s">
        <v>43</v>
      </c>
      <c r="C169" s="4" t="s">
        <v>23</v>
      </c>
      <c r="D169" s="4" t="s">
        <v>44</v>
      </c>
      <c r="E169" s="4" t="s">
        <v>55</v>
      </c>
      <c r="F169" s="4" t="s">
        <v>54</v>
      </c>
      <c r="G169" s="4" t="s">
        <v>25</v>
      </c>
      <c r="H169" s="4" t="s">
        <v>25</v>
      </c>
      <c r="I169" s="5">
        <v>44531</v>
      </c>
      <c r="J169" s="6">
        <v>0</v>
      </c>
      <c r="K169" s="6">
        <v>0</v>
      </c>
      <c r="L169" s="6">
        <v>0.78300000000000003</v>
      </c>
      <c r="M169" s="6">
        <v>0.78300000000000003</v>
      </c>
      <c r="N169" s="6">
        <v>0.78300000000000003</v>
      </c>
      <c r="O169" s="6">
        <v>0.78300000000000003</v>
      </c>
      <c r="P169" s="6">
        <v>0</v>
      </c>
      <c r="Q169" s="4" t="s">
        <v>26</v>
      </c>
      <c r="R169" s="4">
        <v>0</v>
      </c>
      <c r="S169" s="4">
        <v>0</v>
      </c>
      <c r="T169" s="4">
        <v>57</v>
      </c>
      <c r="U169" s="4">
        <v>31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763.29</v>
      </c>
      <c r="X169" s="6">
        <f>IF(ISERROR(VLOOKUP($U$169,'TAR FIN'!$A$1:$O$85,15,0)),0,VLOOKUP($U$169,'TAR FIN'!$A$1:$O$85,15,0))</f>
        <v>211.46</v>
      </c>
      <c r="Y169" s="6"/>
      <c r="Z169" s="6">
        <f ca="1">('TUSD BE'!$AM$33+'TUSD BF'!$AM$33+'TUSD CVA'!$AM$33)*(1-CUSTOS!$M$38)</f>
        <v>923.13389839835577</v>
      </c>
      <c r="AA169" s="6">
        <f>('TE BE'!$AA$24+'TE BF'!$AA$24+'TE CVA'!$AA$24)*(1-CUSTOS!$M$38)</f>
        <v>310.8870113668134</v>
      </c>
      <c r="AB169" s="6">
        <f t="shared" si="10"/>
        <v>0</v>
      </c>
      <c r="AC169" s="6">
        <f>(L169-M169)*(W169+X169)+($W$86+$X$86-$W$169-$X$169)*(L169)</f>
        <v>104.07636000000008</v>
      </c>
      <c r="AD169" s="6">
        <f t="shared" si="11"/>
        <v>0</v>
      </c>
      <c r="AE169" s="6">
        <f ca="1">(L169-M169)*(Z169+AA169)+($Z$86+$AA$86-$Z$169-$AA$169)*(L169)</f>
        <v>61.674789724220943</v>
      </c>
      <c r="AF169" s="4" t="s">
        <v>666</v>
      </c>
    </row>
    <row r="170" spans="1:32" ht="11.25" customHeight="1" x14ac:dyDescent="0.3">
      <c r="A170" s="4" t="s">
        <v>28</v>
      </c>
      <c r="B170" s="4" t="s">
        <v>43</v>
      </c>
      <c r="C170" s="4" t="s">
        <v>23</v>
      </c>
      <c r="D170" s="4" t="s">
        <v>44</v>
      </c>
      <c r="E170" s="4" t="s">
        <v>55</v>
      </c>
      <c r="F170" s="4" t="s">
        <v>54</v>
      </c>
      <c r="G170" s="4" t="s">
        <v>25</v>
      </c>
      <c r="H170" s="4" t="s">
        <v>25</v>
      </c>
      <c r="I170" s="5">
        <v>44562</v>
      </c>
      <c r="J170" s="6">
        <v>0</v>
      </c>
      <c r="K170" s="6">
        <v>0</v>
      </c>
      <c r="L170" s="6">
        <v>3.4180000000000001</v>
      </c>
      <c r="M170" s="6">
        <v>3.4180000000000001</v>
      </c>
      <c r="N170" s="6">
        <v>3.4180000000000001</v>
      </c>
      <c r="O170" s="6">
        <v>3.4180000000000001</v>
      </c>
      <c r="P170" s="6">
        <v>0</v>
      </c>
      <c r="Q170" s="4" t="s">
        <v>26</v>
      </c>
      <c r="R170" s="4">
        <v>0</v>
      </c>
      <c r="S170" s="4">
        <v>0</v>
      </c>
      <c r="T170" s="4">
        <v>57</v>
      </c>
      <c r="U170" s="4">
        <v>31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763.29</v>
      </c>
      <c r="X170" s="6">
        <f>IF(ISERROR(VLOOKUP($U$170,'TAR FIN'!$A$1:$O$85,15,0)),0,VLOOKUP($U$170,'TAR FIN'!$A$1:$O$85,15,0))</f>
        <v>211.46</v>
      </c>
      <c r="Y170" s="6"/>
      <c r="Z170" s="6">
        <f ca="1">('TUSD BE'!$AM$33+'TUSD BF'!$AM$33+'TUSD CVA'!$AM$33)*(1-CUSTOS!$M$38)</f>
        <v>923.13389839835577</v>
      </c>
      <c r="AA170" s="6">
        <f>('TE BE'!$AA$24+'TE BF'!$AA$24+'TE CVA'!$AA$24)*(1-CUSTOS!$M$38)</f>
        <v>310.8870113668134</v>
      </c>
      <c r="AB170" s="6">
        <f t="shared" si="10"/>
        <v>0</v>
      </c>
      <c r="AC170" s="6">
        <f>(L170-M170)*(W170+X170)+($W$86+$X$86-$W$170-$X$170)*(L170)</f>
        <v>454.32056000000034</v>
      </c>
      <c r="AD170" s="6">
        <f t="shared" si="11"/>
        <v>0</v>
      </c>
      <c r="AE170" s="6">
        <f ca="1">(L170-M170)*(Z170+AA170)+($Z$86+$AA$86-$Z$170-$AA$170)*(L170)</f>
        <v>269.2266044411075</v>
      </c>
      <c r="AF170" s="4" t="s">
        <v>666</v>
      </c>
    </row>
    <row r="171" spans="1:32" ht="11.25" customHeight="1" x14ac:dyDescent="0.3">
      <c r="A171" s="4" t="s">
        <v>28</v>
      </c>
      <c r="B171" s="4" t="s">
        <v>43</v>
      </c>
      <c r="C171" s="4" t="s">
        <v>23</v>
      </c>
      <c r="D171" s="4" t="s">
        <v>44</v>
      </c>
      <c r="E171" s="4" t="s">
        <v>55</v>
      </c>
      <c r="F171" s="4" t="s">
        <v>54</v>
      </c>
      <c r="G171" s="4" t="s">
        <v>25</v>
      </c>
      <c r="H171" s="4" t="s">
        <v>25</v>
      </c>
      <c r="I171" s="5">
        <v>44593</v>
      </c>
      <c r="J171" s="6">
        <v>0</v>
      </c>
      <c r="K171" s="6">
        <v>0</v>
      </c>
      <c r="L171" s="6">
        <v>2.7970000000000002</v>
      </c>
      <c r="M171" s="6">
        <v>2.7970000000000002</v>
      </c>
      <c r="N171" s="6">
        <v>2.7970000000000002</v>
      </c>
      <c r="O171" s="6">
        <v>2.7970000000000002</v>
      </c>
      <c r="P171" s="6">
        <v>0</v>
      </c>
      <c r="Q171" s="4" t="s">
        <v>26</v>
      </c>
      <c r="R171" s="4">
        <v>0</v>
      </c>
      <c r="S171" s="4">
        <v>0</v>
      </c>
      <c r="T171" s="4">
        <v>57</v>
      </c>
      <c r="U171" s="4">
        <v>31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763.29</v>
      </c>
      <c r="X171" s="6">
        <f>IF(ISERROR(VLOOKUP($U$171,'TAR FIN'!$A$1:$O$85,15,0)),0,VLOOKUP($U$171,'TAR FIN'!$A$1:$O$85,15,0))</f>
        <v>211.46</v>
      </c>
      <c r="Y171" s="6"/>
      <c r="Z171" s="6">
        <f ca="1">('TUSD BE'!$AM$33+'TUSD BF'!$AM$33+'TUSD CVA'!$AM$33)*(1-CUSTOS!$M$38)</f>
        <v>923.13389839835577</v>
      </c>
      <c r="AA171" s="6">
        <f>('TE BE'!$AA$24+'TE BF'!$AA$24+'TE CVA'!$AA$24)*(1-CUSTOS!$M$38)</f>
        <v>310.8870113668134</v>
      </c>
      <c r="AB171" s="6">
        <f t="shared" si="10"/>
        <v>0</v>
      </c>
      <c r="AC171" s="6">
        <f>(L171-M171)*(W171+X171)+($W$86+$X$86-$W$171-$X$171)*(L171)</f>
        <v>371.77724000000029</v>
      </c>
      <c r="AD171" s="6">
        <f t="shared" si="11"/>
        <v>0</v>
      </c>
      <c r="AE171" s="6">
        <f ca="1">(L171-M171)*(Z171+AA171)+($Z$86+$AA$86-$Z$171-$AA$171)*(L171)</f>
        <v>220.31211603913917</v>
      </c>
      <c r="AF171" s="4" t="s">
        <v>666</v>
      </c>
    </row>
    <row r="172" spans="1:32" ht="11.25" customHeight="1" x14ac:dyDescent="0.3">
      <c r="A172" s="4" t="s">
        <v>28</v>
      </c>
      <c r="B172" s="4" t="s">
        <v>43</v>
      </c>
      <c r="C172" s="4" t="s">
        <v>23</v>
      </c>
      <c r="D172" s="4" t="s">
        <v>44</v>
      </c>
      <c r="E172" s="4" t="s">
        <v>55</v>
      </c>
      <c r="F172" s="4" t="s">
        <v>54</v>
      </c>
      <c r="G172" s="4" t="s">
        <v>25</v>
      </c>
      <c r="H172" s="4" t="s">
        <v>25</v>
      </c>
      <c r="I172" s="5">
        <v>44621</v>
      </c>
      <c r="J172" s="6">
        <v>0</v>
      </c>
      <c r="K172" s="6">
        <v>0</v>
      </c>
      <c r="L172" s="6">
        <v>2.8650000000000002</v>
      </c>
      <c r="M172" s="6">
        <v>2.8650000000000002</v>
      </c>
      <c r="N172" s="6">
        <v>2.8650000000000002</v>
      </c>
      <c r="O172" s="6">
        <v>2.8650000000000002</v>
      </c>
      <c r="P172" s="6">
        <v>0</v>
      </c>
      <c r="Q172" s="4" t="s">
        <v>26</v>
      </c>
      <c r="R172" s="4">
        <v>0</v>
      </c>
      <c r="S172" s="4">
        <v>0</v>
      </c>
      <c r="T172" s="4">
        <v>57</v>
      </c>
      <c r="U172" s="4">
        <v>31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763.29</v>
      </c>
      <c r="X172" s="6">
        <f>IF(ISERROR(VLOOKUP($U$172,'TAR FIN'!$A$1:$O$85,15,0)),0,VLOOKUP($U$172,'TAR FIN'!$A$1:$O$85,15,0))</f>
        <v>211.46</v>
      </c>
      <c r="Y172" s="6"/>
      <c r="Z172" s="6">
        <f ca="1">('TUSD BE'!$AM$33+'TUSD BF'!$AM$33+'TUSD CVA'!$AM$33)*(1-CUSTOS!$M$38)</f>
        <v>923.13389839835577</v>
      </c>
      <c r="AA172" s="6">
        <f>('TE BE'!$AA$24+'TE BF'!$AA$24+'TE CVA'!$AA$24)*(1-CUSTOS!$M$38)</f>
        <v>310.8870113668134</v>
      </c>
      <c r="AB172" s="6">
        <f t="shared" si="10"/>
        <v>0</v>
      </c>
      <c r="AC172" s="6">
        <f>(L172-M172)*(W172+X172)+($W$86+$X$86-$W$172-$X$172)*(L172)</f>
        <v>380.81580000000031</v>
      </c>
      <c r="AD172" s="6">
        <f t="shared" si="11"/>
        <v>0</v>
      </c>
      <c r="AE172" s="6">
        <f ca="1">(L172-M172)*(Z172+AA172)+($Z$86+$AA$86-$Z$172-$AA$172)*(L172)</f>
        <v>225.66829190280077</v>
      </c>
      <c r="AF172" s="4" t="s">
        <v>666</v>
      </c>
    </row>
    <row r="173" spans="1:32" ht="11.25" customHeight="1" x14ac:dyDescent="0.3">
      <c r="A173" s="4" t="s">
        <v>21</v>
      </c>
      <c r="B173" s="4" t="s">
        <v>43</v>
      </c>
      <c r="C173" s="4" t="s">
        <v>23</v>
      </c>
      <c r="D173" s="4" t="s">
        <v>44</v>
      </c>
      <c r="E173" s="4" t="s">
        <v>25</v>
      </c>
      <c r="F173" s="4" t="s">
        <v>25</v>
      </c>
      <c r="G173" s="4" t="s">
        <v>25</v>
      </c>
      <c r="H173" s="4" t="s">
        <v>25</v>
      </c>
      <c r="I173" s="5">
        <v>44287</v>
      </c>
      <c r="J173" s="6">
        <v>0</v>
      </c>
      <c r="K173" s="6">
        <v>0</v>
      </c>
      <c r="L173" s="6">
        <v>56.527999999999999</v>
      </c>
      <c r="M173" s="6">
        <v>56.527999999999999</v>
      </c>
      <c r="N173" s="6">
        <v>56.527999999999999</v>
      </c>
      <c r="O173" s="6">
        <v>56.527999999999999</v>
      </c>
      <c r="P173" s="6">
        <v>171</v>
      </c>
      <c r="Q173" s="4" t="s">
        <v>26</v>
      </c>
      <c r="R173" s="4">
        <v>0</v>
      </c>
      <c r="S173" s="4">
        <v>0</v>
      </c>
      <c r="T173" s="4">
        <v>57</v>
      </c>
      <c r="U173" s="4">
        <v>31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763.29</v>
      </c>
      <c r="X173" s="6">
        <f>IF(ISERROR(VLOOKUP($U$173,'TAR FIN'!$A$1:$O$85,15,0)),0,VLOOKUP($U$173,'TAR FIN'!$A$1:$O$85,15,0))</f>
        <v>211.46</v>
      </c>
      <c r="Y173" s="6"/>
      <c r="Z173" s="6">
        <f ca="1">('TUSD BE'!$AM$33+'TUSD BF'!$AM$33+'TUSD CVA'!$AM$33)*(1-CUSTOS!$M$38)</f>
        <v>923.13389839835577</v>
      </c>
      <c r="AA173" s="6">
        <f>('TE BE'!$AA$24+'TE BF'!$AA$24+'TE CVA'!$AA$24)*(1-CUSTOS!$M$38)</f>
        <v>310.8870113668134</v>
      </c>
      <c r="AB173" s="6">
        <f t="shared" si="10"/>
        <v>0</v>
      </c>
      <c r="AC173" s="6">
        <f>(L173-M173)*(W173+X173)+($W$86+$X$86-$W$173-$X$173)*(L173)</f>
        <v>7513.7017600000054</v>
      </c>
      <c r="AD173" s="6">
        <f t="shared" si="11"/>
        <v>0</v>
      </c>
      <c r="AE173" s="6">
        <f ca="1">(L173-M173)*(Z173+AA173)+($Z$86+$AA$86-$Z$173-$AA$173)*(L173)</f>
        <v>4452.5574885450333</v>
      </c>
      <c r="AF173" s="4" t="s">
        <v>666</v>
      </c>
    </row>
    <row r="174" spans="1:32" ht="11.25" customHeight="1" x14ac:dyDescent="0.3">
      <c r="A174" s="4" t="s">
        <v>28</v>
      </c>
      <c r="B174" s="4" t="s">
        <v>43</v>
      </c>
      <c r="C174" s="4" t="s">
        <v>23</v>
      </c>
      <c r="D174" s="4" t="s">
        <v>44</v>
      </c>
      <c r="E174" s="4" t="s">
        <v>25</v>
      </c>
      <c r="F174" s="4" t="s">
        <v>25</v>
      </c>
      <c r="G174" s="4" t="s">
        <v>25</v>
      </c>
      <c r="H174" s="4" t="s">
        <v>25</v>
      </c>
      <c r="I174" s="5">
        <v>44287</v>
      </c>
      <c r="J174" s="6">
        <v>0</v>
      </c>
      <c r="K174" s="6">
        <v>0</v>
      </c>
      <c r="L174" s="6">
        <v>0.1</v>
      </c>
      <c r="M174" s="6">
        <v>0.1</v>
      </c>
      <c r="N174" s="6">
        <v>0.1</v>
      </c>
      <c r="O174" s="6">
        <v>0.1</v>
      </c>
      <c r="P174" s="6">
        <v>2</v>
      </c>
      <c r="Q174" s="4" t="s">
        <v>26</v>
      </c>
      <c r="R174" s="4">
        <v>0</v>
      </c>
      <c r="S174" s="4">
        <v>0</v>
      </c>
      <c r="T174" s="4">
        <v>57</v>
      </c>
      <c r="U174" s="4">
        <v>31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763.29</v>
      </c>
      <c r="X174" s="6">
        <f>IF(ISERROR(VLOOKUP($U$174,'TAR FIN'!$A$1:$O$85,15,0)),0,VLOOKUP($U$174,'TAR FIN'!$A$1:$O$85,15,0))</f>
        <v>211.46</v>
      </c>
      <c r="Y174" s="6"/>
      <c r="Z174" s="6">
        <f ca="1">('TUSD BE'!$AM$33+'TUSD BF'!$AM$33+'TUSD CVA'!$AM$33)*(1-CUSTOS!$M$38)</f>
        <v>923.13389839835577</v>
      </c>
      <c r="AA174" s="6">
        <f>('TE BE'!$AA$24+'TE BF'!$AA$24+'TE CVA'!$AA$24)*(1-CUSTOS!$M$38)</f>
        <v>310.8870113668134</v>
      </c>
      <c r="AB174" s="6">
        <f t="shared" si="10"/>
        <v>0</v>
      </c>
      <c r="AC174" s="6">
        <f>(L174-M174)*(W174+X174)+($W$86+$X$86-$W$174-$X$174)*(L174)</f>
        <v>13.29200000000001</v>
      </c>
      <c r="AD174" s="6">
        <f t="shared" si="11"/>
        <v>0</v>
      </c>
      <c r="AE174" s="6">
        <f ca="1">(L174-M174)*(Z174+AA174)+($Z$86+$AA$86-$Z$174-$AA$174)*(L174)</f>
        <v>7.8767292112670422</v>
      </c>
      <c r="AF174" s="4" t="s">
        <v>666</v>
      </c>
    </row>
    <row r="175" spans="1:32" ht="11.25" customHeight="1" x14ac:dyDescent="0.3">
      <c r="A175" s="4" t="s">
        <v>21</v>
      </c>
      <c r="B175" s="4" t="s">
        <v>43</v>
      </c>
      <c r="C175" s="4" t="s">
        <v>23</v>
      </c>
      <c r="D175" s="4" t="s">
        <v>44</v>
      </c>
      <c r="E175" s="4" t="s">
        <v>25</v>
      </c>
      <c r="F175" s="4" t="s">
        <v>25</v>
      </c>
      <c r="G175" s="4" t="s">
        <v>25</v>
      </c>
      <c r="H175" s="4" t="s">
        <v>25</v>
      </c>
      <c r="I175" s="5">
        <v>44317</v>
      </c>
      <c r="J175" s="6">
        <v>0</v>
      </c>
      <c r="K175" s="6">
        <v>0</v>
      </c>
      <c r="L175" s="6">
        <v>43.643999999999998</v>
      </c>
      <c r="M175" s="6">
        <v>43.643999999999998</v>
      </c>
      <c r="N175" s="6">
        <v>43.643999999999998</v>
      </c>
      <c r="O175" s="6">
        <v>43.643999999999998</v>
      </c>
      <c r="P175" s="6">
        <v>167</v>
      </c>
      <c r="Q175" s="4" t="s">
        <v>26</v>
      </c>
      <c r="R175" s="4">
        <v>0</v>
      </c>
      <c r="S175" s="4">
        <v>0</v>
      </c>
      <c r="T175" s="4">
        <v>57</v>
      </c>
      <c r="U175" s="4">
        <v>31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763.29</v>
      </c>
      <c r="X175" s="6">
        <f>IF(ISERROR(VLOOKUP($U$175,'TAR FIN'!$A$1:$O$85,15,0)),0,VLOOKUP($U$175,'TAR FIN'!$A$1:$O$85,15,0))</f>
        <v>211.46</v>
      </c>
      <c r="Y175" s="6"/>
      <c r="Z175" s="6">
        <f ca="1">('TUSD BE'!$AM$33+'TUSD BF'!$AM$33+'TUSD CVA'!$AM$33)*(1-CUSTOS!$M$38)</f>
        <v>923.13389839835577</v>
      </c>
      <c r="AA175" s="6">
        <f>('TE BE'!$AA$24+'TE BF'!$AA$24+'TE CVA'!$AA$24)*(1-CUSTOS!$M$38)</f>
        <v>310.8870113668134</v>
      </c>
      <c r="AB175" s="6">
        <f t="shared" si="10"/>
        <v>0</v>
      </c>
      <c r="AC175" s="6">
        <f>(L175-M175)*(W175+X175)+($W$86+$X$86-$W$175-$X$175)*(L175)</f>
        <v>5801.1604800000041</v>
      </c>
      <c r="AD175" s="6">
        <f t="shared" si="11"/>
        <v>0</v>
      </c>
      <c r="AE175" s="6">
        <f ca="1">(L175-M175)*(Z175+AA175)+($Z$86+$AA$86-$Z$175-$AA$175)*(L175)</f>
        <v>3437.7196969653878</v>
      </c>
      <c r="AF175" s="4" t="s">
        <v>666</v>
      </c>
    </row>
    <row r="176" spans="1:32" ht="11.25" customHeight="1" x14ac:dyDescent="0.3">
      <c r="A176" s="4" t="s">
        <v>27</v>
      </c>
      <c r="B176" s="4" t="s">
        <v>43</v>
      </c>
      <c r="C176" s="4" t="s">
        <v>23</v>
      </c>
      <c r="D176" s="4" t="s">
        <v>44</v>
      </c>
      <c r="E176" s="4" t="s">
        <v>25</v>
      </c>
      <c r="F176" s="4" t="s">
        <v>25</v>
      </c>
      <c r="G176" s="4" t="s">
        <v>25</v>
      </c>
      <c r="H176" s="4" t="s">
        <v>25</v>
      </c>
      <c r="I176" s="5">
        <v>44317</v>
      </c>
      <c r="J176" s="6">
        <v>0</v>
      </c>
      <c r="K176" s="6">
        <v>0</v>
      </c>
      <c r="L176" s="6">
        <v>-0.23200000000000001</v>
      </c>
      <c r="M176" s="6">
        <v>-0.23200000000000001</v>
      </c>
      <c r="N176" s="6">
        <v>-0.23200000000000001</v>
      </c>
      <c r="O176" s="6">
        <v>-0.23200000000000001</v>
      </c>
      <c r="P176" s="6">
        <v>0</v>
      </c>
      <c r="Q176" s="4" t="s">
        <v>26</v>
      </c>
      <c r="R176" s="4">
        <v>0</v>
      </c>
      <c r="S176" s="4">
        <v>0</v>
      </c>
      <c r="T176" s="4">
        <v>57</v>
      </c>
      <c r="U176" s="4">
        <v>31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763.29</v>
      </c>
      <c r="X176" s="6">
        <f>IF(ISERROR(VLOOKUP($U$176,'TAR FIN'!$A$1:$O$85,15,0)),0,VLOOKUP($U$176,'TAR FIN'!$A$1:$O$85,15,0))</f>
        <v>211.46</v>
      </c>
      <c r="Y176" s="6"/>
      <c r="Z176" s="6">
        <f ca="1">('TUSD BE'!$AM$33+'TUSD BF'!$AM$33+'TUSD CVA'!$AM$33)*(1-CUSTOS!$M$38)</f>
        <v>923.13389839835577</v>
      </c>
      <c r="AA176" s="6">
        <f>('TE BE'!$AA$24+'TE BF'!$AA$24+'TE CVA'!$AA$24)*(1-CUSTOS!$M$38)</f>
        <v>310.8870113668134</v>
      </c>
      <c r="AB176" s="6">
        <f t="shared" si="10"/>
        <v>0</v>
      </c>
      <c r="AC176" s="6">
        <f>(L176-M176)*(W176+X176)+($W$86+$X$86-$W$176-$X$176)*(L176)</f>
        <v>-30.837440000000026</v>
      </c>
      <c r="AD176" s="6">
        <f t="shared" si="11"/>
        <v>0</v>
      </c>
      <c r="AE176" s="6">
        <f ca="1">(L176-M176)*(Z176+AA176)+($Z$86+$AA$86-$Z$176-$AA$176)*(L176)</f>
        <v>-18.274011770139538</v>
      </c>
      <c r="AF176" s="4" t="s">
        <v>666</v>
      </c>
    </row>
    <row r="177" spans="1:32" ht="11.25" customHeight="1" x14ac:dyDescent="0.3">
      <c r="A177" s="4" t="s">
        <v>28</v>
      </c>
      <c r="B177" s="4" t="s">
        <v>43</v>
      </c>
      <c r="C177" s="4" t="s">
        <v>23</v>
      </c>
      <c r="D177" s="4" t="s">
        <v>44</v>
      </c>
      <c r="E177" s="4" t="s">
        <v>25</v>
      </c>
      <c r="F177" s="4" t="s">
        <v>25</v>
      </c>
      <c r="G177" s="4" t="s">
        <v>25</v>
      </c>
      <c r="H177" s="4" t="s">
        <v>25</v>
      </c>
      <c r="I177" s="5">
        <v>44317</v>
      </c>
      <c r="J177" s="6">
        <v>0</v>
      </c>
      <c r="K177" s="6">
        <v>0</v>
      </c>
      <c r="L177" s="6">
        <v>0.246</v>
      </c>
      <c r="M177" s="6">
        <v>0.246</v>
      </c>
      <c r="N177" s="6">
        <v>0.246</v>
      </c>
      <c r="O177" s="6">
        <v>0.246</v>
      </c>
      <c r="P177" s="6">
        <v>3</v>
      </c>
      <c r="Q177" s="4" t="s">
        <v>26</v>
      </c>
      <c r="R177" s="4">
        <v>0</v>
      </c>
      <c r="S177" s="4">
        <v>0</v>
      </c>
      <c r="T177" s="4">
        <v>57</v>
      </c>
      <c r="U177" s="4">
        <v>31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763.29</v>
      </c>
      <c r="X177" s="6">
        <f>IF(ISERROR(VLOOKUP($U$177,'TAR FIN'!$A$1:$O$85,15,0)),0,VLOOKUP($U$177,'TAR FIN'!$A$1:$O$85,15,0))</f>
        <v>211.46</v>
      </c>
      <c r="Y177" s="6"/>
      <c r="Z177" s="6">
        <f ca="1">('TUSD BE'!$AM$33+'TUSD BF'!$AM$33+'TUSD CVA'!$AM$33)*(1-CUSTOS!$M$38)</f>
        <v>923.13389839835577</v>
      </c>
      <c r="AA177" s="6">
        <f>('TE BE'!$AA$24+'TE BF'!$AA$24+'TE CVA'!$AA$24)*(1-CUSTOS!$M$38)</f>
        <v>310.8870113668134</v>
      </c>
      <c r="AB177" s="6">
        <f t="shared" si="10"/>
        <v>0</v>
      </c>
      <c r="AC177" s="6">
        <f>(L177-M177)*(W177+X177)+($W$86+$X$86-$W$177-$X$177)*(L177)</f>
        <v>32.698320000000024</v>
      </c>
      <c r="AD177" s="6">
        <f t="shared" si="11"/>
        <v>0</v>
      </c>
      <c r="AE177" s="6">
        <f ca="1">(L177-M177)*(Z177+AA177)+($Z$86+$AA$86-$Z$177-$AA$177)*(L177)</f>
        <v>19.376753859716924</v>
      </c>
      <c r="AF177" s="4" t="s">
        <v>666</v>
      </c>
    </row>
    <row r="178" spans="1:32" ht="11.25" customHeight="1" x14ac:dyDescent="0.3">
      <c r="A178" s="4" t="s">
        <v>21</v>
      </c>
      <c r="B178" s="4" t="s">
        <v>43</v>
      </c>
      <c r="C178" s="4" t="s">
        <v>23</v>
      </c>
      <c r="D178" s="4" t="s">
        <v>44</v>
      </c>
      <c r="E178" s="4" t="s">
        <v>25</v>
      </c>
      <c r="F178" s="4" t="s">
        <v>25</v>
      </c>
      <c r="G178" s="4" t="s">
        <v>25</v>
      </c>
      <c r="H178" s="4" t="s">
        <v>25</v>
      </c>
      <c r="I178" s="5">
        <v>44348</v>
      </c>
      <c r="J178" s="6">
        <v>0</v>
      </c>
      <c r="K178" s="6">
        <v>0</v>
      </c>
      <c r="L178" s="6">
        <v>47.582999999999998</v>
      </c>
      <c r="M178" s="6">
        <v>47.582999999999998</v>
      </c>
      <c r="N178" s="6">
        <v>47.582999999999998</v>
      </c>
      <c r="O178" s="6">
        <v>47.582999999999998</v>
      </c>
      <c r="P178" s="6">
        <v>166</v>
      </c>
      <c r="Q178" s="4" t="s">
        <v>26</v>
      </c>
      <c r="R178" s="4">
        <v>0</v>
      </c>
      <c r="S178" s="4">
        <v>0</v>
      </c>
      <c r="T178" s="4">
        <v>57</v>
      </c>
      <c r="U178" s="4">
        <v>31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763.29</v>
      </c>
      <c r="X178" s="6">
        <f>IF(ISERROR(VLOOKUP($U$178,'TAR FIN'!$A$1:$O$85,15,0)),0,VLOOKUP($U$178,'TAR FIN'!$A$1:$O$85,15,0))</f>
        <v>211.46</v>
      </c>
      <c r="Y178" s="6"/>
      <c r="Z178" s="6">
        <f ca="1">('TUSD BE'!$AM$33+'TUSD BF'!$AM$33+'TUSD CVA'!$AM$33)*(1-CUSTOS!$M$38)</f>
        <v>923.13389839835577</v>
      </c>
      <c r="AA178" s="6">
        <f>('TE BE'!$AA$24+'TE BF'!$AA$24+'TE CVA'!$AA$24)*(1-CUSTOS!$M$38)</f>
        <v>310.8870113668134</v>
      </c>
      <c r="AB178" s="6">
        <f t="shared" si="10"/>
        <v>0</v>
      </c>
      <c r="AC178" s="6">
        <f>(L178-M178)*(W178+X178)+($W$86+$X$86-$W$178-$X$178)*(L178)</f>
        <v>6324.7323600000045</v>
      </c>
      <c r="AD178" s="6">
        <f t="shared" si="11"/>
        <v>0</v>
      </c>
      <c r="AE178" s="6">
        <f ca="1">(L178-M178)*(Z178+AA178)+($Z$86+$AA$86-$Z$178-$AA$178)*(L178)</f>
        <v>3747.9840605971963</v>
      </c>
      <c r="AF178" s="4" t="s">
        <v>666</v>
      </c>
    </row>
    <row r="179" spans="1:32" ht="11.25" customHeight="1" x14ac:dyDescent="0.3">
      <c r="A179" s="4" t="s">
        <v>28</v>
      </c>
      <c r="B179" s="4" t="s">
        <v>43</v>
      </c>
      <c r="C179" s="4" t="s">
        <v>23</v>
      </c>
      <c r="D179" s="4" t="s">
        <v>44</v>
      </c>
      <c r="E179" s="4" t="s">
        <v>25</v>
      </c>
      <c r="F179" s="4" t="s">
        <v>25</v>
      </c>
      <c r="G179" s="4" t="s">
        <v>25</v>
      </c>
      <c r="H179" s="4" t="s">
        <v>25</v>
      </c>
      <c r="I179" s="5">
        <v>44348</v>
      </c>
      <c r="J179" s="6">
        <v>0</v>
      </c>
      <c r="K179" s="6">
        <v>0</v>
      </c>
      <c r="L179" s="6">
        <v>0.34200000000000003</v>
      </c>
      <c r="M179" s="6">
        <v>0.34200000000000003</v>
      </c>
      <c r="N179" s="6">
        <v>0.34200000000000003</v>
      </c>
      <c r="O179" s="6">
        <v>0.34200000000000003</v>
      </c>
      <c r="P179" s="6">
        <v>3</v>
      </c>
      <c r="Q179" s="4" t="s">
        <v>26</v>
      </c>
      <c r="R179" s="4">
        <v>0</v>
      </c>
      <c r="S179" s="4">
        <v>0</v>
      </c>
      <c r="T179" s="4">
        <v>57</v>
      </c>
      <c r="U179" s="4">
        <v>31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763.29</v>
      </c>
      <c r="X179" s="6">
        <f>IF(ISERROR(VLOOKUP($U$179,'TAR FIN'!$A$1:$O$85,15,0)),0,VLOOKUP($U$179,'TAR FIN'!$A$1:$O$85,15,0))</f>
        <v>211.46</v>
      </c>
      <c r="Y179" s="6"/>
      <c r="Z179" s="6">
        <f ca="1">('TUSD BE'!$AM$33+'TUSD BF'!$AM$33+'TUSD CVA'!$AM$33)*(1-CUSTOS!$M$38)</f>
        <v>923.13389839835577</v>
      </c>
      <c r="AA179" s="6">
        <f>('TE BE'!$AA$24+'TE BF'!$AA$24+'TE CVA'!$AA$24)*(1-CUSTOS!$M$38)</f>
        <v>310.8870113668134</v>
      </c>
      <c r="AB179" s="6">
        <f t="shared" si="10"/>
        <v>0</v>
      </c>
      <c r="AC179" s="6">
        <f>(L179-M179)*(W179+X179)+($W$86+$X$86-$W$179-$X$179)*(L179)</f>
        <v>45.458640000000038</v>
      </c>
      <c r="AD179" s="6">
        <f t="shared" si="11"/>
        <v>0</v>
      </c>
      <c r="AE179" s="6">
        <f ca="1">(L179-M179)*(Z179+AA179)+($Z$86+$AA$86-$Z$179-$AA$179)*(L179)</f>
        <v>26.938413902533284</v>
      </c>
      <c r="AF179" s="4" t="s">
        <v>666</v>
      </c>
    </row>
    <row r="180" spans="1:32" ht="11.25" customHeight="1" x14ac:dyDescent="0.3">
      <c r="A180" s="4" t="s">
        <v>21</v>
      </c>
      <c r="B180" s="4" t="s">
        <v>43</v>
      </c>
      <c r="C180" s="4" t="s">
        <v>23</v>
      </c>
      <c r="D180" s="4" t="s">
        <v>44</v>
      </c>
      <c r="E180" s="4" t="s">
        <v>25</v>
      </c>
      <c r="F180" s="4" t="s">
        <v>25</v>
      </c>
      <c r="G180" s="4" t="s">
        <v>25</v>
      </c>
      <c r="H180" s="4" t="s">
        <v>25</v>
      </c>
      <c r="I180" s="5">
        <v>44378</v>
      </c>
      <c r="J180" s="6">
        <v>0</v>
      </c>
      <c r="K180" s="6">
        <v>0</v>
      </c>
      <c r="L180" s="6">
        <v>63.924999999999997</v>
      </c>
      <c r="M180" s="6">
        <v>63.924999999999997</v>
      </c>
      <c r="N180" s="6">
        <v>63.924999999999997</v>
      </c>
      <c r="O180" s="6">
        <v>63.924999999999997</v>
      </c>
      <c r="P180" s="6">
        <v>162</v>
      </c>
      <c r="Q180" s="4" t="s">
        <v>26</v>
      </c>
      <c r="R180" s="4">
        <v>0</v>
      </c>
      <c r="S180" s="4">
        <v>0</v>
      </c>
      <c r="T180" s="4">
        <v>57</v>
      </c>
      <c r="U180" s="4">
        <v>31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763.29</v>
      </c>
      <c r="X180" s="6">
        <f>IF(ISERROR(VLOOKUP($U$180,'TAR FIN'!$A$1:$O$85,15,0)),0,VLOOKUP($U$180,'TAR FIN'!$A$1:$O$85,15,0))</f>
        <v>211.46</v>
      </c>
      <c r="Y180" s="6"/>
      <c r="Z180" s="6">
        <f ca="1">('TUSD BE'!$AM$33+'TUSD BF'!$AM$33+'TUSD CVA'!$AM$33)*(1-CUSTOS!$M$38)</f>
        <v>923.13389839835577</v>
      </c>
      <c r="AA180" s="6">
        <f>('TE BE'!$AA$24+'TE BF'!$AA$24+'TE CVA'!$AA$24)*(1-CUSTOS!$M$38)</f>
        <v>310.8870113668134</v>
      </c>
      <c r="AB180" s="6">
        <f t="shared" si="10"/>
        <v>0</v>
      </c>
      <c r="AC180" s="6">
        <f>(L180-M180)*(W180+X180)+($W$86+$X$86-$W$180-$X$180)*(L180)</f>
        <v>8496.9110000000055</v>
      </c>
      <c r="AD180" s="6">
        <f t="shared" si="11"/>
        <v>0</v>
      </c>
      <c r="AE180" s="6">
        <f ca="1">(L180-M180)*(Z180+AA180)+($Z$86+$AA$86-$Z$180-$AA$180)*(L180)</f>
        <v>5035.1991483024567</v>
      </c>
      <c r="AF180" s="4" t="s">
        <v>666</v>
      </c>
    </row>
    <row r="181" spans="1:32" ht="11.25" customHeight="1" x14ac:dyDescent="0.3">
      <c r="A181" s="4" t="s">
        <v>28</v>
      </c>
      <c r="B181" s="4" t="s">
        <v>43</v>
      </c>
      <c r="C181" s="4" t="s">
        <v>23</v>
      </c>
      <c r="D181" s="4" t="s">
        <v>44</v>
      </c>
      <c r="E181" s="4" t="s">
        <v>25</v>
      </c>
      <c r="F181" s="4" t="s">
        <v>25</v>
      </c>
      <c r="G181" s="4" t="s">
        <v>25</v>
      </c>
      <c r="H181" s="4" t="s">
        <v>25</v>
      </c>
      <c r="I181" s="5">
        <v>44378</v>
      </c>
      <c r="J181" s="6">
        <v>0</v>
      </c>
      <c r="K181" s="6">
        <v>0</v>
      </c>
      <c r="L181" s="6">
        <v>0.58699999999999997</v>
      </c>
      <c r="M181" s="6">
        <v>0.58699999999999997</v>
      </c>
      <c r="N181" s="6">
        <v>0.58699999999999997</v>
      </c>
      <c r="O181" s="6">
        <v>0.58699999999999997</v>
      </c>
      <c r="P181" s="6">
        <v>5</v>
      </c>
      <c r="Q181" s="4" t="s">
        <v>26</v>
      </c>
      <c r="R181" s="4">
        <v>0</v>
      </c>
      <c r="S181" s="4">
        <v>0</v>
      </c>
      <c r="T181" s="4">
        <v>57</v>
      </c>
      <c r="U181" s="4">
        <v>31</v>
      </c>
      <c r="V181" s="6">
        <f>IF(ISERROR(VLOOKUP($S$181,'TAR FIN'!$A$1:$O$85,15,0)),0,VLOOKUP($S$181,'TAR FIN'!$A$1:$O$85,15,0))</f>
        <v>0</v>
      </c>
      <c r="W181" s="6">
        <f>IF(ISERROR(VLOOKUP($T$181,'TAR FIN'!$A$1:$O$85,15,0)),0,VLOOKUP($T$181,'TAR FIN'!$A$1:$O$85,15,0))</f>
        <v>763.29</v>
      </c>
      <c r="X181" s="6">
        <f>IF(ISERROR(VLOOKUP($U$181,'TAR FIN'!$A$1:$O$85,15,0)),0,VLOOKUP($U$181,'TAR FIN'!$A$1:$O$85,15,0))</f>
        <v>211.46</v>
      </c>
      <c r="Y181" s="6"/>
      <c r="Z181" s="6">
        <f ca="1">('TUSD BE'!$AM$33+'TUSD BF'!$AM$33+'TUSD CVA'!$AM$33)*(1-CUSTOS!$M$38)</f>
        <v>923.13389839835577</v>
      </c>
      <c r="AA181" s="6">
        <f>('TE BE'!$AA$24+'TE BF'!$AA$24+'TE CVA'!$AA$24)*(1-CUSTOS!$M$38)</f>
        <v>310.8870113668134</v>
      </c>
      <c r="AB181" s="6">
        <f t="shared" si="10"/>
        <v>0</v>
      </c>
      <c r="AC181" s="6">
        <f>(L181-M181)*(W181+X181)+($W$86+$X$86-$W$181-$X$181)*(L181)</f>
        <v>78.024040000000056</v>
      </c>
      <c r="AD181" s="6">
        <f t="shared" si="11"/>
        <v>0</v>
      </c>
      <c r="AE181" s="6">
        <f ca="1">(L181-M181)*(Z181+AA181)+($Z$86+$AA$86-$Z$181-$AA$181)*(L181)</f>
        <v>46.236400470137532</v>
      </c>
      <c r="AF181" s="4" t="s">
        <v>666</v>
      </c>
    </row>
    <row r="182" spans="1:32" ht="11.25" customHeight="1" x14ac:dyDescent="0.3">
      <c r="A182" s="4" t="s">
        <v>21</v>
      </c>
      <c r="B182" s="4" t="s">
        <v>43</v>
      </c>
      <c r="C182" s="4" t="s">
        <v>23</v>
      </c>
      <c r="D182" s="4" t="s">
        <v>44</v>
      </c>
      <c r="E182" s="4" t="s">
        <v>25</v>
      </c>
      <c r="F182" s="4" t="s">
        <v>25</v>
      </c>
      <c r="G182" s="4" t="s">
        <v>25</v>
      </c>
      <c r="H182" s="4" t="s">
        <v>25</v>
      </c>
      <c r="I182" s="5">
        <v>44409</v>
      </c>
      <c r="J182" s="6">
        <v>0</v>
      </c>
      <c r="K182" s="6">
        <v>0</v>
      </c>
      <c r="L182" s="6">
        <v>39.451999999999998</v>
      </c>
      <c r="M182" s="6">
        <v>39.451999999999998</v>
      </c>
      <c r="N182" s="6">
        <v>39.451999999999998</v>
      </c>
      <c r="O182" s="6">
        <v>39.451999999999998</v>
      </c>
      <c r="P182" s="6">
        <v>160</v>
      </c>
      <c r="Q182" s="4" t="s">
        <v>26</v>
      </c>
      <c r="R182" s="4">
        <v>0</v>
      </c>
      <c r="S182" s="4">
        <v>0</v>
      </c>
      <c r="T182" s="4">
        <v>57</v>
      </c>
      <c r="U182" s="4">
        <v>31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763.29</v>
      </c>
      <c r="X182" s="6">
        <f>IF(ISERROR(VLOOKUP($U$182,'TAR FIN'!$A$1:$O$85,15,0)),0,VLOOKUP($U$182,'TAR FIN'!$A$1:$O$85,15,0))</f>
        <v>211.46</v>
      </c>
      <c r="Y182" s="6"/>
      <c r="Z182" s="6">
        <f ca="1">('TUSD BE'!$AM$33+'TUSD BF'!$AM$33+'TUSD CVA'!$AM$33)*(1-CUSTOS!$M$38)</f>
        <v>923.13389839835577</v>
      </c>
      <c r="AA182" s="6">
        <f>('TE BE'!$AA$24+'TE BF'!$AA$24+'TE CVA'!$AA$24)*(1-CUSTOS!$M$38)</f>
        <v>310.8870113668134</v>
      </c>
      <c r="AB182" s="6">
        <f t="shared" si="10"/>
        <v>0</v>
      </c>
      <c r="AC182" s="6">
        <f>(L182-M182)*(W182+X182)+($W$86+$X$86-$W$182-$X$182)*(L182)</f>
        <v>5243.9598400000041</v>
      </c>
      <c r="AD182" s="6">
        <f t="shared" si="11"/>
        <v>0</v>
      </c>
      <c r="AE182" s="6">
        <f ca="1">(L182-M182)*(Z182+AA182)+($Z$86+$AA$86-$Z$182-$AA$182)*(L182)</f>
        <v>3107.5272084290732</v>
      </c>
      <c r="AF182" s="4" t="s">
        <v>666</v>
      </c>
    </row>
    <row r="183" spans="1:32" ht="11.25" customHeight="1" x14ac:dyDescent="0.3">
      <c r="A183" s="4" t="s">
        <v>27</v>
      </c>
      <c r="B183" s="4" t="s">
        <v>43</v>
      </c>
      <c r="C183" s="4" t="s">
        <v>23</v>
      </c>
      <c r="D183" s="4" t="s">
        <v>44</v>
      </c>
      <c r="E183" s="4" t="s">
        <v>25</v>
      </c>
      <c r="F183" s="4" t="s">
        <v>25</v>
      </c>
      <c r="G183" s="4" t="s">
        <v>25</v>
      </c>
      <c r="H183" s="4" t="s">
        <v>25</v>
      </c>
      <c r="I183" s="5">
        <v>44409</v>
      </c>
      <c r="J183" s="6">
        <v>0</v>
      </c>
      <c r="K183" s="6">
        <v>0</v>
      </c>
      <c r="L183" s="6">
        <v>-9.7000000000000003E-2</v>
      </c>
      <c r="M183" s="6">
        <v>-9.7000000000000003E-2</v>
      </c>
      <c r="N183" s="6">
        <v>-9.7000000000000003E-2</v>
      </c>
      <c r="O183" s="6">
        <v>-9.7000000000000003E-2</v>
      </c>
      <c r="P183" s="6">
        <v>0</v>
      </c>
      <c r="Q183" s="4" t="s">
        <v>26</v>
      </c>
      <c r="R183" s="4">
        <v>0</v>
      </c>
      <c r="S183" s="4">
        <v>0</v>
      </c>
      <c r="T183" s="4">
        <v>57</v>
      </c>
      <c r="U183" s="4">
        <v>31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763.29</v>
      </c>
      <c r="X183" s="6">
        <f>IF(ISERROR(VLOOKUP($U$183,'TAR FIN'!$A$1:$O$85,15,0)),0,VLOOKUP($U$183,'TAR FIN'!$A$1:$O$85,15,0))</f>
        <v>211.46</v>
      </c>
      <c r="Y183" s="6"/>
      <c r="Z183" s="6">
        <f ca="1">('TUSD BE'!$AM$33+'TUSD BF'!$AM$33+'TUSD CVA'!$AM$33)*(1-CUSTOS!$M$38)</f>
        <v>923.13389839835577</v>
      </c>
      <c r="AA183" s="6">
        <f>('TE BE'!$AA$24+'TE BF'!$AA$24+'TE CVA'!$AA$24)*(1-CUSTOS!$M$38)</f>
        <v>310.8870113668134</v>
      </c>
      <c r="AB183" s="6">
        <f t="shared" si="10"/>
        <v>0</v>
      </c>
      <c r="AC183" s="6">
        <f>(L183-M183)*(W183+X183)+($W$86+$X$86-$W$183-$X$183)*(L183)</f>
        <v>-12.893240000000009</v>
      </c>
      <c r="AD183" s="6">
        <f t="shared" si="11"/>
        <v>0</v>
      </c>
      <c r="AE183" s="6">
        <f ca="1">(L183-M183)*(Z183+AA183)+($Z$86+$AA$86-$Z$183-$AA$183)*(L183)</f>
        <v>-7.640427334929031</v>
      </c>
      <c r="AF183" s="4" t="s">
        <v>666</v>
      </c>
    </row>
    <row r="184" spans="1:32" ht="11.25" customHeight="1" x14ac:dyDescent="0.3">
      <c r="A184" s="4" t="s">
        <v>28</v>
      </c>
      <c r="B184" s="4" t="s">
        <v>43</v>
      </c>
      <c r="C184" s="4" t="s">
        <v>23</v>
      </c>
      <c r="D184" s="4" t="s">
        <v>44</v>
      </c>
      <c r="E184" s="4" t="s">
        <v>25</v>
      </c>
      <c r="F184" s="4" t="s">
        <v>25</v>
      </c>
      <c r="G184" s="4" t="s">
        <v>25</v>
      </c>
      <c r="H184" s="4" t="s">
        <v>25</v>
      </c>
      <c r="I184" s="5">
        <v>44409</v>
      </c>
      <c r="J184" s="6">
        <v>0</v>
      </c>
      <c r="K184" s="6">
        <v>0</v>
      </c>
      <c r="L184" s="6">
        <v>0.56000000000000005</v>
      </c>
      <c r="M184" s="6">
        <v>0.56000000000000005</v>
      </c>
      <c r="N184" s="6">
        <v>0.56000000000000005</v>
      </c>
      <c r="O184" s="6">
        <v>0.56000000000000005</v>
      </c>
      <c r="P184" s="6">
        <v>5</v>
      </c>
      <c r="Q184" s="4" t="s">
        <v>26</v>
      </c>
      <c r="R184" s="4">
        <v>0</v>
      </c>
      <c r="S184" s="4">
        <v>0</v>
      </c>
      <c r="T184" s="4">
        <v>57</v>
      </c>
      <c r="U184" s="4">
        <v>31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763.29</v>
      </c>
      <c r="X184" s="6">
        <f>IF(ISERROR(VLOOKUP($U$184,'TAR FIN'!$A$1:$O$85,15,0)),0,VLOOKUP($U$184,'TAR FIN'!$A$1:$O$85,15,0))</f>
        <v>211.46</v>
      </c>
      <c r="Y184" s="6"/>
      <c r="Z184" s="6">
        <f ca="1">('TUSD BE'!$AM$33+'TUSD BF'!$AM$33+'TUSD CVA'!$AM$33)*(1-CUSTOS!$M$38)</f>
        <v>923.13389839835577</v>
      </c>
      <c r="AA184" s="6">
        <f>('TE BE'!$AA$24+'TE BF'!$AA$24+'TE CVA'!$AA$24)*(1-CUSTOS!$M$38)</f>
        <v>310.8870113668134</v>
      </c>
      <c r="AB184" s="6">
        <f t="shared" si="10"/>
        <v>0</v>
      </c>
      <c r="AC184" s="6">
        <f>(L184-M184)*(W184+X184)+($W$86+$X$86-$W$184-$X$184)*(L184)</f>
        <v>74.435200000000066</v>
      </c>
      <c r="AD184" s="6">
        <f t="shared" si="11"/>
        <v>0</v>
      </c>
      <c r="AE184" s="6">
        <f ca="1">(L184-M184)*(Z184+AA184)+($Z$86+$AA$86-$Z$184-$AA$184)*(L184)</f>
        <v>44.109683583095439</v>
      </c>
      <c r="AF184" s="4" t="s">
        <v>666</v>
      </c>
    </row>
    <row r="185" spans="1:32" ht="11.25" customHeight="1" x14ac:dyDescent="0.3">
      <c r="A185" s="4" t="s">
        <v>21</v>
      </c>
      <c r="B185" s="4" t="s">
        <v>43</v>
      </c>
      <c r="C185" s="4" t="s">
        <v>23</v>
      </c>
      <c r="D185" s="4" t="s">
        <v>44</v>
      </c>
      <c r="E185" s="4" t="s">
        <v>25</v>
      </c>
      <c r="F185" s="4" t="s">
        <v>25</v>
      </c>
      <c r="G185" s="4" t="s">
        <v>25</v>
      </c>
      <c r="H185" s="4" t="s">
        <v>25</v>
      </c>
      <c r="I185" s="5">
        <v>44440</v>
      </c>
      <c r="J185" s="6">
        <v>0</v>
      </c>
      <c r="K185" s="6">
        <v>0</v>
      </c>
      <c r="L185" s="6">
        <v>42.475999999999999</v>
      </c>
      <c r="M185" s="6">
        <v>42.475999999999999</v>
      </c>
      <c r="N185" s="6">
        <v>42.475999999999999</v>
      </c>
      <c r="O185" s="6">
        <v>42.475999999999999</v>
      </c>
      <c r="P185" s="6">
        <v>161</v>
      </c>
      <c r="Q185" s="4" t="s">
        <v>26</v>
      </c>
      <c r="R185" s="4">
        <v>0</v>
      </c>
      <c r="S185" s="4">
        <v>0</v>
      </c>
      <c r="T185" s="4">
        <v>57</v>
      </c>
      <c r="U185" s="4">
        <v>31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763.29</v>
      </c>
      <c r="X185" s="6">
        <f>IF(ISERROR(VLOOKUP($U$185,'TAR FIN'!$A$1:$O$85,15,0)),0,VLOOKUP($U$185,'TAR FIN'!$A$1:$O$85,15,0))</f>
        <v>211.46</v>
      </c>
      <c r="Y185" s="6"/>
      <c r="Z185" s="6">
        <f ca="1">('TUSD BE'!$AM$33+'TUSD BF'!$AM$33+'TUSD CVA'!$AM$33)*(1-CUSTOS!$M$38)</f>
        <v>923.13389839835577</v>
      </c>
      <c r="AA185" s="6">
        <f>('TE BE'!$AA$24+'TE BF'!$AA$24+'TE CVA'!$AA$24)*(1-CUSTOS!$M$38)</f>
        <v>310.8870113668134</v>
      </c>
      <c r="AB185" s="6">
        <f t="shared" si="10"/>
        <v>0</v>
      </c>
      <c r="AC185" s="6">
        <f>(L185-M185)*(W185+X185)+($W$86+$X$86-$W$185-$X$185)*(L185)</f>
        <v>5645.9099200000046</v>
      </c>
      <c r="AD185" s="6">
        <f t="shared" si="11"/>
        <v>0</v>
      </c>
      <c r="AE185" s="6">
        <f ca="1">(L185-M185)*(Z185+AA185)+($Z$86+$AA$86-$Z$185-$AA$185)*(L185)</f>
        <v>3345.7194997777888</v>
      </c>
      <c r="AF185" s="4" t="s">
        <v>666</v>
      </c>
    </row>
    <row r="186" spans="1:32" ht="11.25" customHeight="1" x14ac:dyDescent="0.3">
      <c r="A186" s="4" t="s">
        <v>27</v>
      </c>
      <c r="B186" s="4" t="s">
        <v>43</v>
      </c>
      <c r="C186" s="4" t="s">
        <v>23</v>
      </c>
      <c r="D186" s="4" t="s">
        <v>44</v>
      </c>
      <c r="E186" s="4" t="s">
        <v>25</v>
      </c>
      <c r="F186" s="4" t="s">
        <v>25</v>
      </c>
      <c r="G186" s="4" t="s">
        <v>25</v>
      </c>
      <c r="H186" s="4" t="s">
        <v>25</v>
      </c>
      <c r="I186" s="5">
        <v>44440</v>
      </c>
      <c r="J186" s="6">
        <v>0</v>
      </c>
      <c r="K186" s="6">
        <v>0</v>
      </c>
      <c r="L186" s="6">
        <v>-0.309</v>
      </c>
      <c r="M186" s="6">
        <v>-0.309</v>
      </c>
      <c r="N186" s="6">
        <v>-0.309</v>
      </c>
      <c r="O186" s="6">
        <v>-0.309</v>
      </c>
      <c r="P186" s="6">
        <v>0</v>
      </c>
      <c r="Q186" s="4" t="s">
        <v>26</v>
      </c>
      <c r="R186" s="4">
        <v>0</v>
      </c>
      <c r="S186" s="4">
        <v>0</v>
      </c>
      <c r="T186" s="4">
        <v>57</v>
      </c>
      <c r="U186" s="4">
        <v>31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763.29</v>
      </c>
      <c r="X186" s="6">
        <f>IF(ISERROR(VLOOKUP($U$186,'TAR FIN'!$A$1:$O$85,15,0)),0,VLOOKUP($U$186,'TAR FIN'!$A$1:$O$85,15,0))</f>
        <v>211.46</v>
      </c>
      <c r="Y186" s="6"/>
      <c r="Z186" s="6">
        <f ca="1">('TUSD BE'!$AM$33+'TUSD BF'!$AM$33+'TUSD CVA'!$AM$33)*(1-CUSTOS!$M$38)</f>
        <v>923.13389839835577</v>
      </c>
      <c r="AA186" s="6">
        <f>('TE BE'!$AA$24+'TE BF'!$AA$24+'TE CVA'!$AA$24)*(1-CUSTOS!$M$38)</f>
        <v>310.8870113668134</v>
      </c>
      <c r="AB186" s="6">
        <f t="shared" si="10"/>
        <v>0</v>
      </c>
      <c r="AC186" s="6">
        <f>(L186-M186)*(W186+X186)+($W$86+$X$86-$W$186-$X$186)*(L186)</f>
        <v>-41.072280000000028</v>
      </c>
      <c r="AD186" s="6">
        <f t="shared" si="11"/>
        <v>0</v>
      </c>
      <c r="AE186" s="6">
        <f ca="1">(L186-M186)*(Z186+AA186)+($Z$86+$AA$86-$Z$186-$AA$186)*(L186)</f>
        <v>-24.339093262815158</v>
      </c>
      <c r="AF186" s="4" t="s">
        <v>666</v>
      </c>
    </row>
    <row r="187" spans="1:32" ht="11.25" customHeight="1" x14ac:dyDescent="0.3">
      <c r="A187" s="4" t="s">
        <v>28</v>
      </c>
      <c r="B187" s="4" t="s">
        <v>43</v>
      </c>
      <c r="C187" s="4" t="s">
        <v>23</v>
      </c>
      <c r="D187" s="4" t="s">
        <v>44</v>
      </c>
      <c r="E187" s="4" t="s">
        <v>25</v>
      </c>
      <c r="F187" s="4" t="s">
        <v>25</v>
      </c>
      <c r="G187" s="4" t="s">
        <v>25</v>
      </c>
      <c r="H187" s="4" t="s">
        <v>25</v>
      </c>
      <c r="I187" s="5">
        <v>44440</v>
      </c>
      <c r="J187" s="6">
        <v>0</v>
      </c>
      <c r="K187" s="6">
        <v>0</v>
      </c>
      <c r="L187" s="6">
        <v>0.45300000000000001</v>
      </c>
      <c r="M187" s="6">
        <v>0.45300000000000001</v>
      </c>
      <c r="N187" s="6">
        <v>0.45300000000000001</v>
      </c>
      <c r="O187" s="6">
        <v>0.45300000000000001</v>
      </c>
      <c r="P187" s="6">
        <v>5</v>
      </c>
      <c r="Q187" s="4" t="s">
        <v>26</v>
      </c>
      <c r="R187" s="4">
        <v>0</v>
      </c>
      <c r="S187" s="4">
        <v>0</v>
      </c>
      <c r="T187" s="4">
        <v>57</v>
      </c>
      <c r="U187" s="4">
        <v>31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763.29</v>
      </c>
      <c r="X187" s="6">
        <f>IF(ISERROR(VLOOKUP($U$187,'TAR FIN'!$A$1:$O$85,15,0)),0,VLOOKUP($U$187,'TAR FIN'!$A$1:$O$85,15,0))</f>
        <v>211.46</v>
      </c>
      <c r="Y187" s="6"/>
      <c r="Z187" s="6">
        <f ca="1">('TUSD BE'!$AM$33+'TUSD BF'!$AM$33+'TUSD CVA'!$AM$33)*(1-CUSTOS!$M$38)</f>
        <v>923.13389839835577</v>
      </c>
      <c r="AA187" s="6">
        <f>('TE BE'!$AA$24+'TE BF'!$AA$24+'TE CVA'!$AA$24)*(1-CUSTOS!$M$38)</f>
        <v>310.8870113668134</v>
      </c>
      <c r="AB187" s="6">
        <f t="shared" si="10"/>
        <v>0</v>
      </c>
      <c r="AC187" s="6">
        <f>(L187-M187)*(W187+X187)+($W$86+$X$86-$W$187-$X$187)*(L187)</f>
        <v>60.212760000000046</v>
      </c>
      <c r="AD187" s="6">
        <f t="shared" si="11"/>
        <v>0</v>
      </c>
      <c r="AE187" s="6">
        <f ca="1">(L187-M187)*(Z187+AA187)+($Z$86+$AA$86-$Z$187-$AA$187)*(L187)</f>
        <v>35.681583327039704</v>
      </c>
      <c r="AF187" s="4" t="s">
        <v>666</v>
      </c>
    </row>
    <row r="188" spans="1:32" ht="11.25" customHeight="1" x14ac:dyDescent="0.3">
      <c r="A188" s="4" t="s">
        <v>21</v>
      </c>
      <c r="B188" s="4" t="s">
        <v>43</v>
      </c>
      <c r="C188" s="4" t="s">
        <v>23</v>
      </c>
      <c r="D188" s="4" t="s">
        <v>44</v>
      </c>
      <c r="E188" s="4" t="s">
        <v>25</v>
      </c>
      <c r="F188" s="4" t="s">
        <v>25</v>
      </c>
      <c r="G188" s="4" t="s">
        <v>25</v>
      </c>
      <c r="H188" s="4" t="s">
        <v>25</v>
      </c>
      <c r="I188" s="5">
        <v>44470</v>
      </c>
      <c r="J188" s="6">
        <v>0</v>
      </c>
      <c r="K188" s="6">
        <v>0</v>
      </c>
      <c r="L188" s="6">
        <v>40.125</v>
      </c>
      <c r="M188" s="6">
        <v>40.125</v>
      </c>
      <c r="N188" s="6">
        <v>40.125</v>
      </c>
      <c r="O188" s="6">
        <v>40.125</v>
      </c>
      <c r="P188" s="6">
        <v>150</v>
      </c>
      <c r="Q188" s="4" t="s">
        <v>26</v>
      </c>
      <c r="R188" s="4">
        <v>0</v>
      </c>
      <c r="S188" s="4">
        <v>0</v>
      </c>
      <c r="T188" s="4">
        <v>57</v>
      </c>
      <c r="U188" s="4">
        <v>31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763.29</v>
      </c>
      <c r="X188" s="6">
        <f>IF(ISERROR(VLOOKUP($U$188,'TAR FIN'!$A$1:$O$85,15,0)),0,VLOOKUP($U$188,'TAR FIN'!$A$1:$O$85,15,0))</f>
        <v>211.46</v>
      </c>
      <c r="Y188" s="6"/>
      <c r="Z188" s="6">
        <f ca="1">('TUSD BE'!$AM$33+'TUSD BF'!$AM$33+'TUSD CVA'!$AM$33)*(1-CUSTOS!$M$38)</f>
        <v>923.13389839835577</v>
      </c>
      <c r="AA188" s="6">
        <f>('TE BE'!$AA$24+'TE BF'!$AA$24+'TE CVA'!$AA$24)*(1-CUSTOS!$M$38)</f>
        <v>310.8870113668134</v>
      </c>
      <c r="AB188" s="6">
        <f t="shared" si="10"/>
        <v>0</v>
      </c>
      <c r="AC188" s="6">
        <f>(L188-M188)*(W188+X188)+($W$86+$X$86-$W$188-$X$188)*(L188)</f>
        <v>5333.4150000000045</v>
      </c>
      <c r="AD188" s="6">
        <f t="shared" si="11"/>
        <v>0</v>
      </c>
      <c r="AE188" s="6">
        <f ca="1">(L188-M188)*(Z188+AA188)+($Z$86+$AA$86-$Z$188-$AA$188)*(L188)</f>
        <v>3160.5375960209003</v>
      </c>
      <c r="AF188" s="4" t="s">
        <v>666</v>
      </c>
    </row>
    <row r="189" spans="1:32" ht="11.25" customHeight="1" x14ac:dyDescent="0.3">
      <c r="A189" s="4" t="s">
        <v>28</v>
      </c>
      <c r="B189" s="4" t="s">
        <v>43</v>
      </c>
      <c r="C189" s="4" t="s">
        <v>23</v>
      </c>
      <c r="D189" s="4" t="s">
        <v>44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44470</v>
      </c>
      <c r="J189" s="6">
        <v>0</v>
      </c>
      <c r="K189" s="6">
        <v>0</v>
      </c>
      <c r="L189" s="6">
        <v>0.55300000000000005</v>
      </c>
      <c r="M189" s="6">
        <v>0.55300000000000005</v>
      </c>
      <c r="N189" s="6">
        <v>0.55300000000000005</v>
      </c>
      <c r="O189" s="6">
        <v>0.55300000000000005</v>
      </c>
      <c r="P189" s="6">
        <v>5</v>
      </c>
      <c r="Q189" s="4" t="s">
        <v>26</v>
      </c>
      <c r="R189" s="4">
        <v>0</v>
      </c>
      <c r="S189" s="4">
        <v>0</v>
      </c>
      <c r="T189" s="4">
        <v>57</v>
      </c>
      <c r="U189" s="4">
        <v>31</v>
      </c>
      <c r="V189" s="6">
        <f>IF(ISERROR(VLOOKUP($S$189,'TAR FIN'!$A$1:$O$85,15,0)),0,VLOOKUP($S$189,'TAR FIN'!$A$1:$O$85,15,0))</f>
        <v>0</v>
      </c>
      <c r="W189" s="6">
        <f>IF(ISERROR(VLOOKUP($T$189,'TAR FIN'!$A$1:$O$85,15,0)),0,VLOOKUP($T$189,'TAR FIN'!$A$1:$O$85,15,0))</f>
        <v>763.29</v>
      </c>
      <c r="X189" s="6">
        <f>IF(ISERROR(VLOOKUP($U$189,'TAR FIN'!$A$1:$O$85,15,0)),0,VLOOKUP($U$189,'TAR FIN'!$A$1:$O$85,15,0))</f>
        <v>211.46</v>
      </c>
      <c r="Y189" s="6"/>
      <c r="Z189" s="6">
        <f ca="1">('TUSD BE'!$AM$33+'TUSD BF'!$AM$33+'TUSD CVA'!$AM$33)*(1-CUSTOS!$M$38)</f>
        <v>923.13389839835577</v>
      </c>
      <c r="AA189" s="6">
        <f>('TE BE'!$AA$24+'TE BF'!$AA$24+'TE CVA'!$AA$24)*(1-CUSTOS!$M$38)</f>
        <v>310.8870113668134</v>
      </c>
      <c r="AB189" s="6">
        <f t="shared" si="10"/>
        <v>0</v>
      </c>
      <c r="AC189" s="6">
        <f>(L189-M189)*(W189+X189)+($W$86+$X$86-$W$189-$X$189)*(L189)</f>
        <v>73.504760000000061</v>
      </c>
      <c r="AD189" s="6">
        <f t="shared" si="11"/>
        <v>0</v>
      </c>
      <c r="AE189" s="6">
        <f ca="1">(L189-M189)*(Z189+AA189)+($Z$86+$AA$86-$Z$189-$AA$189)*(L189)</f>
        <v>43.558312538306744</v>
      </c>
      <c r="AF189" s="4" t="s">
        <v>666</v>
      </c>
    </row>
    <row r="190" spans="1:32" ht="11.25" customHeight="1" x14ac:dyDescent="0.3">
      <c r="A190" s="4" t="s">
        <v>21</v>
      </c>
      <c r="B190" s="4" t="s">
        <v>43</v>
      </c>
      <c r="C190" s="4" t="s">
        <v>23</v>
      </c>
      <c r="D190" s="4" t="s">
        <v>44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44501</v>
      </c>
      <c r="J190" s="6">
        <v>0</v>
      </c>
      <c r="K190" s="6">
        <v>0</v>
      </c>
      <c r="L190" s="6">
        <v>38.409999999999997</v>
      </c>
      <c r="M190" s="6">
        <v>38.409999999999997</v>
      </c>
      <c r="N190" s="6">
        <v>38.409999999999997</v>
      </c>
      <c r="O190" s="6">
        <v>38.409999999999997</v>
      </c>
      <c r="P190" s="6">
        <v>147</v>
      </c>
      <c r="Q190" s="4" t="s">
        <v>26</v>
      </c>
      <c r="R190" s="4">
        <v>0</v>
      </c>
      <c r="S190" s="4">
        <v>0</v>
      </c>
      <c r="T190" s="4">
        <v>57</v>
      </c>
      <c r="U190" s="4">
        <v>31</v>
      </c>
      <c r="V190" s="6">
        <f>IF(ISERROR(VLOOKUP($S$190,'TAR FIN'!$A$1:$O$85,15,0)),0,VLOOKUP($S$190,'TAR FIN'!$A$1:$O$85,15,0))</f>
        <v>0</v>
      </c>
      <c r="W190" s="6">
        <f>IF(ISERROR(VLOOKUP($T$190,'TAR FIN'!$A$1:$O$85,15,0)),0,VLOOKUP($T$190,'TAR FIN'!$A$1:$O$85,15,0))</f>
        <v>763.29</v>
      </c>
      <c r="X190" s="6">
        <f>IF(ISERROR(VLOOKUP($U$190,'TAR FIN'!$A$1:$O$85,15,0)),0,VLOOKUP($U$190,'TAR FIN'!$A$1:$O$85,15,0))</f>
        <v>211.46</v>
      </c>
      <c r="Y190" s="6"/>
      <c r="Z190" s="6">
        <f ca="1">('TUSD BE'!$AM$33+'TUSD BF'!$AM$33+'TUSD CVA'!$AM$33)*(1-CUSTOS!$M$38)</f>
        <v>923.13389839835577</v>
      </c>
      <c r="AA190" s="6">
        <f>('TE BE'!$AA$24+'TE BF'!$AA$24+'TE CVA'!$AA$24)*(1-CUSTOS!$M$38)</f>
        <v>310.8870113668134</v>
      </c>
      <c r="AB190" s="6">
        <f t="shared" si="10"/>
        <v>0</v>
      </c>
      <c r="AC190" s="6">
        <f>(L190-M190)*(W190+X190)+($W$86+$X$86-$W$190-$X$190)*(L190)</f>
        <v>5105.4572000000035</v>
      </c>
      <c r="AD190" s="6">
        <f t="shared" si="11"/>
        <v>0</v>
      </c>
      <c r="AE190" s="6">
        <f ca="1">(L190-M190)*(Z190+AA190)+($Z$86+$AA$86-$Z$190-$AA$190)*(L190)</f>
        <v>3025.4516900476706</v>
      </c>
      <c r="AF190" s="4" t="s">
        <v>666</v>
      </c>
    </row>
    <row r="191" spans="1:32" ht="11.25" customHeight="1" x14ac:dyDescent="0.3">
      <c r="A191" s="4" t="s">
        <v>28</v>
      </c>
      <c r="B191" s="4" t="s">
        <v>43</v>
      </c>
      <c r="C191" s="4" t="s">
        <v>23</v>
      </c>
      <c r="D191" s="4" t="s">
        <v>44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44501</v>
      </c>
      <c r="J191" s="6">
        <v>0</v>
      </c>
      <c r="K191" s="6">
        <v>0</v>
      </c>
      <c r="L191" s="6">
        <v>0.52</v>
      </c>
      <c r="M191" s="6">
        <v>0.52</v>
      </c>
      <c r="N191" s="6">
        <v>0.52</v>
      </c>
      <c r="O191" s="6">
        <v>0.52</v>
      </c>
      <c r="P191" s="6">
        <v>5</v>
      </c>
      <c r="Q191" s="4" t="s">
        <v>26</v>
      </c>
      <c r="R191" s="4">
        <v>0</v>
      </c>
      <c r="S191" s="4">
        <v>0</v>
      </c>
      <c r="T191" s="4">
        <v>57</v>
      </c>
      <c r="U191" s="4">
        <v>31</v>
      </c>
      <c r="V191" s="6">
        <f>IF(ISERROR(VLOOKUP($S$191,'TAR FIN'!$A$1:$O$85,15,0)),0,VLOOKUP($S$191,'TAR FIN'!$A$1:$O$85,15,0))</f>
        <v>0</v>
      </c>
      <c r="W191" s="6">
        <f>IF(ISERROR(VLOOKUP($T$191,'TAR FIN'!$A$1:$O$85,15,0)),0,VLOOKUP($T$191,'TAR FIN'!$A$1:$O$85,15,0))</f>
        <v>763.29</v>
      </c>
      <c r="X191" s="6">
        <f>IF(ISERROR(VLOOKUP($U$191,'TAR FIN'!$A$1:$O$85,15,0)),0,VLOOKUP($U$191,'TAR FIN'!$A$1:$O$85,15,0))</f>
        <v>211.46</v>
      </c>
      <c r="Y191" s="6"/>
      <c r="Z191" s="6">
        <f ca="1">('TUSD BE'!$AM$33+'TUSD BF'!$AM$33+'TUSD CVA'!$AM$33)*(1-CUSTOS!$M$38)</f>
        <v>923.13389839835577</v>
      </c>
      <c r="AA191" s="6">
        <f>('TE BE'!$AA$24+'TE BF'!$AA$24+'TE CVA'!$AA$24)*(1-CUSTOS!$M$38)</f>
        <v>310.8870113668134</v>
      </c>
      <c r="AB191" s="6">
        <f t="shared" si="10"/>
        <v>0</v>
      </c>
      <c r="AC191" s="6">
        <f>(L191-M191)*(W191+X191)+($W$86+$X$86-$W$191-$X$191)*(L191)</f>
        <v>69.118400000000051</v>
      </c>
      <c r="AD191" s="6">
        <f t="shared" si="11"/>
        <v>0</v>
      </c>
      <c r="AE191" s="6">
        <f ca="1">(L191-M191)*(Z191+AA191)+($Z$86+$AA$86-$Z$191-$AA$191)*(L191)</f>
        <v>40.958991898588621</v>
      </c>
      <c r="AF191" s="4" t="s">
        <v>666</v>
      </c>
    </row>
    <row r="192" spans="1:32" ht="11.25" customHeight="1" x14ac:dyDescent="0.3">
      <c r="A192" s="4" t="s">
        <v>21</v>
      </c>
      <c r="B192" s="4" t="s">
        <v>43</v>
      </c>
      <c r="C192" s="4" t="s">
        <v>23</v>
      </c>
      <c r="D192" s="4" t="s">
        <v>44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44531</v>
      </c>
      <c r="J192" s="6">
        <v>0</v>
      </c>
      <c r="K192" s="6">
        <v>0</v>
      </c>
      <c r="L192" s="6">
        <v>38.148000000000003</v>
      </c>
      <c r="M192" s="6">
        <v>38.148000000000003</v>
      </c>
      <c r="N192" s="6">
        <v>38.148000000000003</v>
      </c>
      <c r="O192" s="6">
        <v>38.148000000000003</v>
      </c>
      <c r="P192" s="6">
        <v>145</v>
      </c>
      <c r="Q192" s="4" t="s">
        <v>26</v>
      </c>
      <c r="R192" s="4">
        <v>0</v>
      </c>
      <c r="S192" s="4">
        <v>0</v>
      </c>
      <c r="T192" s="4">
        <v>57</v>
      </c>
      <c r="U192" s="4">
        <v>31</v>
      </c>
      <c r="V192" s="6">
        <f>IF(ISERROR(VLOOKUP($S$192,'TAR FIN'!$A$1:$O$85,15,0)),0,VLOOKUP($S$192,'TAR FIN'!$A$1:$O$85,15,0))</f>
        <v>0</v>
      </c>
      <c r="W192" s="6">
        <f>IF(ISERROR(VLOOKUP($T$192,'TAR FIN'!$A$1:$O$85,15,0)),0,VLOOKUP($T$192,'TAR FIN'!$A$1:$O$85,15,0))</f>
        <v>763.29</v>
      </c>
      <c r="X192" s="6">
        <f>IF(ISERROR(VLOOKUP($U$192,'TAR FIN'!$A$1:$O$85,15,0)),0,VLOOKUP($U$192,'TAR FIN'!$A$1:$O$85,15,0))</f>
        <v>211.46</v>
      </c>
      <c r="Y192" s="6"/>
      <c r="Z192" s="6">
        <f ca="1">('TUSD BE'!$AM$33+'TUSD BF'!$AM$33+'TUSD CVA'!$AM$33)*(1-CUSTOS!$M$38)</f>
        <v>923.13389839835577</v>
      </c>
      <c r="AA192" s="6">
        <f>('TE BE'!$AA$24+'TE BF'!$AA$24+'TE CVA'!$AA$24)*(1-CUSTOS!$M$38)</f>
        <v>310.8870113668134</v>
      </c>
      <c r="AB192" s="6">
        <f t="shared" si="10"/>
        <v>0</v>
      </c>
      <c r="AC192" s="6">
        <f>(L192-M192)*(W192+X192)+($W$86+$X$86-$W$192-$X$192)*(L192)</f>
        <v>5070.6321600000047</v>
      </c>
      <c r="AD192" s="6">
        <f t="shared" si="11"/>
        <v>0</v>
      </c>
      <c r="AE192" s="6">
        <f ca="1">(L192-M192)*(Z192+AA192)+($Z$86+$AA$86-$Z$192-$AA$192)*(L192)</f>
        <v>3004.8146595141516</v>
      </c>
      <c r="AF192" s="4" t="s">
        <v>666</v>
      </c>
    </row>
    <row r="193" spans="1:32" ht="11.25" customHeight="1" x14ac:dyDescent="0.3">
      <c r="A193" s="4" t="s">
        <v>28</v>
      </c>
      <c r="B193" s="4" t="s">
        <v>43</v>
      </c>
      <c r="C193" s="4" t="s">
        <v>23</v>
      </c>
      <c r="D193" s="4" t="s">
        <v>44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44531</v>
      </c>
      <c r="J193" s="6">
        <v>0</v>
      </c>
      <c r="K193" s="6">
        <v>0</v>
      </c>
      <c r="L193" s="6">
        <v>3.2010000000000001</v>
      </c>
      <c r="M193" s="6">
        <v>3.2010000000000001</v>
      </c>
      <c r="N193" s="6">
        <v>3.2010000000000001</v>
      </c>
      <c r="O193" s="6">
        <v>3.2010000000000001</v>
      </c>
      <c r="P193" s="6">
        <v>7</v>
      </c>
      <c r="Q193" s="4" t="s">
        <v>26</v>
      </c>
      <c r="R193" s="4">
        <v>0</v>
      </c>
      <c r="S193" s="4">
        <v>0</v>
      </c>
      <c r="T193" s="4">
        <v>57</v>
      </c>
      <c r="U193" s="4">
        <v>31</v>
      </c>
      <c r="V193" s="6">
        <f>IF(ISERROR(VLOOKUP($S$193,'TAR FIN'!$A$1:$O$85,15,0)),0,VLOOKUP($S$193,'TAR FIN'!$A$1:$O$85,15,0))</f>
        <v>0</v>
      </c>
      <c r="W193" s="6">
        <f>IF(ISERROR(VLOOKUP($T$193,'TAR FIN'!$A$1:$O$85,15,0)),0,VLOOKUP($T$193,'TAR FIN'!$A$1:$O$85,15,0))</f>
        <v>763.29</v>
      </c>
      <c r="X193" s="6">
        <f>IF(ISERROR(VLOOKUP($U$193,'TAR FIN'!$A$1:$O$85,15,0)),0,VLOOKUP($U$193,'TAR FIN'!$A$1:$O$85,15,0))</f>
        <v>211.46</v>
      </c>
      <c r="Y193" s="6"/>
      <c r="Z193" s="6">
        <f ca="1">('TUSD BE'!$AM$33+'TUSD BF'!$AM$33+'TUSD CVA'!$AM$33)*(1-CUSTOS!$M$38)</f>
        <v>923.13389839835577</v>
      </c>
      <c r="AA193" s="6">
        <f>('TE BE'!$AA$24+'TE BF'!$AA$24+'TE CVA'!$AA$24)*(1-CUSTOS!$M$38)</f>
        <v>310.8870113668134</v>
      </c>
      <c r="AB193" s="6">
        <f t="shared" si="10"/>
        <v>0</v>
      </c>
      <c r="AC193" s="6">
        <f>(L193-M193)*(W193+X193)+($W$86+$X$86-$W$193-$X$193)*(L193)</f>
        <v>425.47692000000035</v>
      </c>
      <c r="AD193" s="6">
        <f t="shared" si="11"/>
        <v>0</v>
      </c>
      <c r="AE193" s="6">
        <f ca="1">(L193-M193)*(Z193+AA193)+($Z$86+$AA$86-$Z$193-$AA$193)*(L193)</f>
        <v>252.13410205265802</v>
      </c>
      <c r="AF193" s="4" t="s">
        <v>666</v>
      </c>
    </row>
    <row r="194" spans="1:32" ht="11.25" customHeight="1" x14ac:dyDescent="0.3">
      <c r="A194" s="4" t="s">
        <v>21</v>
      </c>
      <c r="B194" s="4" t="s">
        <v>43</v>
      </c>
      <c r="C194" s="4" t="s">
        <v>23</v>
      </c>
      <c r="D194" s="4" t="s">
        <v>44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44562</v>
      </c>
      <c r="J194" s="6">
        <v>0</v>
      </c>
      <c r="K194" s="6">
        <v>0</v>
      </c>
      <c r="L194" s="6">
        <v>41.704999999999998</v>
      </c>
      <c r="M194" s="6">
        <v>41.704999999999998</v>
      </c>
      <c r="N194" s="6">
        <v>41.704999999999998</v>
      </c>
      <c r="O194" s="6">
        <v>41.704999999999998</v>
      </c>
      <c r="P194" s="6">
        <v>142</v>
      </c>
      <c r="Q194" s="4" t="s">
        <v>26</v>
      </c>
      <c r="R194" s="4">
        <v>0</v>
      </c>
      <c r="S194" s="4">
        <v>0</v>
      </c>
      <c r="T194" s="4">
        <v>57</v>
      </c>
      <c r="U194" s="4">
        <v>31</v>
      </c>
      <c r="V194" s="6">
        <f>IF(ISERROR(VLOOKUP($S$194,'TAR FIN'!$A$1:$O$85,15,0)),0,VLOOKUP($S$194,'TAR FIN'!$A$1:$O$85,15,0))</f>
        <v>0</v>
      </c>
      <c r="W194" s="6">
        <f>IF(ISERROR(VLOOKUP($T$194,'TAR FIN'!$A$1:$O$85,15,0)),0,VLOOKUP($T$194,'TAR FIN'!$A$1:$O$85,15,0))</f>
        <v>763.29</v>
      </c>
      <c r="X194" s="6">
        <f>IF(ISERROR(VLOOKUP($U$194,'TAR FIN'!$A$1:$O$85,15,0)),0,VLOOKUP($U$194,'TAR FIN'!$A$1:$O$85,15,0))</f>
        <v>211.46</v>
      </c>
      <c r="Y194" s="6"/>
      <c r="Z194" s="6">
        <f ca="1">('TUSD BE'!$AM$33+'TUSD BF'!$AM$33+'TUSD CVA'!$AM$33)*(1-CUSTOS!$M$38)</f>
        <v>923.13389839835577</v>
      </c>
      <c r="AA194" s="6">
        <f>('TE BE'!$AA$24+'TE BF'!$AA$24+'TE CVA'!$AA$24)*(1-CUSTOS!$M$38)</f>
        <v>310.8870113668134</v>
      </c>
      <c r="AB194" s="6">
        <f t="shared" ref="AB194:AB199" si="12">(J194-K194)*V194</f>
        <v>0</v>
      </c>
      <c r="AC194" s="6">
        <f>(L194-M194)*(W194+X194)+($W$86+$X$86-$W$194-$X$194)*(L194)</f>
        <v>5543.4286000000038</v>
      </c>
      <c r="AD194" s="6">
        <f t="shared" ref="AD194:AD199" si="13">(J194-K194)*Y194</f>
        <v>0</v>
      </c>
      <c r="AE194" s="6">
        <f ca="1">(L194-M194)*(Z194+AA194)+($Z$86+$AA$86-$Z$194-$AA$194)*(L194)</f>
        <v>3284.9899175589198</v>
      </c>
      <c r="AF194" s="4" t="s">
        <v>666</v>
      </c>
    </row>
    <row r="195" spans="1:32" ht="11.25" customHeight="1" x14ac:dyDescent="0.3">
      <c r="A195" s="4" t="s">
        <v>28</v>
      </c>
      <c r="B195" s="4" t="s">
        <v>43</v>
      </c>
      <c r="C195" s="4" t="s">
        <v>23</v>
      </c>
      <c r="D195" s="4" t="s">
        <v>44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44562</v>
      </c>
      <c r="J195" s="6">
        <v>0</v>
      </c>
      <c r="K195" s="6">
        <v>0</v>
      </c>
      <c r="L195" s="6">
        <v>2.4119999999999999</v>
      </c>
      <c r="M195" s="6">
        <v>2.4119999999999999</v>
      </c>
      <c r="N195" s="6">
        <v>2.4119999999999999</v>
      </c>
      <c r="O195" s="6">
        <v>2.4119999999999999</v>
      </c>
      <c r="P195" s="6">
        <v>7</v>
      </c>
      <c r="Q195" s="4" t="s">
        <v>26</v>
      </c>
      <c r="R195" s="4">
        <v>0</v>
      </c>
      <c r="S195" s="4">
        <v>0</v>
      </c>
      <c r="T195" s="4">
        <v>57</v>
      </c>
      <c r="U195" s="4">
        <v>31</v>
      </c>
      <c r="V195" s="6">
        <f>IF(ISERROR(VLOOKUP($S$195,'TAR FIN'!$A$1:$O$85,15,0)),0,VLOOKUP($S$195,'TAR FIN'!$A$1:$O$85,15,0))</f>
        <v>0</v>
      </c>
      <c r="W195" s="6">
        <f>IF(ISERROR(VLOOKUP($T$195,'TAR FIN'!$A$1:$O$85,15,0)),0,VLOOKUP($T$195,'TAR FIN'!$A$1:$O$85,15,0))</f>
        <v>763.29</v>
      </c>
      <c r="X195" s="6">
        <f>IF(ISERROR(VLOOKUP($U$195,'TAR FIN'!$A$1:$O$85,15,0)),0,VLOOKUP($U$195,'TAR FIN'!$A$1:$O$85,15,0))</f>
        <v>211.46</v>
      </c>
      <c r="Y195" s="6"/>
      <c r="Z195" s="6">
        <f ca="1">('TUSD BE'!$AM$33+'TUSD BF'!$AM$33+'TUSD CVA'!$AM$33)*(1-CUSTOS!$M$38)</f>
        <v>923.13389839835577</v>
      </c>
      <c r="AA195" s="6">
        <f>('TE BE'!$AA$24+'TE BF'!$AA$24+'TE CVA'!$AA$24)*(1-CUSTOS!$M$38)</f>
        <v>310.8870113668134</v>
      </c>
      <c r="AB195" s="6">
        <f t="shared" si="12"/>
        <v>0</v>
      </c>
      <c r="AC195" s="6">
        <f>(L195-M195)*(W195+X195)+($W$86+$X$86-$W$195-$X$195)*(L195)</f>
        <v>320.60304000000025</v>
      </c>
      <c r="AD195" s="6">
        <f t="shared" si="13"/>
        <v>0</v>
      </c>
      <c r="AE195" s="6">
        <f ca="1">(L195-M195)*(Z195+AA195)+($Z$86+$AA$86-$Z$195-$AA$195)*(L195)</f>
        <v>189.98670857576104</v>
      </c>
      <c r="AF195" s="4" t="s">
        <v>666</v>
      </c>
    </row>
    <row r="196" spans="1:32" ht="11.25" customHeight="1" x14ac:dyDescent="0.3">
      <c r="A196" s="4" t="s">
        <v>21</v>
      </c>
      <c r="B196" s="4" t="s">
        <v>43</v>
      </c>
      <c r="C196" s="4" t="s">
        <v>23</v>
      </c>
      <c r="D196" s="4" t="s">
        <v>44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44593</v>
      </c>
      <c r="J196" s="6">
        <v>0</v>
      </c>
      <c r="K196" s="6">
        <v>0</v>
      </c>
      <c r="L196" s="6">
        <v>42.475000000000001</v>
      </c>
      <c r="M196" s="6">
        <v>42.475000000000001</v>
      </c>
      <c r="N196" s="6">
        <v>42.475000000000001</v>
      </c>
      <c r="O196" s="6">
        <v>42.475000000000001</v>
      </c>
      <c r="P196" s="6">
        <v>142</v>
      </c>
      <c r="Q196" s="4" t="s">
        <v>26</v>
      </c>
      <c r="R196" s="4">
        <v>0</v>
      </c>
      <c r="S196" s="4">
        <v>0</v>
      </c>
      <c r="T196" s="4">
        <v>57</v>
      </c>
      <c r="U196" s="4">
        <v>31</v>
      </c>
      <c r="V196" s="6">
        <f>IF(ISERROR(VLOOKUP($S$196,'TAR FIN'!$A$1:$O$85,15,0)),0,VLOOKUP($S$196,'TAR FIN'!$A$1:$O$85,15,0))</f>
        <v>0</v>
      </c>
      <c r="W196" s="6">
        <f>IF(ISERROR(VLOOKUP($T$196,'TAR FIN'!$A$1:$O$85,15,0)),0,VLOOKUP($T$196,'TAR FIN'!$A$1:$O$85,15,0))</f>
        <v>763.29</v>
      </c>
      <c r="X196" s="6">
        <f>IF(ISERROR(VLOOKUP($U$196,'TAR FIN'!$A$1:$O$85,15,0)),0,VLOOKUP($U$196,'TAR FIN'!$A$1:$O$85,15,0))</f>
        <v>211.46</v>
      </c>
      <c r="Y196" s="6"/>
      <c r="Z196" s="6">
        <f ca="1">('TUSD BE'!$AM$33+'TUSD BF'!$AM$33+'TUSD CVA'!$AM$33)*(1-CUSTOS!$M$38)</f>
        <v>923.13389839835577</v>
      </c>
      <c r="AA196" s="6">
        <f>('TE BE'!$AA$24+'TE BF'!$AA$24+'TE CVA'!$AA$24)*(1-CUSTOS!$M$38)</f>
        <v>310.8870113668134</v>
      </c>
      <c r="AB196" s="6">
        <f t="shared" si="12"/>
        <v>0</v>
      </c>
      <c r="AC196" s="6">
        <f>(L196-M196)*(W196+X196)+($W$86+$X$86-$W$196-$X$196)*(L196)</f>
        <v>5645.7770000000046</v>
      </c>
      <c r="AD196" s="6">
        <f t="shared" si="13"/>
        <v>0</v>
      </c>
      <c r="AE196" s="6">
        <f ca="1">(L196-M196)*(Z196+AA196)+($Z$86+$AA$86-$Z$196-$AA$196)*(L196)</f>
        <v>3345.6407324856759</v>
      </c>
      <c r="AF196" s="4" t="s">
        <v>666</v>
      </c>
    </row>
    <row r="197" spans="1:32" ht="11.25" customHeight="1" x14ac:dyDescent="0.3">
      <c r="A197" s="4" t="s">
        <v>28</v>
      </c>
      <c r="B197" s="4" t="s">
        <v>43</v>
      </c>
      <c r="C197" s="4" t="s">
        <v>23</v>
      </c>
      <c r="D197" s="4" t="s">
        <v>44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44593</v>
      </c>
      <c r="J197" s="6">
        <v>0</v>
      </c>
      <c r="K197" s="6">
        <v>0</v>
      </c>
      <c r="L197" s="6">
        <v>1.849</v>
      </c>
      <c r="M197" s="6">
        <v>1.849</v>
      </c>
      <c r="N197" s="6">
        <v>1.849</v>
      </c>
      <c r="O197" s="6">
        <v>1.849</v>
      </c>
      <c r="P197" s="6">
        <v>7</v>
      </c>
      <c r="Q197" s="4" t="s">
        <v>26</v>
      </c>
      <c r="R197" s="4">
        <v>0</v>
      </c>
      <c r="S197" s="4">
        <v>0</v>
      </c>
      <c r="T197" s="4">
        <v>57</v>
      </c>
      <c r="U197" s="4">
        <v>31</v>
      </c>
      <c r="V197" s="6">
        <f>IF(ISERROR(VLOOKUP($S$197,'TAR FIN'!$A$1:$O$85,15,0)),0,VLOOKUP($S$197,'TAR FIN'!$A$1:$O$85,15,0))</f>
        <v>0</v>
      </c>
      <c r="W197" s="6">
        <f>IF(ISERROR(VLOOKUP($T$197,'TAR FIN'!$A$1:$O$85,15,0)),0,VLOOKUP($T$197,'TAR FIN'!$A$1:$O$85,15,0))</f>
        <v>763.29</v>
      </c>
      <c r="X197" s="6">
        <f>IF(ISERROR(VLOOKUP($U$197,'TAR FIN'!$A$1:$O$85,15,0)),0,VLOOKUP($U$197,'TAR FIN'!$A$1:$O$85,15,0))</f>
        <v>211.46</v>
      </c>
      <c r="Y197" s="6"/>
      <c r="Z197" s="6">
        <f ca="1">('TUSD BE'!$AM$33+'TUSD BF'!$AM$33+'TUSD CVA'!$AM$33)*(1-CUSTOS!$M$38)</f>
        <v>923.13389839835577</v>
      </c>
      <c r="AA197" s="6">
        <f>('TE BE'!$AA$24+'TE BF'!$AA$24+'TE CVA'!$AA$24)*(1-CUSTOS!$M$38)</f>
        <v>310.8870113668134</v>
      </c>
      <c r="AB197" s="6">
        <f t="shared" si="12"/>
        <v>0</v>
      </c>
      <c r="AC197" s="6">
        <f>(L197-M197)*(W197+X197)+($W$86+$X$86-$W$197-$X$197)*(L197)</f>
        <v>245.76908000000017</v>
      </c>
      <c r="AD197" s="6">
        <f t="shared" si="13"/>
        <v>0</v>
      </c>
      <c r="AE197" s="6">
        <f ca="1">(L197-M197)*(Z197+AA197)+($Z$86+$AA$86-$Z$197-$AA$197)*(L197)</f>
        <v>145.64072311632759</v>
      </c>
      <c r="AF197" s="4" t="s">
        <v>666</v>
      </c>
    </row>
    <row r="198" spans="1:32" ht="11.25" customHeight="1" x14ac:dyDescent="0.3">
      <c r="A198" s="4" t="s">
        <v>21</v>
      </c>
      <c r="B198" s="4" t="s">
        <v>43</v>
      </c>
      <c r="C198" s="4" t="s">
        <v>23</v>
      </c>
      <c r="D198" s="4" t="s">
        <v>44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44621</v>
      </c>
      <c r="J198" s="6">
        <v>0</v>
      </c>
      <c r="K198" s="6">
        <v>0</v>
      </c>
      <c r="L198" s="6">
        <v>41.295000000000002</v>
      </c>
      <c r="M198" s="6">
        <v>41.295000000000002</v>
      </c>
      <c r="N198" s="6">
        <v>41.295000000000002</v>
      </c>
      <c r="O198" s="6">
        <v>41.295000000000002</v>
      </c>
      <c r="P198" s="6">
        <v>142</v>
      </c>
      <c r="Q198" s="4" t="s">
        <v>26</v>
      </c>
      <c r="R198" s="4">
        <v>0</v>
      </c>
      <c r="S198" s="4">
        <v>0</v>
      </c>
      <c r="T198" s="4">
        <v>57</v>
      </c>
      <c r="U198" s="4">
        <v>31</v>
      </c>
      <c r="V198" s="6">
        <f>IF(ISERROR(VLOOKUP($S$198,'TAR FIN'!$A$1:$O$85,15,0)),0,VLOOKUP($S$198,'TAR FIN'!$A$1:$O$85,15,0))</f>
        <v>0</v>
      </c>
      <c r="W198" s="6">
        <f>IF(ISERROR(VLOOKUP($T$198,'TAR FIN'!$A$1:$O$85,15,0)),0,VLOOKUP($T$198,'TAR FIN'!$A$1:$O$85,15,0))</f>
        <v>763.29</v>
      </c>
      <c r="X198" s="6">
        <f>IF(ISERROR(VLOOKUP($U$198,'TAR FIN'!$A$1:$O$85,15,0)),0,VLOOKUP($U$198,'TAR FIN'!$A$1:$O$85,15,0))</f>
        <v>211.46</v>
      </c>
      <c r="Y198" s="6"/>
      <c r="Z198" s="6">
        <f ca="1">('TUSD BE'!$AM$33+'TUSD BF'!$AM$33+'TUSD CVA'!$AM$33)*(1-CUSTOS!$M$38)</f>
        <v>923.13389839835577</v>
      </c>
      <c r="AA198" s="6">
        <f>('TE BE'!$AA$24+'TE BF'!$AA$24+'TE CVA'!$AA$24)*(1-CUSTOS!$M$38)</f>
        <v>310.8870113668134</v>
      </c>
      <c r="AB198" s="6">
        <f t="shared" si="12"/>
        <v>0</v>
      </c>
      <c r="AC198" s="6">
        <f>(L198-M198)*(W198+X198)+($W$86+$X$86-$W$198-$X$198)*(L198)</f>
        <v>5488.931400000004</v>
      </c>
      <c r="AD198" s="6">
        <f t="shared" si="13"/>
        <v>0</v>
      </c>
      <c r="AE198" s="6">
        <f ca="1">(L198-M198)*(Z198+AA198)+($Z$86+$AA$86-$Z$198-$AA$198)*(L198)</f>
        <v>3252.695327792725</v>
      </c>
      <c r="AF198" s="4" t="s">
        <v>666</v>
      </c>
    </row>
    <row r="199" spans="1:32" ht="11.25" customHeight="1" x14ac:dyDescent="0.3">
      <c r="A199" s="4" t="s">
        <v>28</v>
      </c>
      <c r="B199" s="4" t="s">
        <v>43</v>
      </c>
      <c r="C199" s="4" t="s">
        <v>23</v>
      </c>
      <c r="D199" s="4" t="s">
        <v>44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44621</v>
      </c>
      <c r="J199" s="6">
        <v>0</v>
      </c>
      <c r="K199" s="6">
        <v>0</v>
      </c>
      <c r="L199" s="6">
        <v>1.4870000000000001</v>
      </c>
      <c r="M199" s="6">
        <v>1.4870000000000001</v>
      </c>
      <c r="N199" s="6">
        <v>1.4870000000000001</v>
      </c>
      <c r="O199" s="6">
        <v>1.4870000000000001</v>
      </c>
      <c r="P199" s="6">
        <v>7</v>
      </c>
      <c r="Q199" s="4" t="s">
        <v>26</v>
      </c>
      <c r="R199" s="4">
        <v>0</v>
      </c>
      <c r="S199" s="4">
        <v>0</v>
      </c>
      <c r="T199" s="4">
        <v>57</v>
      </c>
      <c r="U199" s="4">
        <v>31</v>
      </c>
      <c r="V199" s="6">
        <f>IF(ISERROR(VLOOKUP($S$199,'TAR FIN'!$A$1:$O$85,15,0)),0,VLOOKUP($S$199,'TAR FIN'!$A$1:$O$85,15,0))</f>
        <v>0</v>
      </c>
      <c r="W199" s="6">
        <f>IF(ISERROR(VLOOKUP($T$199,'TAR FIN'!$A$1:$O$85,15,0)),0,VLOOKUP($T$199,'TAR FIN'!$A$1:$O$85,15,0))</f>
        <v>763.29</v>
      </c>
      <c r="X199" s="6">
        <f>IF(ISERROR(VLOOKUP($U$199,'TAR FIN'!$A$1:$O$85,15,0)),0,VLOOKUP($U$199,'TAR FIN'!$A$1:$O$85,15,0))</f>
        <v>211.46</v>
      </c>
      <c r="Y199" s="6"/>
      <c r="Z199" s="6">
        <f ca="1">('TUSD BE'!$AM$33+'TUSD BF'!$AM$33+'TUSD CVA'!$AM$33)*(1-CUSTOS!$M$38)</f>
        <v>923.13389839835577</v>
      </c>
      <c r="AA199" s="6">
        <f>('TE BE'!$AA$24+'TE BF'!$AA$24+'TE CVA'!$AA$24)*(1-CUSTOS!$M$38)</f>
        <v>310.8870113668134</v>
      </c>
      <c r="AB199" s="6">
        <f t="shared" si="12"/>
        <v>0</v>
      </c>
      <c r="AC199" s="6">
        <f>(L199-M199)*(W199+X199)+($W$86+$X$86-$W$199-$X$199)*(L199)</f>
        <v>197.65204000000017</v>
      </c>
      <c r="AD199" s="6">
        <f t="shared" si="13"/>
        <v>0</v>
      </c>
      <c r="AE199" s="6">
        <f ca="1">(L199-M199)*(Z199+AA199)+($Z$86+$AA$86-$Z$199-$AA$199)*(L199)</f>
        <v>117.12696337154092</v>
      </c>
      <c r="AF199" s="4" t="s">
        <v>666</v>
      </c>
    </row>
    <row r="200" spans="1:32" ht="11.25" customHeight="1" x14ac:dyDescent="0.3">
      <c r="A200" s="4" t="s">
        <v>21</v>
      </c>
      <c r="B200" s="4" t="s">
        <v>35</v>
      </c>
      <c r="C200" s="4" t="s">
        <v>23</v>
      </c>
      <c r="D200" s="4" t="s">
        <v>49</v>
      </c>
      <c r="E200" s="4" t="s">
        <v>50</v>
      </c>
      <c r="F200" s="4" t="s">
        <v>25</v>
      </c>
      <c r="G200" s="4" t="s">
        <v>25</v>
      </c>
      <c r="H200" s="4" t="s">
        <v>25</v>
      </c>
      <c r="I200" s="5">
        <v>44287</v>
      </c>
      <c r="J200" s="6">
        <v>0</v>
      </c>
      <c r="K200" s="70">
        <v>0</v>
      </c>
      <c r="L200" s="6">
        <v>14.05</v>
      </c>
      <c r="M200" s="70">
        <v>14.05</v>
      </c>
      <c r="N200" s="6">
        <v>14.05</v>
      </c>
      <c r="O200" s="70">
        <v>14.05</v>
      </c>
      <c r="P200" s="6">
        <v>3</v>
      </c>
      <c r="Q200" s="4" t="s">
        <v>26</v>
      </c>
      <c r="R200" s="4">
        <v>0</v>
      </c>
      <c r="S200" s="4">
        <v>0</v>
      </c>
      <c r="T200" s="4">
        <v>17</v>
      </c>
      <c r="U200" s="4">
        <v>46</v>
      </c>
      <c r="V200" s="70">
        <f>IF(ISERROR(VLOOKUP($S$200,'TAR FIN'!$A$1:$O$85,15,0)),0,VLOOKUP($S$200,'TAR FIN'!$A$1:$O$85,15,0))</f>
        <v>0</v>
      </c>
      <c r="W200" s="70">
        <f>IF(ISERROR(VLOOKUP($T$200,'TAR FIN'!$A$1:$O$85,15,0)),0,VLOOKUP($T$200,'TAR FIN'!$A$1:$O$85,15,0))*(1-0.06)</f>
        <v>815.33719999999994</v>
      </c>
      <c r="X200" s="70">
        <f>IF(ISERROR(VLOOKUP($U$200,'TAR FIN'!$A$1:$O$85,15,0)),0,VLOOKUP($U$200,'TAR FIN'!$A$1:$O$85,15,0))*(1-0.06)</f>
        <v>225.87259999999998</v>
      </c>
      <c r="Y200" s="70"/>
      <c r="Z200" s="70">
        <f ca="1">('TUSD BE'!$AM$48+'TUSD BF'!$AM$48+'TUSD CVA'!$AM$48)*1*(1-0.03)</f>
        <v>952.59561856000551</v>
      </c>
      <c r="AA200" s="70">
        <f>('TE BE'!$AA$39+'TE BF'!$AA$39+'TE CVA'!$AA$39)*1*(1-0.03)</f>
        <v>320.80893726149895</v>
      </c>
      <c r="AB200" s="70">
        <f>(SUBSIDIO!$J$200*SUBSIDIO!$V$200)*(0.06)/(1-0.06)</f>
        <v>0</v>
      </c>
      <c r="AC200" s="70">
        <f>((SUBSIDIO!$L$200*SUBSIDIO!$W$200)+(SUBSIDIO!$N$200*SUBSIDIO!$X$200))*(0.06)/(1-0.06)</f>
        <v>933.76580999999987</v>
      </c>
      <c r="AD200" s="70">
        <f>(SUBSIDIO!$J$200*SUBSIDIO!$Y$200)*(0.03)/(1-0.03)</f>
        <v>0</v>
      </c>
      <c r="AE200" s="70">
        <f ca="1">((SUBSIDIO!$L$200*SUBSIDIO!$Z$200)+(SUBSIDIO!$N$200*SUBSIDIO!$AA$200))*(0.03)/(1-0.03)</f>
        <v>553.34022709150952</v>
      </c>
      <c r="AF200" s="4" t="s">
        <v>668</v>
      </c>
    </row>
    <row r="201" spans="1:32" ht="11.25" customHeight="1" x14ac:dyDescent="0.3">
      <c r="A201" s="4" t="s">
        <v>21</v>
      </c>
      <c r="B201" s="4" t="s">
        <v>35</v>
      </c>
      <c r="C201" s="4" t="s">
        <v>23</v>
      </c>
      <c r="D201" s="4" t="s">
        <v>49</v>
      </c>
      <c r="E201" s="4" t="s">
        <v>50</v>
      </c>
      <c r="F201" s="4" t="s">
        <v>25</v>
      </c>
      <c r="G201" s="4" t="s">
        <v>25</v>
      </c>
      <c r="H201" s="4" t="s">
        <v>25</v>
      </c>
      <c r="I201" s="5">
        <v>44317</v>
      </c>
      <c r="J201" s="6">
        <v>0</v>
      </c>
      <c r="K201" s="70">
        <v>0</v>
      </c>
      <c r="L201" s="6">
        <v>22.119</v>
      </c>
      <c r="M201" s="70">
        <v>22.119</v>
      </c>
      <c r="N201" s="6">
        <v>22.119</v>
      </c>
      <c r="O201" s="70">
        <v>22.119</v>
      </c>
      <c r="P201" s="6">
        <v>3</v>
      </c>
      <c r="Q201" s="4" t="s">
        <v>26</v>
      </c>
      <c r="R201" s="4">
        <v>0</v>
      </c>
      <c r="S201" s="4">
        <v>0</v>
      </c>
      <c r="T201" s="4">
        <v>17</v>
      </c>
      <c r="U201" s="4">
        <v>46</v>
      </c>
      <c r="V201" s="70">
        <f>IF(ISERROR(VLOOKUP($S$201,'TAR FIN'!$A$1:$O$85,15,0)),0,VLOOKUP($S$201,'TAR FIN'!$A$1:$O$85,15,0))</f>
        <v>0</v>
      </c>
      <c r="W201" s="70">
        <f>IF(ISERROR(VLOOKUP($T$201,'TAR FIN'!$A$1:$O$85,15,0)),0,VLOOKUP($T$201,'TAR FIN'!$A$1:$O$85,15,0))*(1-0.06)</f>
        <v>815.33719999999994</v>
      </c>
      <c r="X201" s="70">
        <f>IF(ISERROR(VLOOKUP($U$201,'TAR FIN'!$A$1:$O$85,15,0)),0,VLOOKUP($U$201,'TAR FIN'!$A$1:$O$85,15,0))*(1-0.06)</f>
        <v>225.87259999999998</v>
      </c>
      <c r="Y201" s="70"/>
      <c r="Z201" s="70">
        <f ca="1">('TUSD BE'!$AM$48+'TUSD BF'!$AM$48+'TUSD CVA'!$AM$48)*1*(1-0.03)</f>
        <v>952.59561856000551</v>
      </c>
      <c r="AA201" s="70">
        <f>('TE BE'!$AA$39+'TE BF'!$AA$39+'TE CVA'!$AA$39)*1*(1-0.03)</f>
        <v>320.80893726149895</v>
      </c>
      <c r="AB201" s="70">
        <f>(SUBSIDIO!$J$201*SUBSIDIO!$V$201)*(0.06)/(1-0.06)</f>
        <v>0</v>
      </c>
      <c r="AC201" s="70">
        <f>((SUBSIDIO!$L$201*SUBSIDIO!$W$201)+(SUBSIDIO!$N$201*SUBSIDIO!$X$201))*(0.06)/(1-0.06)</f>
        <v>1470.0331637999998</v>
      </c>
      <c r="AD201" s="70">
        <f>(SUBSIDIO!$J$201*SUBSIDIO!$Y$201)*(0.03)/(1-0.03)</f>
        <v>0</v>
      </c>
      <c r="AE201" s="70">
        <f ca="1">((SUBSIDIO!$L$201*SUBSIDIO!$Z$201)+(SUBSIDIO!$N$201*SUBSIDIO!$AA$201))*(0.03)/(1-0.03)</f>
        <v>871.12686712007792</v>
      </c>
      <c r="AF201" s="4" t="s">
        <v>668</v>
      </c>
    </row>
    <row r="202" spans="1:32" ht="11.25" customHeight="1" x14ac:dyDescent="0.3">
      <c r="A202" s="4" t="s">
        <v>21</v>
      </c>
      <c r="B202" s="4" t="s">
        <v>35</v>
      </c>
      <c r="C202" s="4" t="s">
        <v>23</v>
      </c>
      <c r="D202" s="4" t="s">
        <v>49</v>
      </c>
      <c r="E202" s="4" t="s">
        <v>50</v>
      </c>
      <c r="F202" s="4" t="s">
        <v>25</v>
      </c>
      <c r="G202" s="4" t="s">
        <v>25</v>
      </c>
      <c r="H202" s="4" t="s">
        <v>25</v>
      </c>
      <c r="I202" s="5">
        <v>44348</v>
      </c>
      <c r="J202" s="6">
        <v>0</v>
      </c>
      <c r="K202" s="70">
        <v>0</v>
      </c>
      <c r="L202" s="6">
        <v>21.76</v>
      </c>
      <c r="M202" s="70">
        <v>21.76</v>
      </c>
      <c r="N202" s="6">
        <v>21.76</v>
      </c>
      <c r="O202" s="70">
        <v>21.76</v>
      </c>
      <c r="P202" s="6">
        <v>3</v>
      </c>
      <c r="Q202" s="4" t="s">
        <v>26</v>
      </c>
      <c r="R202" s="4">
        <v>0</v>
      </c>
      <c r="S202" s="4">
        <v>0</v>
      </c>
      <c r="T202" s="4">
        <v>17</v>
      </c>
      <c r="U202" s="4">
        <v>46</v>
      </c>
      <c r="V202" s="70">
        <f>IF(ISERROR(VLOOKUP($S$202,'TAR FIN'!$A$1:$O$85,15,0)),0,VLOOKUP($S$202,'TAR FIN'!$A$1:$O$85,15,0))</f>
        <v>0</v>
      </c>
      <c r="W202" s="70">
        <f>IF(ISERROR(VLOOKUP($T$202,'TAR FIN'!$A$1:$O$85,15,0)),0,VLOOKUP($T$202,'TAR FIN'!$A$1:$O$85,15,0))*(1-0.06)</f>
        <v>815.33719999999994</v>
      </c>
      <c r="X202" s="70">
        <f>IF(ISERROR(VLOOKUP($U$202,'TAR FIN'!$A$1:$O$85,15,0)),0,VLOOKUP($U$202,'TAR FIN'!$A$1:$O$85,15,0))*(1-0.06)</f>
        <v>225.87259999999998</v>
      </c>
      <c r="Y202" s="70"/>
      <c r="Z202" s="70">
        <f ca="1">('TUSD BE'!$AM$48+'TUSD BF'!$AM$48+'TUSD CVA'!$AM$48)*1*(1-0.03)</f>
        <v>952.59561856000551</v>
      </c>
      <c r="AA202" s="70">
        <f>('TE BE'!$AA$39+'TE BF'!$AA$39+'TE CVA'!$AA$39)*1*(1-0.03)</f>
        <v>320.80893726149895</v>
      </c>
      <c r="AB202" s="70">
        <f>(SUBSIDIO!$J$202*SUBSIDIO!$V$202)*(0.06)/(1-0.06)</f>
        <v>0</v>
      </c>
      <c r="AC202" s="70">
        <f>((SUBSIDIO!$L$202*SUBSIDIO!$W$202)+(SUBSIDIO!$N$202*SUBSIDIO!$X$202))*(0.06)/(1-0.06)</f>
        <v>1446.1739520000001</v>
      </c>
      <c r="AD202" s="70">
        <f>(SUBSIDIO!$J$202*SUBSIDIO!$Y$202)*(0.03)/(1-0.03)</f>
        <v>0</v>
      </c>
      <c r="AE202" s="70">
        <f ca="1">((SUBSIDIO!$L$202*SUBSIDIO!$Z$202)+(SUBSIDIO!$N$202*SUBSIDIO!$AA$202))*(0.03)/(1-0.03)</f>
        <v>856.98813818585381</v>
      </c>
      <c r="AF202" s="4" t="s">
        <v>668</v>
      </c>
    </row>
    <row r="203" spans="1:32" ht="11.25" customHeight="1" x14ac:dyDescent="0.3">
      <c r="A203" s="4" t="s">
        <v>21</v>
      </c>
      <c r="B203" s="4" t="s">
        <v>35</v>
      </c>
      <c r="C203" s="4" t="s">
        <v>23</v>
      </c>
      <c r="D203" s="4" t="s">
        <v>49</v>
      </c>
      <c r="E203" s="4" t="s">
        <v>50</v>
      </c>
      <c r="F203" s="4" t="s">
        <v>25</v>
      </c>
      <c r="G203" s="4" t="s">
        <v>25</v>
      </c>
      <c r="H203" s="4" t="s">
        <v>25</v>
      </c>
      <c r="I203" s="5">
        <v>44378</v>
      </c>
      <c r="J203" s="6">
        <v>0</v>
      </c>
      <c r="K203" s="70">
        <v>0</v>
      </c>
      <c r="L203" s="6">
        <v>9.3780000000000001</v>
      </c>
      <c r="M203" s="70">
        <v>9.3780000000000001</v>
      </c>
      <c r="N203" s="6">
        <v>9.3780000000000001</v>
      </c>
      <c r="O203" s="70">
        <v>9.3780000000000001</v>
      </c>
      <c r="P203" s="6">
        <v>3</v>
      </c>
      <c r="Q203" s="4" t="s">
        <v>26</v>
      </c>
      <c r="R203" s="4">
        <v>0</v>
      </c>
      <c r="S203" s="4">
        <v>0</v>
      </c>
      <c r="T203" s="4">
        <v>17</v>
      </c>
      <c r="U203" s="4">
        <v>46</v>
      </c>
      <c r="V203" s="70">
        <f>IF(ISERROR(VLOOKUP($S$203,'TAR FIN'!$A$1:$O$85,15,0)),0,VLOOKUP($S$203,'TAR FIN'!$A$1:$O$85,15,0))</f>
        <v>0</v>
      </c>
      <c r="W203" s="70">
        <f>IF(ISERROR(VLOOKUP($T$203,'TAR FIN'!$A$1:$O$85,15,0)),0,VLOOKUP($T$203,'TAR FIN'!$A$1:$O$85,15,0))*(1-0.06)</f>
        <v>815.33719999999994</v>
      </c>
      <c r="X203" s="70">
        <f>IF(ISERROR(VLOOKUP($U$203,'TAR FIN'!$A$1:$O$85,15,0)),0,VLOOKUP($U$203,'TAR FIN'!$A$1:$O$85,15,0))*(1-0.06)</f>
        <v>225.87259999999998</v>
      </c>
      <c r="Y203" s="70"/>
      <c r="Z203" s="70">
        <f ca="1">('TUSD BE'!$AM$48+'TUSD BF'!$AM$48+'TUSD CVA'!$AM$48)*1*(1-0.03)</f>
        <v>952.59561856000551</v>
      </c>
      <c r="AA203" s="70">
        <f>('TE BE'!$AA$39+'TE BF'!$AA$39+'TE CVA'!$AA$39)*1*(1-0.03)</f>
        <v>320.80893726149895</v>
      </c>
      <c r="AB203" s="70">
        <f>(SUBSIDIO!$J$203*SUBSIDIO!$V$203)*(0.06)/(1-0.06)</f>
        <v>0</v>
      </c>
      <c r="AC203" s="70">
        <f>((SUBSIDIO!$L$203*SUBSIDIO!$W$203)+(SUBSIDIO!$N$203*SUBSIDIO!$X$203))*(0.06)/(1-0.06)</f>
        <v>623.26375559999997</v>
      </c>
      <c r="AD203" s="70">
        <f>(SUBSIDIO!$J$203*SUBSIDIO!$Y$203)*(0.03)/(1-0.03)</f>
        <v>0</v>
      </c>
      <c r="AE203" s="70">
        <f ca="1">((SUBSIDIO!$L$203*SUBSIDIO!$Z$203)+(SUBSIDIO!$N$203*SUBSIDIO!$AA$203))*(0.03)/(1-0.03)</f>
        <v>369.33983271631143</v>
      </c>
      <c r="AF203" s="4" t="s">
        <v>668</v>
      </c>
    </row>
    <row r="204" spans="1:32" ht="11.25" customHeight="1" x14ac:dyDescent="0.3">
      <c r="A204" s="4" t="s">
        <v>21</v>
      </c>
      <c r="B204" s="4" t="s">
        <v>35</v>
      </c>
      <c r="C204" s="4" t="s">
        <v>23</v>
      </c>
      <c r="D204" s="4" t="s">
        <v>49</v>
      </c>
      <c r="E204" s="4" t="s">
        <v>50</v>
      </c>
      <c r="F204" s="4" t="s">
        <v>25</v>
      </c>
      <c r="G204" s="4" t="s">
        <v>25</v>
      </c>
      <c r="H204" s="4" t="s">
        <v>25</v>
      </c>
      <c r="I204" s="5">
        <v>44409</v>
      </c>
      <c r="J204" s="6">
        <v>0</v>
      </c>
      <c r="K204" s="70">
        <v>0</v>
      </c>
      <c r="L204" s="6">
        <v>14.198</v>
      </c>
      <c r="M204" s="70">
        <v>14.198</v>
      </c>
      <c r="N204" s="6">
        <v>14.198</v>
      </c>
      <c r="O204" s="70">
        <v>14.198</v>
      </c>
      <c r="P204" s="6">
        <v>3</v>
      </c>
      <c r="Q204" s="4" t="s">
        <v>26</v>
      </c>
      <c r="R204" s="4">
        <v>0</v>
      </c>
      <c r="S204" s="4">
        <v>0</v>
      </c>
      <c r="T204" s="4">
        <v>17</v>
      </c>
      <c r="U204" s="4">
        <v>46</v>
      </c>
      <c r="V204" s="70">
        <f>IF(ISERROR(VLOOKUP($S$204,'TAR FIN'!$A$1:$O$85,15,0)),0,VLOOKUP($S$204,'TAR FIN'!$A$1:$O$85,15,0))</f>
        <v>0</v>
      </c>
      <c r="W204" s="70">
        <f>IF(ISERROR(VLOOKUP($T$204,'TAR FIN'!$A$1:$O$85,15,0)),0,VLOOKUP($T$204,'TAR FIN'!$A$1:$O$85,15,0))*(1-0.06)</f>
        <v>815.33719999999994</v>
      </c>
      <c r="X204" s="70">
        <f>IF(ISERROR(VLOOKUP($U$204,'TAR FIN'!$A$1:$O$85,15,0)),0,VLOOKUP($U$204,'TAR FIN'!$A$1:$O$85,15,0))*(1-0.06)</f>
        <v>225.87259999999998</v>
      </c>
      <c r="Y204" s="70"/>
      <c r="Z204" s="70">
        <f ca="1">('TUSD BE'!$AM$48+'TUSD BF'!$AM$48+'TUSD CVA'!$AM$48)*1*(1-0.03)</f>
        <v>952.59561856000551</v>
      </c>
      <c r="AA204" s="70">
        <f>('TE BE'!$AA$39+'TE BF'!$AA$39+'TE CVA'!$AA$39)*1*(1-0.03)</f>
        <v>320.80893726149895</v>
      </c>
      <c r="AB204" s="70">
        <f>(SUBSIDIO!$J$204*SUBSIDIO!$V$204)*(0.06)/(1-0.06)</f>
        <v>0</v>
      </c>
      <c r="AC204" s="70">
        <f>((SUBSIDIO!$L$204*SUBSIDIO!$W$204)+(SUBSIDIO!$N$204*SUBSIDIO!$X$204))*(0.06)/(1-0.06)</f>
        <v>943.60191959999986</v>
      </c>
      <c r="AD204" s="70">
        <f>(SUBSIDIO!$J$204*SUBSIDIO!$Y$204)*(0.03)/(1-0.03)</f>
        <v>0</v>
      </c>
      <c r="AE204" s="70">
        <f ca="1">((SUBSIDIO!$L$204*SUBSIDIO!$Z$204)+(SUBSIDIO!$N$204*SUBSIDIO!$AA$204))*(0.03)/(1-0.03)</f>
        <v>559.16900670784707</v>
      </c>
      <c r="AF204" s="4" t="s">
        <v>668</v>
      </c>
    </row>
    <row r="205" spans="1:32" ht="11.25" customHeight="1" x14ac:dyDescent="0.3">
      <c r="A205" s="4" t="s">
        <v>21</v>
      </c>
      <c r="B205" s="4" t="s">
        <v>35</v>
      </c>
      <c r="C205" s="4" t="s">
        <v>23</v>
      </c>
      <c r="D205" s="4" t="s">
        <v>49</v>
      </c>
      <c r="E205" s="4" t="s">
        <v>50</v>
      </c>
      <c r="F205" s="4" t="s">
        <v>25</v>
      </c>
      <c r="G205" s="4" t="s">
        <v>25</v>
      </c>
      <c r="H205" s="4" t="s">
        <v>25</v>
      </c>
      <c r="I205" s="5">
        <v>44440</v>
      </c>
      <c r="J205" s="6">
        <v>0</v>
      </c>
      <c r="K205" s="70">
        <v>0</v>
      </c>
      <c r="L205" s="6">
        <v>13.079000000000001</v>
      </c>
      <c r="M205" s="70">
        <v>13.079000000000001</v>
      </c>
      <c r="N205" s="6">
        <v>13.079000000000001</v>
      </c>
      <c r="O205" s="70">
        <v>13.079000000000001</v>
      </c>
      <c r="P205" s="6">
        <v>2</v>
      </c>
      <c r="Q205" s="4" t="s">
        <v>26</v>
      </c>
      <c r="R205" s="4">
        <v>0</v>
      </c>
      <c r="S205" s="4">
        <v>0</v>
      </c>
      <c r="T205" s="4">
        <v>17</v>
      </c>
      <c r="U205" s="4">
        <v>46</v>
      </c>
      <c r="V205" s="70">
        <f>IF(ISERROR(VLOOKUP($S$205,'TAR FIN'!$A$1:$O$85,15,0)),0,VLOOKUP($S$205,'TAR FIN'!$A$1:$O$85,15,0))</f>
        <v>0</v>
      </c>
      <c r="W205" s="70">
        <f>IF(ISERROR(VLOOKUP($T$205,'TAR FIN'!$A$1:$O$85,15,0)),0,VLOOKUP($T$205,'TAR FIN'!$A$1:$O$85,15,0))*(1-0.06)</f>
        <v>815.33719999999994</v>
      </c>
      <c r="X205" s="70">
        <f>IF(ISERROR(VLOOKUP($U$205,'TAR FIN'!$A$1:$O$85,15,0)),0,VLOOKUP($U$205,'TAR FIN'!$A$1:$O$85,15,0))*(1-0.06)</f>
        <v>225.87259999999998</v>
      </c>
      <c r="Y205" s="70"/>
      <c r="Z205" s="70">
        <f ca="1">('TUSD BE'!$AM$48+'TUSD BF'!$AM$48+'TUSD CVA'!$AM$48)*1*(1-0.03)</f>
        <v>952.59561856000551</v>
      </c>
      <c r="AA205" s="70">
        <f>('TE BE'!$AA$39+'TE BF'!$AA$39+'TE CVA'!$AA$39)*1*(1-0.03)</f>
        <v>320.80893726149895</v>
      </c>
      <c r="AB205" s="70">
        <f>(SUBSIDIO!$J$205*SUBSIDIO!$V$205)*(0.06)/(1-0.06)</f>
        <v>0</v>
      </c>
      <c r="AC205" s="70">
        <f>((SUBSIDIO!$L$205*SUBSIDIO!$W$205)+(SUBSIDIO!$N$205*SUBSIDIO!$X$205))*(0.06)/(1-0.06)</f>
        <v>869.23295580000001</v>
      </c>
      <c r="AD205" s="70">
        <f>(SUBSIDIO!$J$205*SUBSIDIO!$Y$205)*(0.03)/(1-0.03)</f>
        <v>0</v>
      </c>
      <c r="AE205" s="70">
        <f ca="1">((SUBSIDIO!$L$205*SUBSIDIO!$Z$205)+(SUBSIDIO!$N$205*SUBSIDIO!$AA$205))*(0.03)/(1-0.03)</f>
        <v>515.09870677080801</v>
      </c>
      <c r="AF205" s="4" t="s">
        <v>668</v>
      </c>
    </row>
    <row r="206" spans="1:32" ht="11.25" customHeight="1" x14ac:dyDescent="0.3">
      <c r="A206" s="4" t="s">
        <v>21</v>
      </c>
      <c r="B206" s="4" t="s">
        <v>35</v>
      </c>
      <c r="C206" s="4" t="s">
        <v>23</v>
      </c>
      <c r="D206" s="4" t="s">
        <v>49</v>
      </c>
      <c r="E206" s="4" t="s">
        <v>50</v>
      </c>
      <c r="F206" s="4" t="s">
        <v>25</v>
      </c>
      <c r="G206" s="4" t="s">
        <v>25</v>
      </c>
      <c r="H206" s="4" t="s">
        <v>25</v>
      </c>
      <c r="I206" s="5">
        <v>44470</v>
      </c>
      <c r="J206" s="6">
        <v>0</v>
      </c>
      <c r="K206" s="70">
        <v>0</v>
      </c>
      <c r="L206" s="6">
        <v>12.247</v>
      </c>
      <c r="M206" s="70">
        <v>12.247</v>
      </c>
      <c r="N206" s="6">
        <v>12.247</v>
      </c>
      <c r="O206" s="70">
        <v>12.247</v>
      </c>
      <c r="P206" s="6">
        <v>2</v>
      </c>
      <c r="Q206" s="4" t="s">
        <v>26</v>
      </c>
      <c r="R206" s="4">
        <v>0</v>
      </c>
      <c r="S206" s="4">
        <v>0</v>
      </c>
      <c r="T206" s="4">
        <v>17</v>
      </c>
      <c r="U206" s="4">
        <v>46</v>
      </c>
      <c r="V206" s="70">
        <f>IF(ISERROR(VLOOKUP($S$206,'TAR FIN'!$A$1:$O$85,15,0)),0,VLOOKUP($S$206,'TAR FIN'!$A$1:$O$85,15,0))</f>
        <v>0</v>
      </c>
      <c r="W206" s="70">
        <f>IF(ISERROR(VLOOKUP($T$206,'TAR FIN'!$A$1:$O$85,15,0)),0,VLOOKUP($T$206,'TAR FIN'!$A$1:$O$85,15,0))*(1-0.06)</f>
        <v>815.33719999999994</v>
      </c>
      <c r="X206" s="70">
        <f>IF(ISERROR(VLOOKUP($U$206,'TAR FIN'!$A$1:$O$85,15,0)),0,VLOOKUP($U$206,'TAR FIN'!$A$1:$O$85,15,0))*(1-0.06)</f>
        <v>225.87259999999998</v>
      </c>
      <c r="Y206" s="70"/>
      <c r="Z206" s="70">
        <f ca="1">('TUSD BE'!$AM$48+'TUSD BF'!$AM$48+'TUSD CVA'!$AM$48)*1*(1-0.03)</f>
        <v>952.59561856000551</v>
      </c>
      <c r="AA206" s="70">
        <f>('TE BE'!$AA$39+'TE BF'!$AA$39+'TE CVA'!$AA$39)*1*(1-0.03)</f>
        <v>320.80893726149895</v>
      </c>
      <c r="AB206" s="70">
        <f>(SUBSIDIO!$J$206*SUBSIDIO!$V$206)*(0.06)/(1-0.06)</f>
        <v>0</v>
      </c>
      <c r="AC206" s="70">
        <f>((SUBSIDIO!$L$206*SUBSIDIO!$W$206)+(SUBSIDIO!$N$206*SUBSIDIO!$X$206))*(0.06)/(1-0.06)</f>
        <v>813.9380693999999</v>
      </c>
      <c r="AD206" s="70">
        <f>(SUBSIDIO!$J$206*SUBSIDIO!$Y$206)*(0.03)/(1-0.03)</f>
        <v>0</v>
      </c>
      <c r="AE206" s="70">
        <f ca="1">((SUBSIDIO!$L$206*SUBSIDIO!$Z$206)+(SUBSIDIO!$N$206*SUBSIDIO!$AA$206))*(0.03)/(1-0.03)</f>
        <v>482.33151325193705</v>
      </c>
      <c r="AF206" s="4" t="s">
        <v>668</v>
      </c>
    </row>
    <row r="207" spans="1:32" ht="11.25" customHeight="1" x14ac:dyDescent="0.3">
      <c r="A207" s="4" t="s">
        <v>21</v>
      </c>
      <c r="B207" s="4" t="s">
        <v>35</v>
      </c>
      <c r="C207" s="4" t="s">
        <v>23</v>
      </c>
      <c r="D207" s="4" t="s">
        <v>49</v>
      </c>
      <c r="E207" s="4" t="s">
        <v>50</v>
      </c>
      <c r="F207" s="4" t="s">
        <v>25</v>
      </c>
      <c r="G207" s="4" t="s">
        <v>25</v>
      </c>
      <c r="H207" s="4" t="s">
        <v>25</v>
      </c>
      <c r="I207" s="5">
        <v>44501</v>
      </c>
      <c r="J207" s="6">
        <v>0</v>
      </c>
      <c r="K207" s="70">
        <v>0</v>
      </c>
      <c r="L207" s="6">
        <v>12.291</v>
      </c>
      <c r="M207" s="70">
        <v>12.291</v>
      </c>
      <c r="N207" s="6">
        <v>12.291</v>
      </c>
      <c r="O207" s="70">
        <v>12.291</v>
      </c>
      <c r="P207" s="6">
        <v>2</v>
      </c>
      <c r="Q207" s="4" t="s">
        <v>26</v>
      </c>
      <c r="R207" s="4">
        <v>0</v>
      </c>
      <c r="S207" s="4">
        <v>0</v>
      </c>
      <c r="T207" s="4">
        <v>17</v>
      </c>
      <c r="U207" s="4">
        <v>46</v>
      </c>
      <c r="V207" s="70">
        <f>IF(ISERROR(VLOOKUP($S$207,'TAR FIN'!$A$1:$O$85,15,0)),0,VLOOKUP($S$207,'TAR FIN'!$A$1:$O$85,15,0))</f>
        <v>0</v>
      </c>
      <c r="W207" s="70">
        <f>IF(ISERROR(VLOOKUP($T$207,'TAR FIN'!$A$1:$O$85,15,0)),0,VLOOKUP($T$207,'TAR FIN'!$A$1:$O$85,15,0))*(1-0.06)</f>
        <v>815.33719999999994</v>
      </c>
      <c r="X207" s="70">
        <f>IF(ISERROR(VLOOKUP($U$207,'TAR FIN'!$A$1:$O$85,15,0)),0,VLOOKUP($U$207,'TAR FIN'!$A$1:$O$85,15,0))*(1-0.06)</f>
        <v>225.87259999999998</v>
      </c>
      <c r="Y207" s="70"/>
      <c r="Z207" s="70">
        <f ca="1">('TUSD BE'!$AM$48+'TUSD BF'!$AM$48+'TUSD CVA'!$AM$48)*1*(1-0.03)</f>
        <v>952.59561856000551</v>
      </c>
      <c r="AA207" s="70">
        <f>('TE BE'!$AA$39+'TE BF'!$AA$39+'TE CVA'!$AA$39)*1*(1-0.03)</f>
        <v>320.80893726149895</v>
      </c>
      <c r="AB207" s="70">
        <f>(SUBSIDIO!$J$207*SUBSIDIO!$V$207)*(0.06)/(1-0.06)</f>
        <v>0</v>
      </c>
      <c r="AC207" s="70">
        <f>((SUBSIDIO!$L$207*SUBSIDIO!$W$207)+(SUBSIDIO!$N$207*SUBSIDIO!$X$207))*(0.06)/(1-0.06)</f>
        <v>816.8623182</v>
      </c>
      <c r="AD207" s="70">
        <f>(SUBSIDIO!$J$207*SUBSIDIO!$Y$207)*(0.03)/(1-0.03)</f>
        <v>0</v>
      </c>
      <c r="AE207" s="70">
        <f ca="1">((SUBSIDIO!$L$207*SUBSIDIO!$Z$207)+(SUBSIDIO!$N$207*SUBSIDIO!$AA$207))*(0.03)/(1-0.03)</f>
        <v>484.0643936784158</v>
      </c>
      <c r="AF207" s="4" t="s">
        <v>668</v>
      </c>
    </row>
    <row r="208" spans="1:32" ht="11.25" customHeight="1" x14ac:dyDescent="0.3">
      <c r="A208" s="4" t="s">
        <v>21</v>
      </c>
      <c r="B208" s="4" t="s">
        <v>35</v>
      </c>
      <c r="C208" s="4" t="s">
        <v>23</v>
      </c>
      <c r="D208" s="4" t="s">
        <v>49</v>
      </c>
      <c r="E208" s="4" t="s">
        <v>50</v>
      </c>
      <c r="F208" s="4" t="s">
        <v>25</v>
      </c>
      <c r="G208" s="4" t="s">
        <v>25</v>
      </c>
      <c r="H208" s="4" t="s">
        <v>25</v>
      </c>
      <c r="I208" s="5">
        <v>44531</v>
      </c>
      <c r="J208" s="6">
        <v>0</v>
      </c>
      <c r="K208" s="70">
        <v>0</v>
      </c>
      <c r="L208" s="6">
        <v>14.467000000000001</v>
      </c>
      <c r="M208" s="70">
        <v>14.467000000000001</v>
      </c>
      <c r="N208" s="6">
        <v>14.467000000000001</v>
      </c>
      <c r="O208" s="70">
        <v>14.467000000000001</v>
      </c>
      <c r="P208" s="6">
        <v>2</v>
      </c>
      <c r="Q208" s="4" t="s">
        <v>26</v>
      </c>
      <c r="R208" s="4">
        <v>0</v>
      </c>
      <c r="S208" s="4">
        <v>0</v>
      </c>
      <c r="T208" s="4">
        <v>17</v>
      </c>
      <c r="U208" s="4">
        <v>46</v>
      </c>
      <c r="V208" s="70">
        <f>IF(ISERROR(VLOOKUP($S$208,'TAR FIN'!$A$1:$O$85,15,0)),0,VLOOKUP($S$208,'TAR FIN'!$A$1:$O$85,15,0))</f>
        <v>0</v>
      </c>
      <c r="W208" s="70">
        <f>IF(ISERROR(VLOOKUP($T$208,'TAR FIN'!$A$1:$O$85,15,0)),0,VLOOKUP($T$208,'TAR FIN'!$A$1:$O$85,15,0))*(1-0.06)</f>
        <v>815.33719999999994</v>
      </c>
      <c r="X208" s="70">
        <f>IF(ISERROR(VLOOKUP($U$208,'TAR FIN'!$A$1:$O$85,15,0)),0,VLOOKUP($U$208,'TAR FIN'!$A$1:$O$85,15,0))*(1-0.06)</f>
        <v>225.87259999999998</v>
      </c>
      <c r="Y208" s="70"/>
      <c r="Z208" s="70">
        <f ca="1">('TUSD BE'!$AM$48+'TUSD BF'!$AM$48+'TUSD CVA'!$AM$48)*1*(1-0.03)</f>
        <v>952.59561856000551</v>
      </c>
      <c r="AA208" s="70">
        <f>('TE BE'!$AA$39+'TE BF'!$AA$39+'TE CVA'!$AA$39)*1*(1-0.03)</f>
        <v>320.80893726149895</v>
      </c>
      <c r="AB208" s="70">
        <f>(SUBSIDIO!$J$208*SUBSIDIO!$V$208)*(0.06)/(1-0.06)</f>
        <v>0</v>
      </c>
      <c r="AC208" s="70">
        <f>((SUBSIDIO!$L$208*SUBSIDIO!$W$208)+(SUBSIDIO!$N$208*SUBSIDIO!$X$208))*(0.06)/(1-0.06)</f>
        <v>961.47971340000004</v>
      </c>
      <c r="AD208" s="70">
        <f>(SUBSIDIO!$J$208*SUBSIDIO!$Y$208)*(0.03)/(1-0.03)</f>
        <v>0</v>
      </c>
      <c r="AE208" s="70">
        <f ca="1">((SUBSIDIO!$L$208*SUBSIDIO!$Z$208)+(SUBSIDIO!$N$208*SUBSIDIO!$AA$208))*(0.03)/(1-0.03)</f>
        <v>569.76320749700119</v>
      </c>
      <c r="AF208" s="4" t="s">
        <v>668</v>
      </c>
    </row>
    <row r="209" spans="1:32" ht="11.25" customHeight="1" x14ac:dyDescent="0.3">
      <c r="A209" s="4" t="s">
        <v>21</v>
      </c>
      <c r="B209" s="4" t="s">
        <v>35</v>
      </c>
      <c r="C209" s="4" t="s">
        <v>23</v>
      </c>
      <c r="D209" s="4" t="s">
        <v>49</v>
      </c>
      <c r="E209" s="4" t="s">
        <v>50</v>
      </c>
      <c r="F209" s="4" t="s">
        <v>25</v>
      </c>
      <c r="G209" s="4" t="s">
        <v>25</v>
      </c>
      <c r="H209" s="4" t="s">
        <v>25</v>
      </c>
      <c r="I209" s="5">
        <v>44562</v>
      </c>
      <c r="J209" s="6">
        <v>0</v>
      </c>
      <c r="K209" s="70">
        <v>0</v>
      </c>
      <c r="L209" s="6">
        <v>14.925000000000001</v>
      </c>
      <c r="M209" s="70">
        <v>14.925000000000001</v>
      </c>
      <c r="N209" s="6">
        <v>14.925000000000001</v>
      </c>
      <c r="O209" s="70">
        <v>14.925000000000001</v>
      </c>
      <c r="P209" s="6">
        <v>2</v>
      </c>
      <c r="Q209" s="4" t="s">
        <v>26</v>
      </c>
      <c r="R209" s="4">
        <v>0</v>
      </c>
      <c r="S209" s="4">
        <v>0</v>
      </c>
      <c r="T209" s="4">
        <v>17</v>
      </c>
      <c r="U209" s="4">
        <v>46</v>
      </c>
      <c r="V209" s="70">
        <f>IF(ISERROR(VLOOKUP($S$209,'TAR FIN'!$A$1:$O$85,15,0)),0,VLOOKUP($S$209,'TAR FIN'!$A$1:$O$85,15,0))</f>
        <v>0</v>
      </c>
      <c r="W209" s="70">
        <f>IF(ISERROR(VLOOKUP($T$209,'TAR FIN'!$A$1:$O$85,15,0)),0,VLOOKUP($T$209,'TAR FIN'!$A$1:$O$85,15,0))*(1-0.06)</f>
        <v>815.33719999999994</v>
      </c>
      <c r="X209" s="70">
        <f>IF(ISERROR(VLOOKUP($U$209,'TAR FIN'!$A$1:$O$85,15,0)),0,VLOOKUP($U$209,'TAR FIN'!$A$1:$O$85,15,0))*(1-0.06)</f>
        <v>225.87259999999998</v>
      </c>
      <c r="Y209" s="70"/>
      <c r="Z209" s="70">
        <f ca="1">('TUSD BE'!$AM$48+'TUSD BF'!$AM$48+'TUSD CVA'!$AM$48)*1*(1-0.03)</f>
        <v>952.59561856000551</v>
      </c>
      <c r="AA209" s="70">
        <f>('TE BE'!$AA$39+'TE BF'!$AA$39+'TE CVA'!$AA$39)*1*(1-0.03)</f>
        <v>320.80893726149895</v>
      </c>
      <c r="AB209" s="70">
        <f>(SUBSIDIO!$J$209*SUBSIDIO!$V$209)*(0.06)/(1-0.06)</f>
        <v>0</v>
      </c>
      <c r="AC209" s="70">
        <f>((SUBSIDIO!$L$209*SUBSIDIO!$W$209)+(SUBSIDIO!$N$209*SUBSIDIO!$X$209))*(0.06)/(1-0.06)</f>
        <v>991.91848499999992</v>
      </c>
      <c r="AD209" s="70">
        <f>(SUBSIDIO!$J$209*SUBSIDIO!$Y$209)*(0.03)/(1-0.03)</f>
        <v>0</v>
      </c>
      <c r="AE209" s="70">
        <f ca="1">((SUBSIDIO!$L$209*SUBSIDIO!$Z$209)+(SUBSIDIO!$N$209*SUBSIDIO!$AA$209))*(0.03)/(1-0.03)</f>
        <v>587.80091739080274</v>
      </c>
      <c r="AF209" s="4" t="s">
        <v>668</v>
      </c>
    </row>
    <row r="210" spans="1:32" ht="11.25" customHeight="1" x14ac:dyDescent="0.3">
      <c r="A210" s="4" t="s">
        <v>21</v>
      </c>
      <c r="B210" s="4" t="s">
        <v>35</v>
      </c>
      <c r="C210" s="4" t="s">
        <v>23</v>
      </c>
      <c r="D210" s="4" t="s">
        <v>49</v>
      </c>
      <c r="E210" s="4" t="s">
        <v>50</v>
      </c>
      <c r="F210" s="4" t="s">
        <v>25</v>
      </c>
      <c r="G210" s="4" t="s">
        <v>25</v>
      </c>
      <c r="H210" s="4" t="s">
        <v>25</v>
      </c>
      <c r="I210" s="5">
        <v>44593</v>
      </c>
      <c r="J210" s="6">
        <v>0</v>
      </c>
      <c r="K210" s="70">
        <v>0</v>
      </c>
      <c r="L210" s="6">
        <v>18.042999999999999</v>
      </c>
      <c r="M210" s="70">
        <v>18.042999999999999</v>
      </c>
      <c r="N210" s="6">
        <v>18.042999999999999</v>
      </c>
      <c r="O210" s="70">
        <v>18.042999999999999</v>
      </c>
      <c r="P210" s="6">
        <v>2</v>
      </c>
      <c r="Q210" s="4" t="s">
        <v>26</v>
      </c>
      <c r="R210" s="4">
        <v>0</v>
      </c>
      <c r="S210" s="4">
        <v>0</v>
      </c>
      <c r="T210" s="4">
        <v>17</v>
      </c>
      <c r="U210" s="4">
        <v>46</v>
      </c>
      <c r="V210" s="70">
        <f>IF(ISERROR(VLOOKUP($S$210,'TAR FIN'!$A$1:$O$85,15,0)),0,VLOOKUP($S$210,'TAR FIN'!$A$1:$O$85,15,0))</f>
        <v>0</v>
      </c>
      <c r="W210" s="70">
        <f>IF(ISERROR(VLOOKUP($T$210,'TAR FIN'!$A$1:$O$85,15,0)),0,VLOOKUP($T$210,'TAR FIN'!$A$1:$O$85,15,0))*(1-0.06)</f>
        <v>815.33719999999994</v>
      </c>
      <c r="X210" s="70">
        <f>IF(ISERROR(VLOOKUP($U$210,'TAR FIN'!$A$1:$O$85,15,0)),0,VLOOKUP($U$210,'TAR FIN'!$A$1:$O$85,15,0))*(1-0.06)</f>
        <v>225.87259999999998</v>
      </c>
      <c r="Y210" s="70"/>
      <c r="Z210" s="70">
        <f ca="1">('TUSD BE'!$AM$48+'TUSD BF'!$AM$48+'TUSD CVA'!$AM$48)*1*(1-0.03)</f>
        <v>952.59561856000551</v>
      </c>
      <c r="AA210" s="70">
        <f>('TE BE'!$AA$39+'TE BF'!$AA$39+'TE CVA'!$AA$39)*1*(1-0.03)</f>
        <v>320.80893726149895</v>
      </c>
      <c r="AB210" s="70">
        <f>(SUBSIDIO!$J$210*SUBSIDIO!$V$210)*(0.06)/(1-0.06)</f>
        <v>0</v>
      </c>
      <c r="AC210" s="70">
        <f>((SUBSIDIO!$L$210*SUBSIDIO!$W$210)+(SUBSIDIO!$N$210*SUBSIDIO!$X$210))*(0.06)/(1-0.06)</f>
        <v>1199.1413885999998</v>
      </c>
      <c r="AD210" s="70">
        <f>(SUBSIDIO!$J$210*SUBSIDIO!$Y$210)*(0.03)/(1-0.03)</f>
        <v>0</v>
      </c>
      <c r="AE210" s="70">
        <f ca="1">((SUBSIDIO!$L$210*SUBSIDIO!$Z$210)+(SUBSIDIO!$N$210*SUBSIDIO!$AA$210))*(0.03)/(1-0.03)</f>
        <v>710.59912579445586</v>
      </c>
      <c r="AF210" s="4" t="s">
        <v>668</v>
      </c>
    </row>
    <row r="211" spans="1:32" ht="11.25" customHeight="1" x14ac:dyDescent="0.3">
      <c r="A211" s="4" t="s">
        <v>21</v>
      </c>
      <c r="B211" s="4" t="s">
        <v>35</v>
      </c>
      <c r="C211" s="4" t="s">
        <v>23</v>
      </c>
      <c r="D211" s="4" t="s">
        <v>49</v>
      </c>
      <c r="E211" s="4" t="s">
        <v>50</v>
      </c>
      <c r="F211" s="4" t="s">
        <v>25</v>
      </c>
      <c r="G211" s="4" t="s">
        <v>25</v>
      </c>
      <c r="H211" s="4" t="s">
        <v>25</v>
      </c>
      <c r="I211" s="5">
        <v>44621</v>
      </c>
      <c r="J211" s="6">
        <v>0</v>
      </c>
      <c r="K211" s="70">
        <v>0</v>
      </c>
      <c r="L211" s="6">
        <v>15.497</v>
      </c>
      <c r="M211" s="70">
        <v>15.497</v>
      </c>
      <c r="N211" s="6">
        <v>15.497</v>
      </c>
      <c r="O211" s="70">
        <v>15.497</v>
      </c>
      <c r="P211" s="6">
        <v>2</v>
      </c>
      <c r="Q211" s="4" t="s">
        <v>26</v>
      </c>
      <c r="R211" s="4">
        <v>0</v>
      </c>
      <c r="S211" s="4">
        <v>0</v>
      </c>
      <c r="T211" s="4">
        <v>17</v>
      </c>
      <c r="U211" s="4">
        <v>46</v>
      </c>
      <c r="V211" s="70">
        <f>IF(ISERROR(VLOOKUP($S$211,'TAR FIN'!$A$1:$O$85,15,0)),0,VLOOKUP($S$211,'TAR FIN'!$A$1:$O$85,15,0))</f>
        <v>0</v>
      </c>
      <c r="W211" s="70">
        <f>IF(ISERROR(VLOOKUP($T$211,'TAR FIN'!$A$1:$O$85,15,0)),0,VLOOKUP($T$211,'TAR FIN'!$A$1:$O$85,15,0))*(1-0.06)</f>
        <v>815.33719999999994</v>
      </c>
      <c r="X211" s="70">
        <f>IF(ISERROR(VLOOKUP($U$211,'TAR FIN'!$A$1:$O$85,15,0)),0,VLOOKUP($U$211,'TAR FIN'!$A$1:$O$85,15,0))*(1-0.06)</f>
        <v>225.87259999999998</v>
      </c>
      <c r="Y211" s="70"/>
      <c r="Z211" s="70">
        <f ca="1">('TUSD BE'!$AM$48+'TUSD BF'!$AM$48+'TUSD CVA'!$AM$48)*1*(1-0.03)</f>
        <v>952.59561856000551</v>
      </c>
      <c r="AA211" s="70">
        <f>('TE BE'!$AA$39+'TE BF'!$AA$39+'TE CVA'!$AA$39)*1*(1-0.03)</f>
        <v>320.80893726149895</v>
      </c>
      <c r="AB211" s="70">
        <f>(SUBSIDIO!$J$211*SUBSIDIO!$V$211)*(0.06)/(1-0.06)</f>
        <v>0</v>
      </c>
      <c r="AC211" s="70">
        <f>((SUBSIDIO!$L$211*SUBSIDIO!$W$211)+(SUBSIDIO!$N$211*SUBSIDIO!$X$211))*(0.06)/(1-0.06)</f>
        <v>1029.9337194</v>
      </c>
      <c r="AD211" s="70">
        <f>(SUBSIDIO!$J$211*SUBSIDIO!$Y$211)*(0.03)/(1-0.03)</f>
        <v>0</v>
      </c>
      <c r="AE211" s="70">
        <f ca="1">((SUBSIDIO!$L$211*SUBSIDIO!$Z$211)+(SUBSIDIO!$N$211*SUBSIDIO!$AA$211))*(0.03)/(1-0.03)</f>
        <v>610.32836293502646</v>
      </c>
      <c r="AF211" s="4" t="s">
        <v>668</v>
      </c>
    </row>
    <row r="212" spans="1:32" ht="11.25" customHeight="1" x14ac:dyDescent="0.3"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2" ht="11.25" customHeight="1" x14ac:dyDescent="0.3"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2" ht="11.25" customHeight="1" x14ac:dyDescent="0.3"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2" ht="11.25" customHeight="1" x14ac:dyDescent="0.3"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2" ht="11.25" customHeight="1" x14ac:dyDescent="0.3"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2" ht="11.25" customHeight="1" x14ac:dyDescent="0.3"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2" ht="11.25" customHeight="1" x14ac:dyDescent="0.3"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2" ht="11.25" customHeight="1" x14ac:dyDescent="0.3"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2" ht="11.25" customHeight="1" x14ac:dyDescent="0.3"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2" ht="11.25" customHeight="1" x14ac:dyDescent="0.3"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2" ht="11.25" customHeight="1" x14ac:dyDescent="0.3"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2" ht="11.25" customHeight="1" x14ac:dyDescent="0.3"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2" ht="11.25" customHeight="1" x14ac:dyDescent="0.3"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22:31" ht="11.25" customHeight="1" x14ac:dyDescent="0.3"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2:31" ht="11.25" customHeight="1" x14ac:dyDescent="0.3"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22:31" ht="11.25" customHeight="1" x14ac:dyDescent="0.3"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22:31" ht="11.25" customHeight="1" x14ac:dyDescent="0.3"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22:31" ht="11.25" customHeight="1" x14ac:dyDescent="0.3"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22:31" ht="11.25" customHeight="1" x14ac:dyDescent="0.3"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22:31" ht="11.25" customHeight="1" x14ac:dyDescent="0.3"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22:31" ht="11.25" customHeight="1" x14ac:dyDescent="0.3"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22:31" ht="11.25" customHeight="1" x14ac:dyDescent="0.3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22:31" ht="11.25" customHeight="1" x14ac:dyDescent="0.3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22:31" ht="11.25" customHeight="1" x14ac:dyDescent="0.3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22:31" ht="11.25" customHeight="1" x14ac:dyDescent="0.3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22:31" ht="11.25" customHeight="1" x14ac:dyDescent="0.3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22:31" ht="11.25" customHeight="1" x14ac:dyDescent="0.3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22:31" ht="11.25" customHeight="1" x14ac:dyDescent="0.3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22:31" ht="11.25" customHeight="1" x14ac:dyDescent="0.3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3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3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3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3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3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3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3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3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3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3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3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3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3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3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3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3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3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3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3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3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2:31" ht="11.25" customHeight="1" x14ac:dyDescent="0.3"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2:31" ht="11.25" customHeight="1" x14ac:dyDescent="0.3"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2:31" ht="11.25" customHeight="1" x14ac:dyDescent="0.3"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2:31" ht="11.25" customHeight="1" x14ac:dyDescent="0.3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2:31" ht="11.25" customHeight="1" x14ac:dyDescent="0.3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2:31" ht="11.25" customHeight="1" x14ac:dyDescent="0.3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2:31" ht="11.25" customHeight="1" x14ac:dyDescent="0.3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2:31" ht="11.25" customHeight="1" x14ac:dyDescent="0.3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2:31" ht="11.25" customHeight="1" x14ac:dyDescent="0.3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2:31" ht="11.25" customHeight="1" x14ac:dyDescent="0.3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2:31" ht="11.25" customHeight="1" x14ac:dyDescent="0.3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2:31" ht="11.25" customHeight="1" x14ac:dyDescent="0.3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3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3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3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3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3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3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3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3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3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3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3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3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3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3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3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3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3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3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3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3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3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3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3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2:31" ht="11.25" customHeight="1" x14ac:dyDescent="0.3"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2:31" ht="11.25" customHeight="1" x14ac:dyDescent="0.3"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2:31" ht="11.25" customHeight="1" x14ac:dyDescent="0.3"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2:31" ht="11.25" customHeight="1" x14ac:dyDescent="0.3"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22:31" ht="11.25" customHeight="1" x14ac:dyDescent="0.3"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22:31" ht="11.25" customHeight="1" x14ac:dyDescent="0.3"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22:31" ht="11.25" customHeight="1" x14ac:dyDescent="0.3"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22:31" ht="11.25" customHeight="1" x14ac:dyDescent="0.3"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22:31" ht="11.25" customHeight="1" x14ac:dyDescent="0.3"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22:31" ht="11.25" customHeight="1" x14ac:dyDescent="0.3"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22:31" ht="11.25" customHeight="1" x14ac:dyDescent="0.3"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22:31" ht="11.25" customHeight="1" x14ac:dyDescent="0.3"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22:31" ht="11.25" customHeight="1" x14ac:dyDescent="0.3"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22:31" ht="11.25" customHeight="1" x14ac:dyDescent="0.3"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22:31" ht="11.25" customHeight="1" x14ac:dyDescent="0.3"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22:31" ht="11.25" customHeight="1" x14ac:dyDescent="0.3"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22:31" ht="11.25" customHeight="1" x14ac:dyDescent="0.3"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22:31" ht="11.25" customHeight="1" x14ac:dyDescent="0.3"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22:31" ht="11.25" customHeight="1" x14ac:dyDescent="0.3"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22:31" ht="11.25" customHeight="1" x14ac:dyDescent="0.3"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22:31" ht="11.25" customHeight="1" x14ac:dyDescent="0.3"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22:31" ht="11.25" customHeight="1" x14ac:dyDescent="0.3"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22:31" ht="11.25" customHeight="1" x14ac:dyDescent="0.3"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22:31" ht="11.25" customHeight="1" x14ac:dyDescent="0.3"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22:31" ht="11.25" customHeight="1" x14ac:dyDescent="0.3"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2:31" ht="11.25" customHeight="1" x14ac:dyDescent="0.3"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22:31" ht="11.25" customHeight="1" x14ac:dyDescent="0.3"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22:31" ht="11.25" customHeight="1" x14ac:dyDescent="0.3"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22:31" ht="11.25" customHeight="1" x14ac:dyDescent="0.3"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22:31" ht="11.25" customHeight="1" x14ac:dyDescent="0.3"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22:31" ht="11.25" customHeight="1" x14ac:dyDescent="0.3"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22:31" ht="11.25" customHeight="1" x14ac:dyDescent="0.3"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22:31" ht="11.25" customHeight="1" x14ac:dyDescent="0.3"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22:31" ht="11.25" customHeight="1" x14ac:dyDescent="0.3"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22:31" ht="11.25" customHeight="1" x14ac:dyDescent="0.3"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22:31" ht="11.25" customHeight="1" x14ac:dyDescent="0.3"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22:31" ht="11.25" customHeight="1" x14ac:dyDescent="0.3"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22:31" ht="11.25" customHeight="1" x14ac:dyDescent="0.3"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22:31" ht="11.25" customHeight="1" x14ac:dyDescent="0.3"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22:31" ht="11.25" customHeight="1" x14ac:dyDescent="0.3"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22:31" ht="11.25" customHeight="1" x14ac:dyDescent="0.3"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22:31" ht="11.25" customHeight="1" x14ac:dyDescent="0.3"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22:31" ht="11.25" customHeight="1" x14ac:dyDescent="0.3"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22:31" ht="11.25" customHeight="1" x14ac:dyDescent="0.3"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22:31" ht="11.25" customHeight="1" x14ac:dyDescent="0.3"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22:31" ht="11.25" customHeight="1" x14ac:dyDescent="0.3"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22:31" ht="11.25" customHeight="1" x14ac:dyDescent="0.3"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22:31" ht="11.25" customHeight="1" x14ac:dyDescent="0.3"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22:31" ht="11.25" customHeight="1" x14ac:dyDescent="0.3"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22:31" ht="11.25" customHeight="1" x14ac:dyDescent="0.3"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22:31" ht="11.25" customHeight="1" x14ac:dyDescent="0.3"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22:31" ht="11.25" customHeight="1" x14ac:dyDescent="0.3"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22:31" ht="11.25" customHeight="1" x14ac:dyDescent="0.3"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22:31" ht="11.25" customHeight="1" x14ac:dyDescent="0.3"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22:31" ht="11.25" customHeight="1" x14ac:dyDescent="0.3"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22:31" ht="11.25" customHeight="1" x14ac:dyDescent="0.3"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22:31" ht="11.25" customHeight="1" x14ac:dyDescent="0.3"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2:31" ht="11.25" customHeight="1" x14ac:dyDescent="0.3"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22:31" ht="11.25" customHeight="1" x14ac:dyDescent="0.3"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22:31" ht="11.25" customHeight="1" x14ac:dyDescent="0.3"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22:31" ht="11.25" customHeight="1" x14ac:dyDescent="0.3"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22:31" ht="11.25" customHeight="1" x14ac:dyDescent="0.3"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22:31" ht="11.25" customHeight="1" x14ac:dyDescent="0.3"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22:31" ht="11.25" customHeight="1" x14ac:dyDescent="0.3"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22:31" ht="11.25" customHeight="1" x14ac:dyDescent="0.3"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22:31" ht="11.25" customHeight="1" x14ac:dyDescent="0.3"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22:31" ht="11.25" customHeight="1" x14ac:dyDescent="0.3"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22:31" ht="11.25" customHeight="1" x14ac:dyDescent="0.3"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22:31" ht="11.25" customHeight="1" x14ac:dyDescent="0.3"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22:31" ht="11.25" customHeight="1" x14ac:dyDescent="0.3"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22:31" ht="11.25" customHeight="1" x14ac:dyDescent="0.3"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22:31" ht="11.25" customHeight="1" x14ac:dyDescent="0.3"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22:31" ht="11.25" customHeight="1" x14ac:dyDescent="0.3"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22:31" ht="11.25" customHeight="1" x14ac:dyDescent="0.3"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22:31" ht="11.25" customHeight="1" x14ac:dyDescent="0.3"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22:31" ht="11.25" customHeight="1" x14ac:dyDescent="0.3"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22:31" ht="11.25" customHeight="1" x14ac:dyDescent="0.3"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22:31" ht="11.25" customHeight="1" x14ac:dyDescent="0.3"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22:31" ht="11.25" customHeight="1" x14ac:dyDescent="0.3"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22:31" ht="11.25" customHeight="1" x14ac:dyDescent="0.3"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22:31" ht="11.25" customHeight="1" x14ac:dyDescent="0.3"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22:31" ht="11.25" customHeight="1" x14ac:dyDescent="0.3"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22:31" ht="11.25" customHeight="1" x14ac:dyDescent="0.3"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22:31" ht="11.25" customHeight="1" x14ac:dyDescent="0.3"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22:31" ht="11.25" customHeight="1" x14ac:dyDescent="0.3"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22:31" ht="11.25" customHeight="1" x14ac:dyDescent="0.3"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22:31" ht="11.25" customHeight="1" x14ac:dyDescent="0.3"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22:31" ht="11.25" customHeight="1" x14ac:dyDescent="0.3"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22:31" ht="11.25" customHeight="1" x14ac:dyDescent="0.3"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22:31" ht="11.25" customHeight="1" x14ac:dyDescent="0.3"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22:31" ht="11.25" customHeight="1" x14ac:dyDescent="0.3"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22:31" ht="11.25" customHeight="1" x14ac:dyDescent="0.3"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22:31" ht="11.25" customHeight="1" x14ac:dyDescent="0.3"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22:31" ht="11.25" customHeight="1" x14ac:dyDescent="0.3"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22:31" ht="11.25" customHeight="1" x14ac:dyDescent="0.3"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22:31" ht="11.25" customHeight="1" x14ac:dyDescent="0.3"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22:31" ht="11.25" customHeight="1" x14ac:dyDescent="0.3"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22:31" ht="11.25" customHeight="1" x14ac:dyDescent="0.3"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22:31" ht="11.25" customHeight="1" x14ac:dyDescent="0.3"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22:31" ht="11.25" customHeight="1" x14ac:dyDescent="0.3"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22:31" ht="11.25" customHeight="1" x14ac:dyDescent="0.3"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22:31" ht="11.25" customHeight="1" x14ac:dyDescent="0.3"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22:31" ht="11.25" customHeight="1" x14ac:dyDescent="0.3"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22:31" ht="11.25" customHeight="1" x14ac:dyDescent="0.3"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22:31" ht="11.25" customHeight="1" x14ac:dyDescent="0.3"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22:31" ht="11.25" customHeight="1" x14ac:dyDescent="0.3"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22:31" ht="11.25" customHeight="1" x14ac:dyDescent="0.3"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22:31" ht="11.25" customHeight="1" x14ac:dyDescent="0.3"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22:31" ht="11.25" customHeight="1" x14ac:dyDescent="0.3"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22:31" ht="11.25" customHeight="1" x14ac:dyDescent="0.3"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22:31" ht="11.25" customHeight="1" x14ac:dyDescent="0.3"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22:31" ht="11.25" customHeight="1" x14ac:dyDescent="0.3"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22:31" ht="11.25" customHeight="1" x14ac:dyDescent="0.3"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22:31" ht="11.25" customHeight="1" x14ac:dyDescent="0.3"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22:31" ht="11.25" customHeight="1" x14ac:dyDescent="0.3"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22:31" ht="11.25" customHeight="1" x14ac:dyDescent="0.3"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22:31" ht="11.25" customHeight="1" x14ac:dyDescent="0.3"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22:31" ht="11.25" customHeight="1" x14ac:dyDescent="0.3"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22:31" ht="11.25" customHeight="1" x14ac:dyDescent="0.3"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22:31" ht="11.25" customHeight="1" x14ac:dyDescent="0.3"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22:31" ht="11.25" customHeight="1" x14ac:dyDescent="0.3"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22:31" ht="11.25" customHeight="1" x14ac:dyDescent="0.3"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22:31" ht="11.25" customHeight="1" x14ac:dyDescent="0.3"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22:31" ht="11.25" customHeight="1" x14ac:dyDescent="0.3"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22:31" ht="11.25" customHeight="1" x14ac:dyDescent="0.3"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22:31" ht="11.25" customHeight="1" x14ac:dyDescent="0.3"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22:31" ht="11.25" customHeight="1" x14ac:dyDescent="0.3"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22:31" ht="11.25" customHeight="1" x14ac:dyDescent="0.3"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22:31" ht="11.25" customHeight="1" x14ac:dyDescent="0.3"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22:31" ht="11.25" customHeight="1" x14ac:dyDescent="0.3"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22:31" ht="11.25" customHeight="1" x14ac:dyDescent="0.3"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22:31" ht="11.25" customHeight="1" x14ac:dyDescent="0.3"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22:31" ht="11.25" customHeight="1" x14ac:dyDescent="0.3"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22:31" ht="11.25" customHeight="1" x14ac:dyDescent="0.3"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22:31" ht="11.25" customHeight="1" x14ac:dyDescent="0.3"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22:31" ht="11.25" customHeight="1" x14ac:dyDescent="0.3"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22:31" ht="11.25" customHeight="1" x14ac:dyDescent="0.3"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22:31" ht="11.25" customHeight="1" x14ac:dyDescent="0.3"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22:31" ht="11.25" customHeight="1" x14ac:dyDescent="0.3"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22:31" ht="11.25" customHeight="1" x14ac:dyDescent="0.3"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22:31" ht="11.25" customHeight="1" x14ac:dyDescent="0.3"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22:31" ht="11.25" customHeight="1" x14ac:dyDescent="0.3"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22:31" ht="11.25" customHeight="1" x14ac:dyDescent="0.3"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22:31" ht="11.25" customHeight="1" x14ac:dyDescent="0.3"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22:31" ht="11.25" customHeight="1" x14ac:dyDescent="0.3"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22:31" ht="11.25" customHeight="1" x14ac:dyDescent="0.3"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22:31" ht="11.25" customHeight="1" x14ac:dyDescent="0.3"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22:31" ht="11.25" customHeight="1" x14ac:dyDescent="0.3"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22:31" ht="11.25" customHeight="1" x14ac:dyDescent="0.3"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22:31" ht="11.25" customHeight="1" x14ac:dyDescent="0.3"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22:31" ht="11.25" customHeight="1" x14ac:dyDescent="0.3"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22:31" ht="11.25" customHeight="1" x14ac:dyDescent="0.3"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22:31" ht="11.25" customHeight="1" x14ac:dyDescent="0.3"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22:31" ht="11.25" customHeight="1" x14ac:dyDescent="0.3"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22:31" ht="11.25" customHeight="1" x14ac:dyDescent="0.3"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22:31" ht="11.25" customHeight="1" x14ac:dyDescent="0.3"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22:31" ht="11.25" customHeight="1" x14ac:dyDescent="0.3"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22:31" ht="11.25" customHeight="1" x14ac:dyDescent="0.3"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22:31" ht="11.25" customHeight="1" x14ac:dyDescent="0.3"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22:31" ht="11.25" customHeight="1" x14ac:dyDescent="0.3"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22:31" ht="11.25" customHeight="1" x14ac:dyDescent="0.3"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22:31" ht="11.25" customHeight="1" x14ac:dyDescent="0.3"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22:31" ht="11.25" customHeight="1" x14ac:dyDescent="0.3"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22:31" ht="11.25" customHeight="1" x14ac:dyDescent="0.3"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22:31" ht="11.25" customHeight="1" x14ac:dyDescent="0.3"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22:31" ht="11.25" customHeight="1" x14ac:dyDescent="0.3"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22:31" ht="11.25" customHeight="1" x14ac:dyDescent="0.3"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22:31" ht="11.25" customHeight="1" x14ac:dyDescent="0.3"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22:31" ht="11.25" customHeight="1" x14ac:dyDescent="0.3"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22:31" ht="11.25" customHeight="1" x14ac:dyDescent="0.3"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22:31" ht="11.25" customHeight="1" x14ac:dyDescent="0.3"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22:31" ht="11.25" customHeight="1" x14ac:dyDescent="0.3"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22:31" ht="11.25" customHeight="1" x14ac:dyDescent="0.3"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22:31" ht="11.25" customHeight="1" x14ac:dyDescent="0.3"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22:31" ht="11.25" customHeight="1" x14ac:dyDescent="0.3"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22:31" ht="11.25" customHeight="1" x14ac:dyDescent="0.3"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22:31" ht="11.25" customHeight="1" x14ac:dyDescent="0.3"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22:31" ht="11.25" customHeight="1" x14ac:dyDescent="0.3"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22:31" ht="11.25" customHeight="1" x14ac:dyDescent="0.3"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22:31" ht="11.25" customHeight="1" x14ac:dyDescent="0.3"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22:31" ht="11.25" customHeight="1" x14ac:dyDescent="0.3"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62A6-5A2D-46E6-BC72-89C42838BF4D}">
  <dimension ref="A1:J545"/>
  <sheetViews>
    <sheetView showGridLines="0" workbookViewId="0"/>
  </sheetViews>
  <sheetFormatPr defaultColWidth="9.109375" defaultRowHeight="11.25" customHeight="1" x14ac:dyDescent="0.2"/>
  <cols>
    <col min="1" max="1" width="34.6640625" style="16" bestFit="1" customWidth="1"/>
    <col min="2" max="2" width="24.5546875" style="57" bestFit="1" customWidth="1"/>
    <col min="3" max="3" width="25.5546875" style="57" bestFit="1" customWidth="1"/>
    <col min="4" max="4" width="26" style="57" bestFit="1" customWidth="1"/>
    <col min="5" max="5" width="26.88671875" style="57" bestFit="1" customWidth="1"/>
    <col min="6" max="6" width="23.6640625" style="57" bestFit="1" customWidth="1"/>
    <col min="7" max="7" width="24.5546875" style="57" bestFit="1" customWidth="1"/>
    <col min="8" max="8" width="18.33203125" style="58" bestFit="1" customWidth="1"/>
    <col min="9" max="9" width="16" style="58" bestFit="1" customWidth="1"/>
    <col min="10" max="10" width="13.88671875" style="58" bestFit="1" customWidth="1"/>
    <col min="11" max="16384" width="9.109375" style="16"/>
  </cols>
  <sheetData>
    <row r="1" spans="1:10" ht="11.25" customHeight="1" x14ac:dyDescent="0.2">
      <c r="A1" s="56" t="s">
        <v>651</v>
      </c>
      <c r="B1" s="57" t="s">
        <v>652</v>
      </c>
      <c r="C1" s="57" t="s">
        <v>653</v>
      </c>
      <c r="D1" s="57" t="s">
        <v>654</v>
      </c>
      <c r="E1" s="57" t="s">
        <v>655</v>
      </c>
      <c r="F1" s="57" t="s">
        <v>656</v>
      </c>
      <c r="G1" s="57" t="s">
        <v>657</v>
      </c>
      <c r="H1" s="58" t="s">
        <v>658</v>
      </c>
      <c r="I1" s="58" t="s">
        <v>659</v>
      </c>
      <c r="J1" s="58" t="s">
        <v>660</v>
      </c>
    </row>
    <row r="2" spans="1:10" ht="11.25" customHeight="1" x14ac:dyDescent="0.2">
      <c r="A2" s="59" t="s">
        <v>26</v>
      </c>
      <c r="B2" s="57">
        <v>1740372.3163999994</v>
      </c>
      <c r="C2" s="57">
        <v>1865224.9197345241</v>
      </c>
      <c r="D2" s="57">
        <v>12686837.16719161</v>
      </c>
      <c r="E2" s="57">
        <v>13975609.266256616</v>
      </c>
      <c r="F2" s="57">
        <v>4154138.6951368009</v>
      </c>
      <c r="G2" s="57">
        <v>5517184.5102199875</v>
      </c>
      <c r="H2" s="58">
        <v>9.7983238131204464E-2</v>
      </c>
      <c r="I2" s="58">
        <v>0.32811755098087714</v>
      </c>
      <c r="J2" s="58">
        <v>0.14943321070003912</v>
      </c>
    </row>
    <row r="3" spans="1:10" ht="11.25" customHeight="1" x14ac:dyDescent="0.2">
      <c r="A3" s="60" t="s">
        <v>37</v>
      </c>
      <c r="B3" s="57">
        <v>1740372.3163999994</v>
      </c>
      <c r="C3" s="57">
        <v>1865224.9197345241</v>
      </c>
      <c r="D3" s="57">
        <v>509956.65366880002</v>
      </c>
      <c r="E3" s="57">
        <v>602522.12949785148</v>
      </c>
      <c r="F3" s="57">
        <v>777907.09905039973</v>
      </c>
      <c r="G3" s="57">
        <v>1031024.0644197149</v>
      </c>
      <c r="H3" s="58">
        <v>9.6616131265878646E-2</v>
      </c>
      <c r="I3" s="58">
        <v>0.32538199699976755</v>
      </c>
      <c r="J3" s="58">
        <v>0.15538255069716289</v>
      </c>
    </row>
    <row r="4" spans="1:10" ht="11.25" customHeight="1" x14ac:dyDescent="0.2">
      <c r="A4" s="61" t="s">
        <v>41</v>
      </c>
      <c r="B4" s="57">
        <v>314301.69</v>
      </c>
      <c r="C4" s="57">
        <v>338470.31761854998</v>
      </c>
      <c r="D4" s="57">
        <v>40292.777880000016</v>
      </c>
      <c r="E4" s="57">
        <v>50425.060826516441</v>
      </c>
      <c r="F4" s="57">
        <v>103572.43898999998</v>
      </c>
      <c r="G4" s="57">
        <v>137273.04602270265</v>
      </c>
      <c r="H4" s="58">
        <v>9.6732785398880861E-2</v>
      </c>
      <c r="I4" s="58">
        <v>0.32538199699976644</v>
      </c>
      <c r="J4" s="58">
        <v>0.14842084091652574</v>
      </c>
    </row>
    <row r="5" spans="1:10" ht="11.25" customHeight="1" x14ac:dyDescent="0.2">
      <c r="A5" s="62" t="s">
        <v>40</v>
      </c>
      <c r="B5" s="57">
        <v>314301.69</v>
      </c>
      <c r="C5" s="57">
        <v>338470.31761854998</v>
      </c>
      <c r="D5" s="57">
        <v>40292.777880000016</v>
      </c>
      <c r="E5" s="57">
        <v>50425.060826516441</v>
      </c>
      <c r="F5" s="57">
        <v>103572.43898999998</v>
      </c>
      <c r="G5" s="57">
        <v>137273.04602270265</v>
      </c>
      <c r="H5" s="58">
        <v>9.6732785398880861E-2</v>
      </c>
      <c r="I5" s="58">
        <v>0.32538199699976644</v>
      </c>
      <c r="J5" s="58">
        <v>0.14842084091652574</v>
      </c>
    </row>
    <row r="6" spans="1:10" ht="11.25" customHeight="1" x14ac:dyDescent="0.2">
      <c r="A6" s="63" t="s">
        <v>25</v>
      </c>
      <c r="B6" s="57">
        <v>314301.69</v>
      </c>
      <c r="C6" s="57">
        <v>338470.31761854998</v>
      </c>
      <c r="D6" s="57">
        <v>40292.777880000016</v>
      </c>
      <c r="E6" s="57">
        <v>50425.060826516441</v>
      </c>
      <c r="F6" s="57">
        <v>103572.43898999998</v>
      </c>
      <c r="G6" s="57">
        <v>137273.04602270265</v>
      </c>
      <c r="H6" s="58">
        <v>9.6732785398880861E-2</v>
      </c>
      <c r="I6" s="58">
        <v>0.32538199699976644</v>
      </c>
      <c r="J6" s="58">
        <v>0.14842084091652574</v>
      </c>
    </row>
    <row r="7" spans="1:10" ht="11.25" customHeight="1" x14ac:dyDescent="0.2">
      <c r="A7" s="64" t="s">
        <v>25</v>
      </c>
      <c r="B7" s="57">
        <v>314301.69</v>
      </c>
      <c r="C7" s="57">
        <v>338470.31761854998</v>
      </c>
      <c r="D7" s="57">
        <v>40292.777880000016</v>
      </c>
      <c r="E7" s="57">
        <v>50425.060826516441</v>
      </c>
      <c r="F7" s="57">
        <v>103572.43898999998</v>
      </c>
      <c r="G7" s="57">
        <v>137273.04602270265</v>
      </c>
      <c r="H7" s="58">
        <v>9.6732785398880861E-2</v>
      </c>
      <c r="I7" s="58">
        <v>0.32538199699976644</v>
      </c>
      <c r="J7" s="58">
        <v>0.14842084091652574</v>
      </c>
    </row>
    <row r="8" spans="1:10" ht="11.25" customHeight="1" x14ac:dyDescent="0.2">
      <c r="A8" s="65" t="s">
        <v>25</v>
      </c>
      <c r="B8" s="57">
        <v>314301.69</v>
      </c>
      <c r="C8" s="57">
        <v>338470.31761854998</v>
      </c>
      <c r="D8" s="57">
        <v>40292.777880000016</v>
      </c>
      <c r="E8" s="57">
        <v>50425.060826516441</v>
      </c>
      <c r="F8" s="57">
        <v>103572.43898999998</v>
      </c>
      <c r="G8" s="57">
        <v>137273.04602270265</v>
      </c>
      <c r="H8" s="58">
        <v>9.6732785398880861E-2</v>
      </c>
      <c r="I8" s="58">
        <v>0.32538199699976644</v>
      </c>
      <c r="J8" s="58">
        <v>0.14842084091652574</v>
      </c>
    </row>
    <row r="9" spans="1:10" ht="11.25" customHeight="1" x14ac:dyDescent="0.2">
      <c r="A9" s="66" t="s">
        <v>34</v>
      </c>
      <c r="B9" s="57">
        <v>89961.69</v>
      </c>
      <c r="C9" s="57">
        <v>96313.199135415925</v>
      </c>
      <c r="D9" s="57">
        <v>36335.862960000006</v>
      </c>
      <c r="E9" s="57">
        <v>45473.114447426269</v>
      </c>
      <c r="F9" s="57">
        <v>93401.203579999987</v>
      </c>
      <c r="G9" s="57">
        <v>123792.27372304212</v>
      </c>
      <c r="H9" s="58">
        <v>0.12263706033756372</v>
      </c>
      <c r="I9" s="58">
        <v>0.32538199699976644</v>
      </c>
      <c r="J9" s="58">
        <v>0.2088306346764921</v>
      </c>
    </row>
    <row r="10" spans="1:10" ht="11.25" customHeight="1" x14ac:dyDescent="0.2">
      <c r="A10" s="67">
        <v>44287</v>
      </c>
      <c r="B10" s="57">
        <v>7441</v>
      </c>
      <c r="C10" s="57">
        <v>7966.3522858077686</v>
      </c>
      <c r="D10" s="57">
        <v>3049.2241200000003</v>
      </c>
      <c r="E10" s="57">
        <v>3816.0017704066286</v>
      </c>
      <c r="F10" s="57">
        <v>7838.0195100000001</v>
      </c>
      <c r="G10" s="57">
        <v>10388.369950686931</v>
      </c>
      <c r="H10" s="58">
        <v>0.12317467400442883</v>
      </c>
      <c r="I10" s="58">
        <v>0.32538199699976644</v>
      </c>
      <c r="J10" s="58">
        <v>0.20964804126740688</v>
      </c>
    </row>
    <row r="11" spans="1:10" ht="11.25" customHeight="1" x14ac:dyDescent="0.2">
      <c r="A11" s="67">
        <v>44317</v>
      </c>
      <c r="B11" s="57">
        <v>7441</v>
      </c>
      <c r="C11" s="57">
        <v>7966.3522858077686</v>
      </c>
      <c r="D11" s="57">
        <v>2850.3921600000003</v>
      </c>
      <c r="E11" s="57">
        <v>3567.1702376908834</v>
      </c>
      <c r="F11" s="57">
        <v>7326.9226799999997</v>
      </c>
      <c r="G11" s="57">
        <v>9710.9714134812803</v>
      </c>
      <c r="H11" s="58">
        <v>0.12069604813297219</v>
      </c>
      <c r="I11" s="58">
        <v>0.32538199699976644</v>
      </c>
      <c r="J11" s="58">
        <v>0.20581872499787468</v>
      </c>
    </row>
    <row r="12" spans="1:10" ht="11.25" customHeight="1" x14ac:dyDescent="0.2">
      <c r="A12" s="67">
        <v>44348</v>
      </c>
      <c r="B12" s="57">
        <v>7441</v>
      </c>
      <c r="C12" s="57">
        <v>7966.3522858077686</v>
      </c>
      <c r="D12" s="57">
        <v>2507.9749200000001</v>
      </c>
      <c r="E12" s="57">
        <v>3138.6465403059397</v>
      </c>
      <c r="F12" s="57">
        <v>6446.7404100000003</v>
      </c>
      <c r="G12" s="57">
        <v>8544.3936787448929</v>
      </c>
      <c r="H12" s="58">
        <v>0.11619527794665574</v>
      </c>
      <c r="I12" s="58">
        <v>0.32538199699976644</v>
      </c>
      <c r="J12" s="58">
        <v>0.19844679596901749</v>
      </c>
    </row>
    <row r="13" spans="1:10" ht="11.25" customHeight="1" x14ac:dyDescent="0.2">
      <c r="A13" s="67">
        <v>44378</v>
      </c>
      <c r="B13" s="57">
        <v>7441</v>
      </c>
      <c r="C13" s="57">
        <v>7966.3522858077686</v>
      </c>
      <c r="D13" s="57">
        <v>2347.65672</v>
      </c>
      <c r="E13" s="57">
        <v>2938.0136871759428</v>
      </c>
      <c r="F13" s="57">
        <v>6034.6430600000003</v>
      </c>
      <c r="G13" s="57">
        <v>7998.207270043581</v>
      </c>
      <c r="H13" s="58">
        <v>0.11397981203121721</v>
      </c>
      <c r="I13" s="58">
        <v>0.32538199699976622</v>
      </c>
      <c r="J13" s="58">
        <v>0.19460374927101909</v>
      </c>
    </row>
    <row r="14" spans="1:10" ht="11.25" customHeight="1" x14ac:dyDescent="0.2">
      <c r="A14" s="67">
        <v>44409</v>
      </c>
      <c r="B14" s="57">
        <v>7441</v>
      </c>
      <c r="C14" s="57">
        <v>7966.3522858077686</v>
      </c>
      <c r="D14" s="57">
        <v>2546.8626000000004</v>
      </c>
      <c r="E14" s="57">
        <v>3187.3131682371809</v>
      </c>
      <c r="F14" s="57">
        <v>6546.7010499999997</v>
      </c>
      <c r="G14" s="57">
        <v>8676.8797114094668</v>
      </c>
      <c r="H14" s="58">
        <v>0.11672195551077658</v>
      </c>
      <c r="I14" s="58">
        <v>0.32538199699976644</v>
      </c>
      <c r="J14" s="58">
        <v>0.19933888702617297</v>
      </c>
    </row>
    <row r="15" spans="1:10" ht="11.25" customHeight="1" x14ac:dyDescent="0.2">
      <c r="A15" s="67">
        <v>44440</v>
      </c>
      <c r="B15" s="57">
        <v>7441</v>
      </c>
      <c r="C15" s="57">
        <v>7966.3522858077686</v>
      </c>
      <c r="D15" s="57">
        <v>2817.86112</v>
      </c>
      <c r="E15" s="57">
        <v>3526.458731633018</v>
      </c>
      <c r="F15" s="57">
        <v>7243.3017599999994</v>
      </c>
      <c r="G15" s="57">
        <v>9600.1417515407211</v>
      </c>
      <c r="H15" s="58">
        <v>0.12028137265989103</v>
      </c>
      <c r="I15" s="58">
        <v>0.32538199699976622</v>
      </c>
      <c r="J15" s="58">
        <v>0.20516263696098735</v>
      </c>
    </row>
    <row r="16" spans="1:10" ht="11.25" customHeight="1" x14ac:dyDescent="0.2">
      <c r="A16" s="67">
        <v>44470</v>
      </c>
      <c r="B16" s="57">
        <v>7441</v>
      </c>
      <c r="C16" s="57">
        <v>7966.3522858077686</v>
      </c>
      <c r="D16" s="57">
        <v>2810.8501200000001</v>
      </c>
      <c r="E16" s="57">
        <v>3517.68470015503</v>
      </c>
      <c r="F16" s="57">
        <v>7225.2800099999995</v>
      </c>
      <c r="G16" s="57">
        <v>9576.2560485362919</v>
      </c>
      <c r="H16" s="58">
        <v>0.12019165824117617</v>
      </c>
      <c r="I16" s="58">
        <v>0.32538199699976644</v>
      </c>
      <c r="J16" s="58">
        <v>0.20502009642581354</v>
      </c>
    </row>
    <row r="17" spans="1:10" ht="11.25" customHeight="1" x14ac:dyDescent="0.2">
      <c r="A17" s="67">
        <v>44501</v>
      </c>
      <c r="B17" s="57">
        <v>7441</v>
      </c>
      <c r="C17" s="57">
        <v>7966.3522858077686</v>
      </c>
      <c r="D17" s="57">
        <v>2922.4652400000004</v>
      </c>
      <c r="E17" s="57">
        <v>3657.3672812846025</v>
      </c>
      <c r="F17" s="57">
        <v>7512.1862700000001</v>
      </c>
      <c r="G17" s="57">
        <v>9956.5164403668259</v>
      </c>
      <c r="H17" s="58">
        <v>0.12160549564330569</v>
      </c>
      <c r="I17" s="58">
        <v>0.32538199699976622</v>
      </c>
      <c r="J17" s="58">
        <v>0.20724192879833092</v>
      </c>
    </row>
    <row r="18" spans="1:10" ht="11.25" customHeight="1" x14ac:dyDescent="0.2">
      <c r="A18" s="67">
        <v>44531</v>
      </c>
      <c r="B18" s="57">
        <v>7441</v>
      </c>
      <c r="C18" s="57">
        <v>7966.3522858077686</v>
      </c>
      <c r="D18" s="57">
        <v>3377.3389200000001</v>
      </c>
      <c r="E18" s="57">
        <v>4226.626443576476</v>
      </c>
      <c r="F18" s="57">
        <v>8681.4374099999986</v>
      </c>
      <c r="G18" s="57">
        <v>11506.220851294278</v>
      </c>
      <c r="H18" s="58">
        <v>0.12706570015503327</v>
      </c>
      <c r="I18" s="58">
        <v>0.32538199699976644</v>
      </c>
      <c r="J18" s="58">
        <v>0.21535750870217929</v>
      </c>
    </row>
    <row r="19" spans="1:10" ht="11.25" customHeight="1" x14ac:dyDescent="0.2">
      <c r="A19" s="67">
        <v>44562</v>
      </c>
      <c r="B19" s="57">
        <v>7738.6399999999994</v>
      </c>
      <c r="C19" s="57">
        <v>8285.006377240079</v>
      </c>
      <c r="D19" s="57">
        <v>3823.0515599999999</v>
      </c>
      <c r="E19" s="57">
        <v>4784.4208714037795</v>
      </c>
      <c r="F19" s="57">
        <v>9827.1401299999998</v>
      </c>
      <c r="G19" s="57">
        <v>13024.714610295943</v>
      </c>
      <c r="H19" s="58">
        <v>0.13040788026729366</v>
      </c>
      <c r="I19" s="58">
        <v>0.32538199699976644</v>
      </c>
      <c r="J19" s="58">
        <v>0.21998911568132518</v>
      </c>
    </row>
    <row r="20" spans="1:10" ht="11.25" customHeight="1" x14ac:dyDescent="0.2">
      <c r="A20" s="67">
        <v>44593</v>
      </c>
      <c r="B20" s="57">
        <v>7515.41</v>
      </c>
      <c r="C20" s="57">
        <v>8046.0158086658457</v>
      </c>
      <c r="D20" s="57">
        <v>3274.4174400000002</v>
      </c>
      <c r="E20" s="57">
        <v>4097.8236614796097</v>
      </c>
      <c r="F20" s="57">
        <v>8416.8781199999994</v>
      </c>
      <c r="G20" s="57">
        <v>11155.578731189238</v>
      </c>
      <c r="H20" s="58">
        <v>0.12548968347036471</v>
      </c>
      <c r="I20" s="58">
        <v>0.32538199699976644</v>
      </c>
      <c r="J20" s="58">
        <v>0.21308769630218105</v>
      </c>
    </row>
    <row r="21" spans="1:10" ht="11.25" customHeight="1" x14ac:dyDescent="0.2">
      <c r="A21" s="67">
        <v>44621</v>
      </c>
      <c r="B21" s="57">
        <v>7738.6399999999994</v>
      </c>
      <c r="C21" s="57">
        <v>8285.006377240079</v>
      </c>
      <c r="D21" s="57">
        <v>4007.7680399999999</v>
      </c>
      <c r="E21" s="57">
        <v>5015.5873540771754</v>
      </c>
      <c r="F21" s="57">
        <v>10301.953169999999</v>
      </c>
      <c r="G21" s="57">
        <v>13654.023265452672</v>
      </c>
      <c r="H21" s="58">
        <v>0.1323115701433828</v>
      </c>
      <c r="I21" s="58">
        <v>0.32538199699976622</v>
      </c>
      <c r="J21" s="58">
        <v>0.2225224695858441</v>
      </c>
    </row>
    <row r="22" spans="1:10" ht="11.25" customHeight="1" x14ac:dyDescent="0.2">
      <c r="A22" s="66" t="s">
        <v>39</v>
      </c>
      <c r="B22" s="57">
        <v>224340</v>
      </c>
      <c r="C22" s="57">
        <v>242157.11848313399</v>
      </c>
      <c r="D22" s="57">
        <v>3956.9149200000002</v>
      </c>
      <c r="E22" s="57">
        <v>4951.9463790901673</v>
      </c>
      <c r="F22" s="57">
        <v>10171.235409999999</v>
      </c>
      <c r="G22" s="57">
        <v>13480.772299660537</v>
      </c>
      <c r="H22" s="58">
        <v>8.2402120715544092E-2</v>
      </c>
      <c r="I22" s="58">
        <v>0.32538199699976644</v>
      </c>
      <c r="J22" s="58">
        <v>9.2765791998939751E-2</v>
      </c>
    </row>
    <row r="23" spans="1:10" ht="11.25" customHeight="1" x14ac:dyDescent="0.2">
      <c r="A23" s="67">
        <v>44287</v>
      </c>
      <c r="B23" s="57">
        <v>18695</v>
      </c>
      <c r="C23" s="57">
        <v>20179.759873594496</v>
      </c>
      <c r="D23" s="57">
        <v>318.67331999999999</v>
      </c>
      <c r="E23" s="57">
        <v>398.80897744615703</v>
      </c>
      <c r="F23" s="57">
        <v>819.14860999999996</v>
      </c>
      <c r="G23" s="57">
        <v>1085.6848205613826</v>
      </c>
      <c r="H23" s="58">
        <v>8.2303692963662023E-2</v>
      </c>
      <c r="I23" s="58">
        <v>0.32538199699976622</v>
      </c>
      <c r="J23" s="58">
        <v>9.2343477295670606E-2</v>
      </c>
    </row>
    <row r="24" spans="1:10" ht="11.25" customHeight="1" x14ac:dyDescent="0.2">
      <c r="A24" s="67">
        <v>44317</v>
      </c>
      <c r="B24" s="57">
        <v>18695</v>
      </c>
      <c r="C24" s="57">
        <v>20179.759873594496</v>
      </c>
      <c r="D24" s="57">
        <v>313.81236000000001</v>
      </c>
      <c r="E24" s="57">
        <v>392.72564895475193</v>
      </c>
      <c r="F24" s="57">
        <v>806.65353000000005</v>
      </c>
      <c r="G24" s="57">
        <v>1069.1240664783111</v>
      </c>
      <c r="H24" s="58">
        <v>8.2260434420388329E-2</v>
      </c>
      <c r="I24" s="58">
        <v>0.32538199699976644</v>
      </c>
      <c r="J24" s="58">
        <v>9.2157495017522351E-2</v>
      </c>
    </row>
    <row r="25" spans="1:10" ht="11.25" customHeight="1" x14ac:dyDescent="0.2">
      <c r="A25" s="67">
        <v>44348</v>
      </c>
      <c r="B25" s="57">
        <v>18695</v>
      </c>
      <c r="C25" s="57">
        <v>20179.759873594496</v>
      </c>
      <c r="D25" s="57">
        <v>289.13364000000001</v>
      </c>
      <c r="E25" s="57">
        <v>361.84105815223347</v>
      </c>
      <c r="F25" s="57">
        <v>743.21696999999995</v>
      </c>
      <c r="G25" s="57">
        <v>985.04639190271541</v>
      </c>
      <c r="H25" s="58">
        <v>8.2040472390328523E-2</v>
      </c>
      <c r="I25" s="58">
        <v>0.32538199699976644</v>
      </c>
      <c r="J25" s="58">
        <v>9.1208229083603376E-2</v>
      </c>
    </row>
    <row r="26" spans="1:10" ht="11.25" customHeight="1" x14ac:dyDescent="0.2">
      <c r="A26" s="67">
        <v>44378</v>
      </c>
      <c r="B26" s="57">
        <v>18695</v>
      </c>
      <c r="C26" s="57">
        <v>20179.759873594496</v>
      </c>
      <c r="D26" s="57">
        <v>283.43136000000004</v>
      </c>
      <c r="E26" s="57">
        <v>354.70484588346972</v>
      </c>
      <c r="F26" s="57">
        <v>728.55927999999994</v>
      </c>
      <c r="G26" s="57">
        <v>965.61935345911195</v>
      </c>
      <c r="H26" s="58">
        <v>8.1989566469521158E-2</v>
      </c>
      <c r="I26" s="58">
        <v>0.32538199699976644</v>
      </c>
      <c r="J26" s="58">
        <v>9.0987683796711627E-2</v>
      </c>
    </row>
    <row r="27" spans="1:10" ht="11.25" customHeight="1" x14ac:dyDescent="0.2">
      <c r="A27" s="67">
        <v>44409</v>
      </c>
      <c r="B27" s="57">
        <v>18695</v>
      </c>
      <c r="C27" s="57">
        <v>20179.759873594496</v>
      </c>
      <c r="D27" s="57">
        <v>295.86420000000004</v>
      </c>
      <c r="E27" s="57">
        <v>370.26412837110212</v>
      </c>
      <c r="F27" s="57">
        <v>760.51784999999995</v>
      </c>
      <c r="G27" s="57">
        <v>1007.9766667869687</v>
      </c>
      <c r="H27" s="58">
        <v>8.210051873076929E-2</v>
      </c>
      <c r="I27" s="58">
        <v>0.32538199699976644</v>
      </c>
      <c r="J27" s="58">
        <v>9.1467959770064056E-2</v>
      </c>
    </row>
    <row r="28" spans="1:10" ht="11.25" customHeight="1" x14ac:dyDescent="0.2">
      <c r="A28" s="67">
        <v>44440</v>
      </c>
      <c r="B28" s="57">
        <v>18695</v>
      </c>
      <c r="C28" s="57">
        <v>20179.759873594496</v>
      </c>
      <c r="D28" s="57">
        <v>318.29939999999999</v>
      </c>
      <c r="E28" s="57">
        <v>398.34102910066434</v>
      </c>
      <c r="F28" s="57">
        <v>818.1874499999999</v>
      </c>
      <c r="G28" s="57">
        <v>1084.4109164011463</v>
      </c>
      <c r="H28" s="58">
        <v>8.2300366168702066E-2</v>
      </c>
      <c r="I28" s="58">
        <v>0.32538199699976622</v>
      </c>
      <c r="J28" s="58">
        <v>9.2329182524017783E-2</v>
      </c>
    </row>
    <row r="29" spans="1:10" ht="11.25" customHeight="1" x14ac:dyDescent="0.2">
      <c r="A29" s="67">
        <v>44470</v>
      </c>
      <c r="B29" s="57">
        <v>18695</v>
      </c>
      <c r="C29" s="57">
        <v>20179.759873594496</v>
      </c>
      <c r="D29" s="57">
        <v>290.25540000000001</v>
      </c>
      <c r="E29" s="57">
        <v>363.24490318871153</v>
      </c>
      <c r="F29" s="57">
        <v>746.10045000000002</v>
      </c>
      <c r="G29" s="57">
        <v>988.86810438342434</v>
      </c>
      <c r="H29" s="58">
        <v>8.205048307030971E-2</v>
      </c>
      <c r="I29" s="58">
        <v>0.32538199699976622</v>
      </c>
      <c r="J29" s="58">
        <v>9.1251561466650477E-2</v>
      </c>
    </row>
    <row r="30" spans="1:10" ht="11.25" customHeight="1" x14ac:dyDescent="0.2">
      <c r="A30" s="67">
        <v>44501</v>
      </c>
      <c r="B30" s="57">
        <v>18695</v>
      </c>
      <c r="C30" s="57">
        <v>20179.759873594496</v>
      </c>
      <c r="D30" s="57">
        <v>313.34496000000001</v>
      </c>
      <c r="E30" s="57">
        <v>392.14071352288602</v>
      </c>
      <c r="F30" s="57">
        <v>805.45207999999991</v>
      </c>
      <c r="G30" s="57">
        <v>1067.5316862780155</v>
      </c>
      <c r="H30" s="58">
        <v>8.2256273779102607E-2</v>
      </c>
      <c r="I30" s="58">
        <v>0.32538199699976644</v>
      </c>
      <c r="J30" s="58">
        <v>9.213959493527768E-2</v>
      </c>
    </row>
    <row r="31" spans="1:10" ht="11.25" customHeight="1" x14ac:dyDescent="0.2">
      <c r="A31" s="67">
        <v>44531</v>
      </c>
      <c r="B31" s="57">
        <v>18695</v>
      </c>
      <c r="C31" s="57">
        <v>20179.759873594496</v>
      </c>
      <c r="D31" s="57">
        <v>371.95692000000003</v>
      </c>
      <c r="E31" s="57">
        <v>465.49161667886744</v>
      </c>
      <c r="F31" s="57">
        <v>956.11391000000003</v>
      </c>
      <c r="G31" s="57">
        <v>1267.216163395055</v>
      </c>
      <c r="H31" s="58">
        <v>8.277642714018163E-2</v>
      </c>
      <c r="I31" s="58">
        <v>0.32538199699976644</v>
      </c>
      <c r="J31" s="58">
        <v>9.4360991863325472E-2</v>
      </c>
    </row>
    <row r="32" spans="1:10" ht="11.25" customHeight="1" x14ac:dyDescent="0.2">
      <c r="A32" s="67">
        <v>44562</v>
      </c>
      <c r="B32" s="57">
        <v>18695</v>
      </c>
      <c r="C32" s="57">
        <v>20179.759873594496</v>
      </c>
      <c r="D32" s="57">
        <v>384.76367999999997</v>
      </c>
      <c r="E32" s="57">
        <v>481.51884751199248</v>
      </c>
      <c r="F32" s="57">
        <v>989.03363999999988</v>
      </c>
      <c r="G32" s="57">
        <v>1310.8473808831479</v>
      </c>
      <c r="H32" s="58">
        <v>8.2889655638884285E-2</v>
      </c>
      <c r="I32" s="58">
        <v>0.32538199699976644</v>
      </c>
      <c r="J32" s="58">
        <v>9.4840201514857725E-2</v>
      </c>
    </row>
    <row r="33" spans="1:10" ht="11.25" customHeight="1" x14ac:dyDescent="0.2">
      <c r="A33" s="67">
        <v>44593</v>
      </c>
      <c r="B33" s="57">
        <v>18695</v>
      </c>
      <c r="C33" s="57">
        <v>20179.759873594496</v>
      </c>
      <c r="D33" s="57">
        <v>343.63248000000004</v>
      </c>
      <c r="E33" s="57">
        <v>430.04452950779512</v>
      </c>
      <c r="F33" s="57">
        <v>883.30604000000005</v>
      </c>
      <c r="G33" s="57">
        <v>1170.7179232571555</v>
      </c>
      <c r="H33" s="58">
        <v>8.2525461046259574E-2</v>
      </c>
      <c r="I33" s="58">
        <v>0.32538199699976622</v>
      </c>
      <c r="J33" s="58">
        <v>9.3293321053750766E-2</v>
      </c>
    </row>
    <row r="34" spans="1:10" ht="11.25" customHeight="1" x14ac:dyDescent="0.2">
      <c r="A34" s="67">
        <v>44621</v>
      </c>
      <c r="B34" s="57">
        <v>18695</v>
      </c>
      <c r="C34" s="57">
        <v>20179.759873594496</v>
      </c>
      <c r="D34" s="57">
        <v>433.74719999999996</v>
      </c>
      <c r="E34" s="57">
        <v>542.82008077153671</v>
      </c>
      <c r="F34" s="57">
        <v>1114.9455999999998</v>
      </c>
      <c r="G34" s="57">
        <v>1477.7288258741025</v>
      </c>
      <c r="H34" s="58">
        <v>8.3321335041012468E-2</v>
      </c>
      <c r="I34" s="58">
        <v>0.32538199699976644</v>
      </c>
      <c r="J34" s="58">
        <v>9.6653115593620109E-2</v>
      </c>
    </row>
    <row r="35" spans="1:10" ht="11.25" customHeight="1" x14ac:dyDescent="0.2">
      <c r="A35" s="61" t="s">
        <v>38</v>
      </c>
      <c r="B35" s="57">
        <v>1426070.626399999</v>
      </c>
      <c r="C35" s="57">
        <v>1526754.6021159736</v>
      </c>
      <c r="D35" s="57">
        <v>469663.87578879995</v>
      </c>
      <c r="E35" s="57">
        <v>552097.06867133488</v>
      </c>
      <c r="F35" s="57">
        <v>674334.66006039956</v>
      </c>
      <c r="G35" s="57">
        <v>893751.01839701226</v>
      </c>
      <c r="H35" s="58">
        <v>9.6594311274645239E-2</v>
      </c>
      <c r="I35" s="58">
        <v>0.32538199699976822</v>
      </c>
      <c r="J35" s="58">
        <v>0.15662361653444545</v>
      </c>
    </row>
    <row r="36" spans="1:10" ht="11.25" customHeight="1" x14ac:dyDescent="0.2">
      <c r="A36" s="62" t="s">
        <v>40</v>
      </c>
      <c r="B36" s="57">
        <v>310140.88</v>
      </c>
      <c r="C36" s="57">
        <v>332037.56327246781</v>
      </c>
      <c r="D36" s="57">
        <v>138988.53520000001</v>
      </c>
      <c r="E36" s="57">
        <v>167375.58841603695</v>
      </c>
      <c r="F36" s="57">
        <v>259204.42734999993</v>
      </c>
      <c r="G36" s="57">
        <v>343544.88155232393</v>
      </c>
      <c r="H36" s="58">
        <v>0.11195823472420097</v>
      </c>
      <c r="I36" s="58">
        <v>0.32538199699976711</v>
      </c>
      <c r="J36" s="58">
        <v>0.19005754434403688</v>
      </c>
    </row>
    <row r="37" spans="1:10" ht="11.25" customHeight="1" x14ac:dyDescent="0.2">
      <c r="A37" s="63" t="s">
        <v>25</v>
      </c>
      <c r="B37" s="57">
        <v>310140.88</v>
      </c>
      <c r="C37" s="57">
        <v>332037.56327246781</v>
      </c>
      <c r="D37" s="57">
        <v>138988.53520000001</v>
      </c>
      <c r="E37" s="57">
        <v>167375.58841603695</v>
      </c>
      <c r="F37" s="57">
        <v>259204.42734999993</v>
      </c>
      <c r="G37" s="57">
        <v>343544.88155232393</v>
      </c>
      <c r="H37" s="58">
        <v>0.11195823472420097</v>
      </c>
      <c r="I37" s="58">
        <v>0.32538199699976711</v>
      </c>
      <c r="J37" s="58">
        <v>0.19005754434403688</v>
      </c>
    </row>
    <row r="38" spans="1:10" ht="11.25" customHeight="1" x14ac:dyDescent="0.2">
      <c r="A38" s="64" t="s">
        <v>25</v>
      </c>
      <c r="B38" s="57">
        <v>310140.88</v>
      </c>
      <c r="C38" s="57">
        <v>332037.56327246781</v>
      </c>
      <c r="D38" s="57">
        <v>138988.53520000001</v>
      </c>
      <c r="E38" s="57">
        <v>167375.58841603695</v>
      </c>
      <c r="F38" s="57">
        <v>259204.42734999993</v>
      </c>
      <c r="G38" s="57">
        <v>343544.88155232393</v>
      </c>
      <c r="H38" s="58">
        <v>0.11195823472420097</v>
      </c>
      <c r="I38" s="58">
        <v>0.32538199699976711</v>
      </c>
      <c r="J38" s="58">
        <v>0.19005754434403688</v>
      </c>
    </row>
    <row r="39" spans="1:10" ht="11.25" customHeight="1" x14ac:dyDescent="0.2">
      <c r="A39" s="65" t="s">
        <v>25</v>
      </c>
      <c r="B39" s="57">
        <v>310140.88</v>
      </c>
      <c r="C39" s="57">
        <v>332037.56327246781</v>
      </c>
      <c r="D39" s="57">
        <v>138988.53520000001</v>
      </c>
      <c r="E39" s="57">
        <v>167375.58841603695</v>
      </c>
      <c r="F39" s="57">
        <v>259204.42734999993</v>
      </c>
      <c r="G39" s="57">
        <v>343544.88155232393</v>
      </c>
      <c r="H39" s="58">
        <v>0.11195823472420097</v>
      </c>
      <c r="I39" s="58">
        <v>0.32538199699976711</v>
      </c>
      <c r="J39" s="58">
        <v>0.19005754434403688</v>
      </c>
    </row>
    <row r="40" spans="1:10" ht="11.25" customHeight="1" x14ac:dyDescent="0.2">
      <c r="A40" s="66" t="s">
        <v>34</v>
      </c>
      <c r="B40" s="57">
        <v>0</v>
      </c>
      <c r="C40" s="57">
        <v>0</v>
      </c>
      <c r="D40" s="57">
        <v>100045.10040000001</v>
      </c>
      <c r="E40" s="57">
        <v>125203.0894491642</v>
      </c>
      <c r="F40" s="57">
        <v>257165.56669999997</v>
      </c>
      <c r="G40" s="57">
        <v>340842.61235242267</v>
      </c>
      <c r="H40" s="58">
        <v>0.2514664781041509</v>
      </c>
      <c r="I40" s="58">
        <v>0.32538199699976667</v>
      </c>
      <c r="J40" s="58">
        <v>0.3046802481716453</v>
      </c>
    </row>
    <row r="41" spans="1:10" ht="11.25" customHeight="1" x14ac:dyDescent="0.2">
      <c r="A41" s="67">
        <v>44287</v>
      </c>
      <c r="B41" s="57">
        <v>0</v>
      </c>
      <c r="C41" s="57">
        <v>0</v>
      </c>
      <c r="D41" s="57">
        <v>7086.1579200000006</v>
      </c>
      <c r="E41" s="57">
        <v>8868.0890954322349</v>
      </c>
      <c r="F41" s="57">
        <v>18214.943159999999</v>
      </c>
      <c r="G41" s="57">
        <v>24141.757740638033</v>
      </c>
      <c r="H41" s="58">
        <v>0.25146647810415068</v>
      </c>
      <c r="I41" s="58">
        <v>0.32538199699976644</v>
      </c>
      <c r="J41" s="58">
        <v>0.30468024817164463</v>
      </c>
    </row>
    <row r="42" spans="1:10" ht="11.25" customHeight="1" x14ac:dyDescent="0.2">
      <c r="A42" s="67">
        <v>44317</v>
      </c>
      <c r="B42" s="57">
        <v>0</v>
      </c>
      <c r="C42" s="57">
        <v>0</v>
      </c>
      <c r="D42" s="57">
        <v>7005.57816</v>
      </c>
      <c r="E42" s="57">
        <v>8767.2462269785574</v>
      </c>
      <c r="F42" s="57">
        <v>18007.813179999997</v>
      </c>
      <c r="G42" s="57">
        <v>23867.231394107112</v>
      </c>
      <c r="H42" s="58">
        <v>0.2514664781041509</v>
      </c>
      <c r="I42" s="58">
        <v>0.32538199699976644</v>
      </c>
      <c r="J42" s="58">
        <v>0.30468024817164485</v>
      </c>
    </row>
    <row r="43" spans="1:10" ht="11.25" customHeight="1" x14ac:dyDescent="0.2">
      <c r="A43" s="67">
        <v>44348</v>
      </c>
      <c r="B43" s="57">
        <v>0</v>
      </c>
      <c r="C43" s="57">
        <v>0</v>
      </c>
      <c r="D43" s="57">
        <v>6604.1750400000001</v>
      </c>
      <c r="E43" s="57">
        <v>8264.9036780921397</v>
      </c>
      <c r="F43" s="57">
        <v>16976.00792</v>
      </c>
      <c r="G43" s="57">
        <v>22499.695278093448</v>
      </c>
      <c r="H43" s="58">
        <v>0.2514664781041509</v>
      </c>
      <c r="I43" s="58">
        <v>0.32538199699976622</v>
      </c>
      <c r="J43" s="58">
        <v>0.30468024817164485</v>
      </c>
    </row>
    <row r="44" spans="1:10" ht="11.25" customHeight="1" x14ac:dyDescent="0.2">
      <c r="A44" s="67">
        <v>44378</v>
      </c>
      <c r="B44" s="57">
        <v>0</v>
      </c>
      <c r="C44" s="57">
        <v>0</v>
      </c>
      <c r="D44" s="57">
        <v>6506.114520000001</v>
      </c>
      <c r="E44" s="57">
        <v>8142.1842244866784</v>
      </c>
      <c r="F44" s="57">
        <v>16723.94371</v>
      </c>
      <c r="G44" s="57">
        <v>22165.613912071483</v>
      </c>
      <c r="H44" s="58">
        <v>0.25146647810415068</v>
      </c>
      <c r="I44" s="58">
        <v>0.32538199699976644</v>
      </c>
      <c r="J44" s="58">
        <v>0.30468024817164485</v>
      </c>
    </row>
    <row r="45" spans="1:10" ht="11.25" customHeight="1" x14ac:dyDescent="0.2">
      <c r="A45" s="67">
        <v>44409</v>
      </c>
      <c r="B45" s="57">
        <v>0</v>
      </c>
      <c r="C45" s="57">
        <v>0</v>
      </c>
      <c r="D45" s="57">
        <v>6533.6911200000004</v>
      </c>
      <c r="E45" s="57">
        <v>8176.6954149667663</v>
      </c>
      <c r="F45" s="57">
        <v>16794.829260000002</v>
      </c>
      <c r="G45" s="57">
        <v>22259.564343888909</v>
      </c>
      <c r="H45" s="58">
        <v>0.2514664781041509</v>
      </c>
      <c r="I45" s="58">
        <v>0.32538199699976622</v>
      </c>
      <c r="J45" s="58">
        <v>0.30468024817164485</v>
      </c>
    </row>
    <row r="46" spans="1:10" ht="11.25" customHeight="1" x14ac:dyDescent="0.2">
      <c r="A46" s="67">
        <v>44440</v>
      </c>
      <c r="B46" s="57">
        <v>0</v>
      </c>
      <c r="C46" s="57">
        <v>0</v>
      </c>
      <c r="D46" s="57">
        <v>7736.2178400000003</v>
      </c>
      <c r="E46" s="57">
        <v>9681.6172940713004</v>
      </c>
      <c r="F46" s="57">
        <v>19885.919819999999</v>
      </c>
      <c r="G46" s="57">
        <v>26356.440123208831</v>
      </c>
      <c r="H46" s="58">
        <v>0.25146647810415068</v>
      </c>
      <c r="I46" s="58">
        <v>0.32538199699976622</v>
      </c>
      <c r="J46" s="58">
        <v>0.30468024817164441</v>
      </c>
    </row>
    <row r="47" spans="1:10" ht="11.25" customHeight="1" x14ac:dyDescent="0.2">
      <c r="A47" s="67">
        <v>44470</v>
      </c>
      <c r="B47" s="57">
        <v>0</v>
      </c>
      <c r="C47" s="57">
        <v>0</v>
      </c>
      <c r="D47" s="57">
        <v>8043.3931199999997</v>
      </c>
      <c r="E47" s="57">
        <v>10066.036859893558</v>
      </c>
      <c r="F47" s="57">
        <v>20675.512759999998</v>
      </c>
      <c r="G47" s="57">
        <v>27402.952390842951</v>
      </c>
      <c r="H47" s="58">
        <v>0.2514664781041509</v>
      </c>
      <c r="I47" s="58">
        <v>0.32538199699976644</v>
      </c>
      <c r="J47" s="58">
        <v>0.30468024817164485</v>
      </c>
    </row>
    <row r="48" spans="1:10" ht="11.25" customHeight="1" x14ac:dyDescent="0.2">
      <c r="A48" s="67">
        <v>44501</v>
      </c>
      <c r="B48" s="57">
        <v>0</v>
      </c>
      <c r="C48" s="57">
        <v>0</v>
      </c>
      <c r="D48" s="57">
        <v>8067.5109600000005</v>
      </c>
      <c r="E48" s="57">
        <v>10096.219528177839</v>
      </c>
      <c r="F48" s="57">
        <v>20737.507580000001</v>
      </c>
      <c r="G48" s="57">
        <v>27485.119209178192</v>
      </c>
      <c r="H48" s="58">
        <v>0.2514664781041509</v>
      </c>
      <c r="I48" s="58">
        <v>0.32538199699976622</v>
      </c>
      <c r="J48" s="58">
        <v>0.30468024817164485</v>
      </c>
    </row>
    <row r="49" spans="1:10" ht="11.25" customHeight="1" x14ac:dyDescent="0.2">
      <c r="A49" s="67">
        <v>44531</v>
      </c>
      <c r="B49" s="57">
        <v>0</v>
      </c>
      <c r="C49" s="57">
        <v>0</v>
      </c>
      <c r="D49" s="57">
        <v>9715.1894400000001</v>
      </c>
      <c r="E49" s="57">
        <v>12158.233912591439</v>
      </c>
      <c r="F49" s="57">
        <v>24972.859119999997</v>
      </c>
      <c r="G49" s="57">
        <v>33098.577891259425</v>
      </c>
      <c r="H49" s="58">
        <v>0.2514664781041509</v>
      </c>
      <c r="I49" s="58">
        <v>0.32538199699976644</v>
      </c>
      <c r="J49" s="58">
        <v>0.30468024817164485</v>
      </c>
    </row>
    <row r="50" spans="1:10" ht="11.25" customHeight="1" x14ac:dyDescent="0.2">
      <c r="A50" s="67">
        <v>44562</v>
      </c>
      <c r="B50" s="57">
        <v>0</v>
      </c>
      <c r="C50" s="57">
        <v>0</v>
      </c>
      <c r="D50" s="57">
        <v>11297.71236</v>
      </c>
      <c r="E50" s="57">
        <v>14138.708297802936</v>
      </c>
      <c r="F50" s="57">
        <v>29040.72853</v>
      </c>
      <c r="G50" s="57">
        <v>38490.058773419485</v>
      </c>
      <c r="H50" s="58">
        <v>0.25146647810415113</v>
      </c>
      <c r="I50" s="58">
        <v>0.32538199699976622</v>
      </c>
      <c r="J50" s="58">
        <v>0.30468024817164485</v>
      </c>
    </row>
    <row r="51" spans="1:10" ht="11.25" customHeight="1" x14ac:dyDescent="0.2">
      <c r="A51" s="67">
        <v>44593</v>
      </c>
      <c r="B51" s="57">
        <v>0</v>
      </c>
      <c r="C51" s="57">
        <v>0</v>
      </c>
      <c r="D51" s="57">
        <v>9938.1392400000004</v>
      </c>
      <c r="E51" s="57">
        <v>12437.248113591464</v>
      </c>
      <c r="F51" s="57">
        <v>25545.950769999999</v>
      </c>
      <c r="G51" s="57">
        <v>33858.143246800319</v>
      </c>
      <c r="H51" s="58">
        <v>0.2514664781041509</v>
      </c>
      <c r="I51" s="58">
        <v>0.32538199699976644</v>
      </c>
      <c r="J51" s="58">
        <v>0.30468024817164485</v>
      </c>
    </row>
    <row r="52" spans="1:10" ht="11.25" customHeight="1" x14ac:dyDescent="0.2">
      <c r="A52" s="67">
        <v>44621</v>
      </c>
      <c r="B52" s="57">
        <v>0</v>
      </c>
      <c r="C52" s="57">
        <v>0</v>
      </c>
      <c r="D52" s="57">
        <v>11511.22068</v>
      </c>
      <c r="E52" s="57">
        <v>14405.90680307927</v>
      </c>
      <c r="F52" s="57">
        <v>29589.550889999999</v>
      </c>
      <c r="G52" s="57">
        <v>39217.458048914414</v>
      </c>
      <c r="H52" s="58">
        <v>0.2514664781041509</v>
      </c>
      <c r="I52" s="58">
        <v>0.32538199699976644</v>
      </c>
      <c r="J52" s="58">
        <v>0.30468024817164485</v>
      </c>
    </row>
    <row r="53" spans="1:10" ht="11.25" customHeight="1" x14ac:dyDescent="0.2">
      <c r="A53" s="66" t="s">
        <v>25</v>
      </c>
      <c r="B53" s="57">
        <v>310140.88</v>
      </c>
      <c r="C53" s="57">
        <v>332037.56327246781</v>
      </c>
      <c r="D53" s="57">
        <v>0</v>
      </c>
      <c r="E53" s="57">
        <v>0</v>
      </c>
      <c r="F53" s="57">
        <v>0</v>
      </c>
      <c r="G53" s="57">
        <v>0</v>
      </c>
      <c r="H53" s="58">
        <v>7.0602376805237066E-2</v>
      </c>
      <c r="I53" s="58">
        <v>0</v>
      </c>
      <c r="J53" s="58">
        <v>7.0602376805237066E-2</v>
      </c>
    </row>
    <row r="54" spans="1:10" ht="11.25" customHeight="1" x14ac:dyDescent="0.2">
      <c r="A54" s="67">
        <v>44287</v>
      </c>
      <c r="B54" s="57">
        <v>29019.899999999998</v>
      </c>
      <c r="C54" s="57">
        <v>31068.773914650297</v>
      </c>
      <c r="D54" s="57">
        <v>0</v>
      </c>
      <c r="E54" s="57">
        <v>0</v>
      </c>
      <c r="F54" s="57">
        <v>0</v>
      </c>
      <c r="G54" s="57">
        <v>0</v>
      </c>
      <c r="H54" s="58">
        <v>7.0602376805237066E-2</v>
      </c>
      <c r="I54" s="58">
        <v>0</v>
      </c>
      <c r="J54" s="58">
        <v>7.0602376805237066E-2</v>
      </c>
    </row>
    <row r="55" spans="1:10" ht="11.25" customHeight="1" x14ac:dyDescent="0.2">
      <c r="A55" s="67">
        <v>44317</v>
      </c>
      <c r="B55" s="57">
        <v>29168.719999999998</v>
      </c>
      <c r="C55" s="57">
        <v>31228.100960366453</v>
      </c>
      <c r="D55" s="57">
        <v>0</v>
      </c>
      <c r="E55" s="57">
        <v>0</v>
      </c>
      <c r="F55" s="57">
        <v>0</v>
      </c>
      <c r="G55" s="57">
        <v>0</v>
      </c>
      <c r="H55" s="58">
        <v>7.0602376805237066E-2</v>
      </c>
      <c r="I55" s="58">
        <v>0</v>
      </c>
      <c r="J55" s="58">
        <v>7.0602376805237066E-2</v>
      </c>
    </row>
    <row r="56" spans="1:10" ht="11.25" customHeight="1" x14ac:dyDescent="0.2">
      <c r="A56" s="67">
        <v>44348</v>
      </c>
      <c r="B56" s="57">
        <v>29019.899999999998</v>
      </c>
      <c r="C56" s="57">
        <v>31068.773914650297</v>
      </c>
      <c r="D56" s="57">
        <v>0</v>
      </c>
      <c r="E56" s="57">
        <v>0</v>
      </c>
      <c r="F56" s="57">
        <v>0</v>
      </c>
      <c r="G56" s="57">
        <v>0</v>
      </c>
      <c r="H56" s="58">
        <v>7.0602376805237066E-2</v>
      </c>
      <c r="I56" s="58">
        <v>0</v>
      </c>
      <c r="J56" s="58">
        <v>7.0602376805237066E-2</v>
      </c>
    </row>
    <row r="57" spans="1:10" ht="11.25" customHeight="1" x14ac:dyDescent="0.2">
      <c r="A57" s="67">
        <v>44378</v>
      </c>
      <c r="B57" s="57">
        <v>29019.899999999998</v>
      </c>
      <c r="C57" s="57">
        <v>31068.773914650297</v>
      </c>
      <c r="D57" s="57">
        <v>0</v>
      </c>
      <c r="E57" s="57">
        <v>0</v>
      </c>
      <c r="F57" s="57">
        <v>0</v>
      </c>
      <c r="G57" s="57">
        <v>0</v>
      </c>
      <c r="H57" s="58">
        <v>7.0602376805237066E-2</v>
      </c>
      <c r="I57" s="58">
        <v>0</v>
      </c>
      <c r="J57" s="58">
        <v>7.0602376805237066E-2</v>
      </c>
    </row>
    <row r="58" spans="1:10" ht="11.25" customHeight="1" x14ac:dyDescent="0.2">
      <c r="A58" s="67">
        <v>44409</v>
      </c>
      <c r="B58" s="57">
        <v>21578.899999999998</v>
      </c>
      <c r="C58" s="57">
        <v>23102.421628842527</v>
      </c>
      <c r="D58" s="57">
        <v>0</v>
      </c>
      <c r="E58" s="57">
        <v>0</v>
      </c>
      <c r="F58" s="57">
        <v>0</v>
      </c>
      <c r="G58" s="57">
        <v>0</v>
      </c>
      <c r="H58" s="58">
        <v>7.0602376805237066E-2</v>
      </c>
      <c r="I58" s="58">
        <v>0</v>
      </c>
      <c r="J58" s="58">
        <v>7.0602376805237066E-2</v>
      </c>
    </row>
    <row r="59" spans="1:10" ht="11.25" customHeight="1" x14ac:dyDescent="0.2">
      <c r="A59" s="67">
        <v>44440</v>
      </c>
      <c r="B59" s="57">
        <v>23885.61</v>
      </c>
      <c r="C59" s="57">
        <v>25571.990837442936</v>
      </c>
      <c r="D59" s="57">
        <v>0</v>
      </c>
      <c r="E59" s="57">
        <v>0</v>
      </c>
      <c r="F59" s="57">
        <v>0</v>
      </c>
      <c r="G59" s="57">
        <v>0</v>
      </c>
      <c r="H59" s="58">
        <v>7.0602376805236844E-2</v>
      </c>
      <c r="I59" s="58">
        <v>0</v>
      </c>
      <c r="J59" s="58">
        <v>7.0602376805236844E-2</v>
      </c>
    </row>
    <row r="60" spans="1:10" ht="11.25" customHeight="1" x14ac:dyDescent="0.2">
      <c r="A60" s="67">
        <v>44470</v>
      </c>
      <c r="B60" s="57">
        <v>22620.639999999999</v>
      </c>
      <c r="C60" s="57">
        <v>24217.710948855616</v>
      </c>
      <c r="D60" s="57">
        <v>0</v>
      </c>
      <c r="E60" s="57">
        <v>0</v>
      </c>
      <c r="F60" s="57">
        <v>0</v>
      </c>
      <c r="G60" s="57">
        <v>0</v>
      </c>
      <c r="H60" s="58">
        <v>7.0602376805237066E-2</v>
      </c>
      <c r="I60" s="58">
        <v>0</v>
      </c>
      <c r="J60" s="58">
        <v>7.0602376805237066E-2</v>
      </c>
    </row>
    <row r="61" spans="1:10" ht="11.25" customHeight="1" x14ac:dyDescent="0.2">
      <c r="A61" s="67">
        <v>44501</v>
      </c>
      <c r="B61" s="57">
        <v>22025.360000000001</v>
      </c>
      <c r="C61" s="57">
        <v>23580.402765990995</v>
      </c>
      <c r="D61" s="57">
        <v>0</v>
      </c>
      <c r="E61" s="57">
        <v>0</v>
      </c>
      <c r="F61" s="57">
        <v>0</v>
      </c>
      <c r="G61" s="57">
        <v>0</v>
      </c>
      <c r="H61" s="58">
        <v>7.0602376805237066E-2</v>
      </c>
      <c r="I61" s="58">
        <v>0</v>
      </c>
      <c r="J61" s="58">
        <v>7.0602376805237066E-2</v>
      </c>
    </row>
    <row r="62" spans="1:10" ht="11.25" customHeight="1" x14ac:dyDescent="0.2">
      <c r="A62" s="67">
        <v>44531</v>
      </c>
      <c r="B62" s="57">
        <v>24555.3</v>
      </c>
      <c r="C62" s="57">
        <v>26288.962543165635</v>
      </c>
      <c r="D62" s="57">
        <v>0</v>
      </c>
      <c r="E62" s="57">
        <v>0</v>
      </c>
      <c r="F62" s="57">
        <v>0</v>
      </c>
      <c r="G62" s="57">
        <v>0</v>
      </c>
      <c r="H62" s="58">
        <v>7.0602376805237066E-2</v>
      </c>
      <c r="I62" s="58">
        <v>0</v>
      </c>
      <c r="J62" s="58">
        <v>7.0602376805237066E-2</v>
      </c>
    </row>
    <row r="63" spans="1:10" ht="11.25" customHeight="1" x14ac:dyDescent="0.2">
      <c r="A63" s="67">
        <v>44562</v>
      </c>
      <c r="B63" s="57">
        <v>27531.699999999997</v>
      </c>
      <c r="C63" s="57">
        <v>29475.503457488743</v>
      </c>
      <c r="D63" s="57">
        <v>0</v>
      </c>
      <c r="E63" s="57">
        <v>0</v>
      </c>
      <c r="F63" s="57">
        <v>0</v>
      </c>
      <c r="G63" s="57">
        <v>0</v>
      </c>
      <c r="H63" s="58">
        <v>7.0602376805237066E-2</v>
      </c>
      <c r="I63" s="58">
        <v>0</v>
      </c>
      <c r="J63" s="58">
        <v>7.0602376805237066E-2</v>
      </c>
    </row>
    <row r="64" spans="1:10" ht="11.25" customHeight="1" x14ac:dyDescent="0.2">
      <c r="A64" s="67">
        <v>44593</v>
      </c>
      <c r="B64" s="57">
        <v>27010.829999999998</v>
      </c>
      <c r="C64" s="57">
        <v>28917.8587974822</v>
      </c>
      <c r="D64" s="57">
        <v>0</v>
      </c>
      <c r="E64" s="57">
        <v>0</v>
      </c>
      <c r="F64" s="57">
        <v>0</v>
      </c>
      <c r="G64" s="57">
        <v>0</v>
      </c>
      <c r="H64" s="58">
        <v>7.0602376805237066E-2</v>
      </c>
      <c r="I64" s="58">
        <v>0</v>
      </c>
      <c r="J64" s="58">
        <v>7.0602376805237066E-2</v>
      </c>
    </row>
    <row r="65" spans="1:10" ht="11.25" customHeight="1" x14ac:dyDescent="0.2">
      <c r="A65" s="67">
        <v>44621</v>
      </c>
      <c r="B65" s="57">
        <v>24704.12</v>
      </c>
      <c r="C65" s="57">
        <v>26448.289588881791</v>
      </c>
      <c r="D65" s="57">
        <v>0</v>
      </c>
      <c r="E65" s="57">
        <v>0</v>
      </c>
      <c r="F65" s="57">
        <v>0</v>
      </c>
      <c r="G65" s="57">
        <v>0</v>
      </c>
      <c r="H65" s="58">
        <v>7.0602376805237066E-2</v>
      </c>
      <c r="I65" s="58">
        <v>0</v>
      </c>
      <c r="J65" s="58">
        <v>7.0602376805237066E-2</v>
      </c>
    </row>
    <row r="66" spans="1:10" ht="11.25" customHeight="1" x14ac:dyDescent="0.2">
      <c r="A66" s="66" t="s">
        <v>39</v>
      </c>
      <c r="B66" s="57">
        <v>0</v>
      </c>
      <c r="C66" s="57">
        <v>0</v>
      </c>
      <c r="D66" s="57">
        <v>38943.43480000001</v>
      </c>
      <c r="E66" s="57">
        <v>42172.498966872758</v>
      </c>
      <c r="F66" s="57">
        <v>2038.8606500000001</v>
      </c>
      <c r="G66" s="57">
        <v>2702.2691999012413</v>
      </c>
      <c r="H66" s="58">
        <v>8.2916778744763997E-2</v>
      </c>
      <c r="I66" s="58">
        <v>0.32538199699976622</v>
      </c>
      <c r="J66" s="58">
        <v>9.4979372776299309E-2</v>
      </c>
    </row>
    <row r="67" spans="1:10" ht="11.25" customHeight="1" x14ac:dyDescent="0.2">
      <c r="A67" s="67">
        <v>44287</v>
      </c>
      <c r="B67" s="57">
        <v>0</v>
      </c>
      <c r="C67" s="57">
        <v>0</v>
      </c>
      <c r="D67" s="57">
        <v>2450.8891200000003</v>
      </c>
      <c r="E67" s="57">
        <v>2654.1089508909904</v>
      </c>
      <c r="F67" s="57">
        <v>128.31486000000001</v>
      </c>
      <c r="G67" s="57">
        <v>170.06620539154545</v>
      </c>
      <c r="H67" s="58">
        <v>8.2916778744764219E-2</v>
      </c>
      <c r="I67" s="58">
        <v>0.32538199699976644</v>
      </c>
      <c r="J67" s="58">
        <v>9.4979372776299531E-2</v>
      </c>
    </row>
    <row r="68" spans="1:10" ht="11.25" customHeight="1" x14ac:dyDescent="0.2">
      <c r="A68" s="67">
        <v>44317</v>
      </c>
      <c r="B68" s="57">
        <v>0</v>
      </c>
      <c r="C68" s="57">
        <v>0</v>
      </c>
      <c r="D68" s="57">
        <v>2161.7392800000002</v>
      </c>
      <c r="E68" s="57">
        <v>2340.983737583626</v>
      </c>
      <c r="F68" s="57">
        <v>113.17658999999999</v>
      </c>
      <c r="G68" s="57">
        <v>150.00221486782377</v>
      </c>
      <c r="H68" s="58">
        <v>8.2916778744764219E-2</v>
      </c>
      <c r="I68" s="58">
        <v>0.32538199699976622</v>
      </c>
      <c r="J68" s="58">
        <v>9.4979372776299309E-2</v>
      </c>
    </row>
    <row r="69" spans="1:10" ht="11.25" customHeight="1" x14ac:dyDescent="0.2">
      <c r="A69" s="67">
        <v>44348</v>
      </c>
      <c r="B69" s="57">
        <v>0</v>
      </c>
      <c r="C69" s="57">
        <v>0</v>
      </c>
      <c r="D69" s="57">
        <v>2386.6336000000001</v>
      </c>
      <c r="E69" s="57">
        <v>2584.5255701560204</v>
      </c>
      <c r="F69" s="57">
        <v>124.9508</v>
      </c>
      <c r="G69" s="57">
        <v>165.60754083071842</v>
      </c>
      <c r="H69" s="58">
        <v>8.2916778744764219E-2</v>
      </c>
      <c r="I69" s="58">
        <v>0.32538199699976644</v>
      </c>
      <c r="J69" s="58">
        <v>9.4979372776299531E-2</v>
      </c>
    </row>
    <row r="70" spans="1:10" ht="11.25" customHeight="1" x14ac:dyDescent="0.2">
      <c r="A70" s="67">
        <v>44378</v>
      </c>
      <c r="B70" s="57">
        <v>0</v>
      </c>
      <c r="C70" s="57">
        <v>0</v>
      </c>
      <c r="D70" s="57">
        <v>4259.2230400000008</v>
      </c>
      <c r="E70" s="57">
        <v>4612.3840944322828</v>
      </c>
      <c r="F70" s="57">
        <v>222.98912000000001</v>
      </c>
      <c r="G70" s="57">
        <v>295.54576517482053</v>
      </c>
      <c r="H70" s="58">
        <v>8.2916778744764219E-2</v>
      </c>
      <c r="I70" s="58">
        <v>0.32538199699976622</v>
      </c>
      <c r="J70" s="58">
        <v>9.4979372776299309E-2</v>
      </c>
    </row>
    <row r="71" spans="1:10" ht="11.25" customHeight="1" x14ac:dyDescent="0.2">
      <c r="A71" s="67">
        <v>44409</v>
      </c>
      <c r="B71" s="57">
        <v>0</v>
      </c>
      <c r="C71" s="57">
        <v>0</v>
      </c>
      <c r="D71" s="57">
        <v>4213.3262400000003</v>
      </c>
      <c r="E71" s="57">
        <v>4562.6816796215899</v>
      </c>
      <c r="F71" s="57">
        <v>220.58622</v>
      </c>
      <c r="G71" s="57">
        <v>292.3610047742298</v>
      </c>
      <c r="H71" s="58">
        <v>8.2916778744764219E-2</v>
      </c>
      <c r="I71" s="58">
        <v>0.32538199699976644</v>
      </c>
      <c r="J71" s="58">
        <v>9.4979372776299531E-2</v>
      </c>
    </row>
    <row r="72" spans="1:10" ht="11.25" customHeight="1" x14ac:dyDescent="0.2">
      <c r="A72" s="67">
        <v>44440</v>
      </c>
      <c r="B72" s="57">
        <v>0</v>
      </c>
      <c r="C72" s="57">
        <v>0</v>
      </c>
      <c r="D72" s="57">
        <v>3905.8176800000001</v>
      </c>
      <c r="E72" s="57">
        <v>4229.6755003899489</v>
      </c>
      <c r="F72" s="57">
        <v>204.48678999999998</v>
      </c>
      <c r="G72" s="57">
        <v>271.02311009027181</v>
      </c>
      <c r="H72" s="58">
        <v>8.2916778744764441E-2</v>
      </c>
      <c r="I72" s="58">
        <v>0.32538199699976622</v>
      </c>
      <c r="J72" s="58">
        <v>9.4979372776299753E-2</v>
      </c>
    </row>
    <row r="73" spans="1:10" ht="11.25" customHeight="1" x14ac:dyDescent="0.2">
      <c r="A73" s="67">
        <v>44470</v>
      </c>
      <c r="B73" s="57">
        <v>0</v>
      </c>
      <c r="C73" s="57">
        <v>0</v>
      </c>
      <c r="D73" s="57">
        <v>2157.1496000000002</v>
      </c>
      <c r="E73" s="57">
        <v>2336.0134961025569</v>
      </c>
      <c r="F73" s="57">
        <v>112.93629999999999</v>
      </c>
      <c r="G73" s="57">
        <v>149.6837388277647</v>
      </c>
      <c r="H73" s="58">
        <v>8.2916778744764219E-2</v>
      </c>
      <c r="I73" s="58">
        <v>0.32538199699976644</v>
      </c>
      <c r="J73" s="58">
        <v>9.4979372776299531E-2</v>
      </c>
    </row>
    <row r="74" spans="1:10" ht="11.25" customHeight="1" x14ac:dyDescent="0.2">
      <c r="A74" s="67">
        <v>44501</v>
      </c>
      <c r="B74" s="57">
        <v>0</v>
      </c>
      <c r="C74" s="57">
        <v>0</v>
      </c>
      <c r="D74" s="57">
        <v>1991.9211200000002</v>
      </c>
      <c r="E74" s="57">
        <v>2157.084802784063</v>
      </c>
      <c r="F74" s="57">
        <v>104.28586</v>
      </c>
      <c r="G74" s="57">
        <v>138.21860138563804</v>
      </c>
      <c r="H74" s="58">
        <v>8.2916778744764219E-2</v>
      </c>
      <c r="I74" s="58">
        <v>0.32538199699976622</v>
      </c>
      <c r="J74" s="58">
        <v>9.4979372776299309E-2</v>
      </c>
    </row>
    <row r="75" spans="1:10" ht="11.25" customHeight="1" x14ac:dyDescent="0.2">
      <c r="A75" s="67">
        <v>44531</v>
      </c>
      <c r="B75" s="57">
        <v>0</v>
      </c>
      <c r="C75" s="57">
        <v>0</v>
      </c>
      <c r="D75" s="57">
        <v>3547.8226400000003</v>
      </c>
      <c r="E75" s="57">
        <v>3841.9966648665459</v>
      </c>
      <c r="F75" s="57">
        <v>185.74417</v>
      </c>
      <c r="G75" s="57">
        <v>246.18197896566409</v>
      </c>
      <c r="H75" s="58">
        <v>8.2916778744764219E-2</v>
      </c>
      <c r="I75" s="58">
        <v>0.32538199699976644</v>
      </c>
      <c r="J75" s="58">
        <v>9.4979372776299531E-2</v>
      </c>
    </row>
    <row r="76" spans="1:10" ht="11.25" customHeight="1" x14ac:dyDescent="0.2">
      <c r="A76" s="67">
        <v>44562</v>
      </c>
      <c r="B76" s="57">
        <v>0</v>
      </c>
      <c r="C76" s="57">
        <v>0</v>
      </c>
      <c r="D76" s="57">
        <v>5603.9992800000009</v>
      </c>
      <c r="E76" s="57">
        <v>6068.6648483855788</v>
      </c>
      <c r="F76" s="57">
        <v>293.39409000000001</v>
      </c>
      <c r="G76" s="57">
        <v>388.85924491212921</v>
      </c>
      <c r="H76" s="58">
        <v>8.2916778744764219E-2</v>
      </c>
      <c r="I76" s="58">
        <v>0.32538199699976644</v>
      </c>
      <c r="J76" s="58">
        <v>9.4979372776299531E-2</v>
      </c>
    </row>
    <row r="77" spans="1:10" ht="11.25" customHeight="1" x14ac:dyDescent="0.2">
      <c r="A77" s="67">
        <v>44593</v>
      </c>
      <c r="B77" s="57">
        <v>0</v>
      </c>
      <c r="C77" s="57">
        <v>0</v>
      </c>
      <c r="D77" s="57">
        <v>3795.66536</v>
      </c>
      <c r="E77" s="57">
        <v>4110.3897048442859</v>
      </c>
      <c r="F77" s="57">
        <v>198.71982999999997</v>
      </c>
      <c r="G77" s="57">
        <v>263.37968512885408</v>
      </c>
      <c r="H77" s="58">
        <v>8.2916778744764219E-2</v>
      </c>
      <c r="I77" s="58">
        <v>0.32538199699976644</v>
      </c>
      <c r="J77" s="58">
        <v>9.4979372776299531E-2</v>
      </c>
    </row>
    <row r="78" spans="1:10" ht="11.25" customHeight="1" x14ac:dyDescent="0.2">
      <c r="A78" s="67">
        <v>44621</v>
      </c>
      <c r="B78" s="57">
        <v>0</v>
      </c>
      <c r="C78" s="57">
        <v>0</v>
      </c>
      <c r="D78" s="57">
        <v>2469.2478400000005</v>
      </c>
      <c r="E78" s="57">
        <v>2673.9899168152674</v>
      </c>
      <c r="F78" s="57">
        <v>129.27602000000002</v>
      </c>
      <c r="G78" s="57">
        <v>171.34010955178175</v>
      </c>
      <c r="H78" s="58">
        <v>8.2916778744764219E-2</v>
      </c>
      <c r="I78" s="58">
        <v>0.32538199699976622</v>
      </c>
      <c r="J78" s="58">
        <v>9.4979372776299531E-2</v>
      </c>
    </row>
    <row r="79" spans="1:10" ht="11.25" customHeight="1" x14ac:dyDescent="0.2">
      <c r="A79" s="62" t="s">
        <v>36</v>
      </c>
      <c r="B79" s="57">
        <v>853036.23999999976</v>
      </c>
      <c r="C79" s="57">
        <v>913262.62604500249</v>
      </c>
      <c r="D79" s="57">
        <v>184801.62992000001</v>
      </c>
      <c r="E79" s="57">
        <v>220229.28575088104</v>
      </c>
      <c r="F79" s="57">
        <v>310037.53655999998</v>
      </c>
      <c r="G79" s="57">
        <v>410918.16935078084</v>
      </c>
      <c r="H79" s="58">
        <v>9.2166652083390588E-2</v>
      </c>
      <c r="I79" s="58">
        <v>0.32538199699976644</v>
      </c>
      <c r="J79" s="58">
        <v>0.14581071345453078</v>
      </c>
    </row>
    <row r="80" spans="1:10" ht="11.25" customHeight="1" x14ac:dyDescent="0.2">
      <c r="A80" s="63" t="s">
        <v>25</v>
      </c>
      <c r="B80" s="57">
        <v>853036.23999999976</v>
      </c>
      <c r="C80" s="57">
        <v>913262.62604500249</v>
      </c>
      <c r="D80" s="57">
        <v>184801.62992000001</v>
      </c>
      <c r="E80" s="57">
        <v>220229.28575088104</v>
      </c>
      <c r="F80" s="57">
        <v>310037.53655999998</v>
      </c>
      <c r="G80" s="57">
        <v>410918.16935078084</v>
      </c>
      <c r="H80" s="58">
        <v>9.2166652083390588E-2</v>
      </c>
      <c r="I80" s="58">
        <v>0.32538199699976644</v>
      </c>
      <c r="J80" s="58">
        <v>0.14581071345453078</v>
      </c>
    </row>
    <row r="81" spans="1:10" ht="11.25" customHeight="1" x14ac:dyDescent="0.2">
      <c r="A81" s="64" t="s">
        <v>25</v>
      </c>
      <c r="B81" s="57">
        <v>853036.23999999976</v>
      </c>
      <c r="C81" s="57">
        <v>913262.62604500249</v>
      </c>
      <c r="D81" s="57">
        <v>184801.62992000001</v>
      </c>
      <c r="E81" s="57">
        <v>220229.28575088104</v>
      </c>
      <c r="F81" s="57">
        <v>310037.53655999998</v>
      </c>
      <c r="G81" s="57">
        <v>410918.16935078084</v>
      </c>
      <c r="H81" s="58">
        <v>9.2166652083390588E-2</v>
      </c>
      <c r="I81" s="58">
        <v>0.32538199699976644</v>
      </c>
      <c r="J81" s="58">
        <v>0.14581071345453078</v>
      </c>
    </row>
    <row r="82" spans="1:10" ht="11.25" customHeight="1" x14ac:dyDescent="0.2">
      <c r="A82" s="65" t="s">
        <v>25</v>
      </c>
      <c r="B82" s="57">
        <v>853036.23999999976</v>
      </c>
      <c r="C82" s="57">
        <v>913262.62604500249</v>
      </c>
      <c r="D82" s="57">
        <v>184801.62992000001</v>
      </c>
      <c r="E82" s="57">
        <v>220229.28575088104</v>
      </c>
      <c r="F82" s="57">
        <v>310037.53655999998</v>
      </c>
      <c r="G82" s="57">
        <v>410918.16935078084</v>
      </c>
      <c r="H82" s="58">
        <v>9.2166652083390588E-2</v>
      </c>
      <c r="I82" s="58">
        <v>0.32538199699976644</v>
      </c>
      <c r="J82" s="58">
        <v>0.14581071345453078</v>
      </c>
    </row>
    <row r="83" spans="1:10" ht="11.25" customHeight="1" x14ac:dyDescent="0.2">
      <c r="A83" s="66" t="s">
        <v>34</v>
      </c>
      <c r="B83" s="57">
        <v>0</v>
      </c>
      <c r="C83" s="57">
        <v>0</v>
      </c>
      <c r="D83" s="57">
        <v>119279.35824000002</v>
      </c>
      <c r="E83" s="57">
        <v>149274.11836713614</v>
      </c>
      <c r="F83" s="57">
        <v>306607.15651999996</v>
      </c>
      <c r="G83" s="57">
        <v>406371.60540289746</v>
      </c>
      <c r="H83" s="58">
        <v>0.25146647810415068</v>
      </c>
      <c r="I83" s="58">
        <v>0.32538199699976622</v>
      </c>
      <c r="J83" s="58">
        <v>0.30468024817164463</v>
      </c>
    </row>
    <row r="84" spans="1:10" ht="11.25" customHeight="1" x14ac:dyDescent="0.2">
      <c r="A84" s="67">
        <v>44287</v>
      </c>
      <c r="B84" s="57">
        <v>0</v>
      </c>
      <c r="C84" s="57">
        <v>0</v>
      </c>
      <c r="D84" s="57">
        <v>8580.0617999999995</v>
      </c>
      <c r="E84" s="57">
        <v>10737.65972276196</v>
      </c>
      <c r="F84" s="57">
        <v>22055.017649999998</v>
      </c>
      <c r="G84" s="57">
        <v>29231.323336822094</v>
      </c>
      <c r="H84" s="58">
        <v>0.2514664781041509</v>
      </c>
      <c r="I84" s="58">
        <v>0.32538199699976644</v>
      </c>
      <c r="J84" s="58">
        <v>0.30468024817164485</v>
      </c>
    </row>
    <row r="85" spans="1:10" ht="11.25" customHeight="1" x14ac:dyDescent="0.2">
      <c r="A85" s="67">
        <v>44317</v>
      </c>
      <c r="B85" s="57">
        <v>0</v>
      </c>
      <c r="C85" s="57">
        <v>0</v>
      </c>
      <c r="D85" s="57">
        <v>11330.14992</v>
      </c>
      <c r="E85" s="57">
        <v>14179.302816774427</v>
      </c>
      <c r="F85" s="57">
        <v>29124.109159999996</v>
      </c>
      <c r="G85" s="57">
        <v>38600.569959319982</v>
      </c>
      <c r="H85" s="58">
        <v>0.2514664781041509</v>
      </c>
      <c r="I85" s="58">
        <v>0.32538199699976644</v>
      </c>
      <c r="J85" s="58">
        <v>0.30468024817164485</v>
      </c>
    </row>
    <row r="86" spans="1:10" ht="11.25" customHeight="1" x14ac:dyDescent="0.2">
      <c r="A86" s="67">
        <v>44348</v>
      </c>
      <c r="B86" s="57">
        <v>0</v>
      </c>
      <c r="C86" s="57">
        <v>0</v>
      </c>
      <c r="D86" s="57">
        <v>8154.9147599999997</v>
      </c>
      <c r="E86" s="57">
        <v>10205.602453936757</v>
      </c>
      <c r="F86" s="57">
        <v>20962.17873</v>
      </c>
      <c r="G86" s="57">
        <v>27782.894306633425</v>
      </c>
      <c r="H86" s="58">
        <v>0.2514664781041509</v>
      </c>
      <c r="I86" s="58">
        <v>0.32538199699976622</v>
      </c>
      <c r="J86" s="58">
        <v>0.30468024817164485</v>
      </c>
    </row>
    <row r="87" spans="1:10" ht="11.25" customHeight="1" x14ac:dyDescent="0.2">
      <c r="A87" s="67">
        <v>44378</v>
      </c>
      <c r="B87" s="57">
        <v>0</v>
      </c>
      <c r="C87" s="57">
        <v>0</v>
      </c>
      <c r="D87" s="57">
        <v>9713.4133200000015</v>
      </c>
      <c r="E87" s="57">
        <v>12156.011157950348</v>
      </c>
      <c r="F87" s="57">
        <v>24968.293610000001</v>
      </c>
      <c r="G87" s="57">
        <v>33092.526846498309</v>
      </c>
      <c r="H87" s="58">
        <v>0.25146647810415068</v>
      </c>
      <c r="I87" s="58">
        <v>0.32538199699976644</v>
      </c>
      <c r="J87" s="58">
        <v>0.30468024817164485</v>
      </c>
    </row>
    <row r="88" spans="1:10" ht="11.25" customHeight="1" x14ac:dyDescent="0.2">
      <c r="A88" s="67">
        <v>44409</v>
      </c>
      <c r="B88" s="57">
        <v>0</v>
      </c>
      <c r="C88" s="57">
        <v>0</v>
      </c>
      <c r="D88" s="57">
        <v>3826.1364000000003</v>
      </c>
      <c r="E88" s="57">
        <v>4788.2814452540952</v>
      </c>
      <c r="F88" s="57">
        <v>9835.0697</v>
      </c>
      <c r="G88" s="57">
        <v>13035.224319617893</v>
      </c>
      <c r="H88" s="58">
        <v>0.2514664781041509</v>
      </c>
      <c r="I88" s="58">
        <v>0.32538199699976644</v>
      </c>
      <c r="J88" s="58">
        <v>0.30468024817164485</v>
      </c>
    </row>
    <row r="89" spans="1:10" ht="11.25" customHeight="1" x14ac:dyDescent="0.2">
      <c r="A89" s="67">
        <v>44440</v>
      </c>
      <c r="B89" s="57">
        <v>0</v>
      </c>
      <c r="C89" s="57">
        <v>0</v>
      </c>
      <c r="D89" s="57">
        <v>4472.64408</v>
      </c>
      <c r="E89" s="57">
        <v>5597.3641346109798</v>
      </c>
      <c r="F89" s="57">
        <v>11496.91534</v>
      </c>
      <c r="G89" s="57">
        <v>15237.804612666447</v>
      </c>
      <c r="H89" s="58">
        <v>0.2514664781041509</v>
      </c>
      <c r="I89" s="58">
        <v>0.32538199699976622</v>
      </c>
      <c r="J89" s="58">
        <v>0.30468024817164485</v>
      </c>
    </row>
    <row r="90" spans="1:10" ht="11.25" customHeight="1" x14ac:dyDescent="0.2">
      <c r="A90" s="67">
        <v>44470</v>
      </c>
      <c r="B90" s="57">
        <v>0</v>
      </c>
      <c r="C90" s="57">
        <v>0</v>
      </c>
      <c r="D90" s="57">
        <v>9344.0738400000009</v>
      </c>
      <c r="E90" s="57">
        <v>11693.795179689929</v>
      </c>
      <c r="F90" s="57">
        <v>24018.90782</v>
      </c>
      <c r="G90" s="57">
        <v>31834.228012224903</v>
      </c>
      <c r="H90" s="58">
        <v>0.25146647810415068</v>
      </c>
      <c r="I90" s="58">
        <v>0.32538199699976622</v>
      </c>
      <c r="J90" s="58">
        <v>0.30468024817164463</v>
      </c>
    </row>
    <row r="91" spans="1:10" ht="11.25" customHeight="1" x14ac:dyDescent="0.2">
      <c r="A91" s="67">
        <v>44501</v>
      </c>
      <c r="B91" s="57">
        <v>0</v>
      </c>
      <c r="C91" s="57">
        <v>0</v>
      </c>
      <c r="D91" s="57">
        <v>11166.653400000001</v>
      </c>
      <c r="E91" s="57">
        <v>13974.692402707742</v>
      </c>
      <c r="F91" s="57">
        <v>28703.841949999998</v>
      </c>
      <c r="G91" s="57">
        <v>38043.555365256667</v>
      </c>
      <c r="H91" s="58">
        <v>0.25146647810415068</v>
      </c>
      <c r="I91" s="58">
        <v>0.32538199699976644</v>
      </c>
      <c r="J91" s="58">
        <v>0.30468024817164485</v>
      </c>
    </row>
    <row r="92" spans="1:10" ht="11.25" customHeight="1" x14ac:dyDescent="0.2">
      <c r="A92" s="67">
        <v>44531</v>
      </c>
      <c r="B92" s="57">
        <v>0</v>
      </c>
      <c r="C92" s="57">
        <v>0</v>
      </c>
      <c r="D92" s="57">
        <v>11495.796480000001</v>
      </c>
      <c r="E92" s="57">
        <v>14386.603933827695</v>
      </c>
      <c r="F92" s="57">
        <v>29549.903039999997</v>
      </c>
      <c r="G92" s="57">
        <v>39164.909502304668</v>
      </c>
      <c r="H92" s="58">
        <v>0.2514664781041509</v>
      </c>
      <c r="I92" s="58">
        <v>0.32538199699976644</v>
      </c>
      <c r="J92" s="58">
        <v>0.30468024817164507</v>
      </c>
    </row>
    <row r="93" spans="1:10" ht="11.25" customHeight="1" x14ac:dyDescent="0.2">
      <c r="A93" s="67">
        <v>44562</v>
      </c>
      <c r="B93" s="57">
        <v>0</v>
      </c>
      <c r="C93" s="57">
        <v>0</v>
      </c>
      <c r="D93" s="57">
        <v>12645.600480000001</v>
      </c>
      <c r="E93" s="57">
        <v>15825.545096217762</v>
      </c>
      <c r="F93" s="57">
        <v>32505.47004</v>
      </c>
      <c r="G93" s="57">
        <v>43082.164795031276</v>
      </c>
      <c r="H93" s="58">
        <v>0.2514664781041509</v>
      </c>
      <c r="I93" s="58">
        <v>0.32538199699976644</v>
      </c>
      <c r="J93" s="58">
        <v>0.30468024817164485</v>
      </c>
    </row>
    <row r="94" spans="1:10" ht="11.25" customHeight="1" x14ac:dyDescent="0.2">
      <c r="A94" s="67">
        <v>44593</v>
      </c>
      <c r="B94" s="57">
        <v>0</v>
      </c>
      <c r="C94" s="57">
        <v>0</v>
      </c>
      <c r="D94" s="57">
        <v>12022.462800000001</v>
      </c>
      <c r="E94" s="57">
        <v>15045.70917845417</v>
      </c>
      <c r="F94" s="57">
        <v>30903.696900000003</v>
      </c>
      <c r="G94" s="57">
        <v>40959.20351199749</v>
      </c>
      <c r="H94" s="58">
        <v>0.2514664781041509</v>
      </c>
      <c r="I94" s="58">
        <v>0.32538199699976622</v>
      </c>
      <c r="J94" s="58">
        <v>0.30468024817164463</v>
      </c>
    </row>
    <row r="95" spans="1:10" ht="11.25" customHeight="1" x14ac:dyDescent="0.2">
      <c r="A95" s="67">
        <v>44621</v>
      </c>
      <c r="B95" s="57">
        <v>0</v>
      </c>
      <c r="C95" s="57">
        <v>0</v>
      </c>
      <c r="D95" s="57">
        <v>16527.450959999998</v>
      </c>
      <c r="E95" s="57">
        <v>20683.550844950267</v>
      </c>
      <c r="F95" s="57">
        <v>42483.75258</v>
      </c>
      <c r="G95" s="57">
        <v>56307.200834524374</v>
      </c>
      <c r="H95" s="58">
        <v>0.2514664781041509</v>
      </c>
      <c r="I95" s="58">
        <v>0.32538199699976622</v>
      </c>
      <c r="J95" s="58">
        <v>0.30468024817164463</v>
      </c>
    </row>
    <row r="96" spans="1:10" ht="11.25" customHeight="1" x14ac:dyDescent="0.2">
      <c r="A96" s="66" t="s">
        <v>25</v>
      </c>
      <c r="B96" s="57">
        <v>853036.23999999976</v>
      </c>
      <c r="C96" s="57">
        <v>913262.62604500249</v>
      </c>
      <c r="D96" s="57">
        <v>0</v>
      </c>
      <c r="E96" s="57">
        <v>0</v>
      </c>
      <c r="F96" s="57">
        <v>0</v>
      </c>
      <c r="G96" s="57">
        <v>0</v>
      </c>
      <c r="H96" s="58">
        <v>7.0602376805237288E-2</v>
      </c>
      <c r="I96" s="58">
        <v>0</v>
      </c>
      <c r="J96" s="58">
        <v>7.0602376805237288E-2</v>
      </c>
    </row>
    <row r="97" spans="1:10" ht="11.25" customHeight="1" x14ac:dyDescent="0.2">
      <c r="A97" s="67">
        <v>44287</v>
      </c>
      <c r="B97" s="57">
        <v>69573.349999999991</v>
      </c>
      <c r="C97" s="57">
        <v>74485.393872302637</v>
      </c>
      <c r="D97" s="57">
        <v>0</v>
      </c>
      <c r="E97" s="57">
        <v>0</v>
      </c>
      <c r="F97" s="57">
        <v>0</v>
      </c>
      <c r="G97" s="57">
        <v>0</v>
      </c>
      <c r="H97" s="58">
        <v>7.0602376805237066E-2</v>
      </c>
      <c r="I97" s="58">
        <v>0</v>
      </c>
      <c r="J97" s="58">
        <v>7.0602376805237066E-2</v>
      </c>
    </row>
    <row r="98" spans="1:10" ht="11.25" customHeight="1" x14ac:dyDescent="0.2">
      <c r="A98" s="67">
        <v>44317</v>
      </c>
      <c r="B98" s="57">
        <v>71731.239999999991</v>
      </c>
      <c r="C98" s="57">
        <v>76795.636035186893</v>
      </c>
      <c r="D98" s="57">
        <v>0</v>
      </c>
      <c r="E98" s="57">
        <v>0</v>
      </c>
      <c r="F98" s="57">
        <v>0</v>
      </c>
      <c r="G98" s="57">
        <v>0</v>
      </c>
      <c r="H98" s="58">
        <v>7.0602376805237288E-2</v>
      </c>
      <c r="I98" s="58">
        <v>0</v>
      </c>
      <c r="J98" s="58">
        <v>7.0602376805237288E-2</v>
      </c>
    </row>
    <row r="99" spans="1:10" ht="11.25" customHeight="1" x14ac:dyDescent="0.2">
      <c r="A99" s="67">
        <v>44348</v>
      </c>
      <c r="B99" s="57">
        <v>70391.86</v>
      </c>
      <c r="C99" s="57">
        <v>75361.692623741488</v>
      </c>
      <c r="D99" s="57">
        <v>0</v>
      </c>
      <c r="E99" s="57">
        <v>0</v>
      </c>
      <c r="F99" s="57">
        <v>0</v>
      </c>
      <c r="G99" s="57">
        <v>0</v>
      </c>
      <c r="H99" s="58">
        <v>7.0602376805237066E-2</v>
      </c>
      <c r="I99" s="58">
        <v>0</v>
      </c>
      <c r="J99" s="58">
        <v>7.0602376805237066E-2</v>
      </c>
    </row>
    <row r="100" spans="1:10" ht="11.25" customHeight="1" x14ac:dyDescent="0.2">
      <c r="A100" s="67">
        <v>44378</v>
      </c>
      <c r="B100" s="57">
        <v>70987.14</v>
      </c>
      <c r="C100" s="57">
        <v>75999.000806606113</v>
      </c>
      <c r="D100" s="57">
        <v>0</v>
      </c>
      <c r="E100" s="57">
        <v>0</v>
      </c>
      <c r="F100" s="57">
        <v>0</v>
      </c>
      <c r="G100" s="57">
        <v>0</v>
      </c>
      <c r="H100" s="58">
        <v>7.0602376805237066E-2</v>
      </c>
      <c r="I100" s="58">
        <v>0</v>
      </c>
      <c r="J100" s="58">
        <v>7.0602376805237066E-2</v>
      </c>
    </row>
    <row r="101" spans="1:10" ht="11.25" customHeight="1" x14ac:dyDescent="0.2">
      <c r="A101" s="67">
        <v>44409</v>
      </c>
      <c r="B101" s="57">
        <v>69573.349999999991</v>
      </c>
      <c r="C101" s="57">
        <v>74485.393872302637</v>
      </c>
      <c r="D101" s="57">
        <v>0</v>
      </c>
      <c r="E101" s="57">
        <v>0</v>
      </c>
      <c r="F101" s="57">
        <v>0</v>
      </c>
      <c r="G101" s="57">
        <v>0</v>
      </c>
      <c r="H101" s="58">
        <v>7.0602376805237066E-2</v>
      </c>
      <c r="I101" s="58">
        <v>0</v>
      </c>
      <c r="J101" s="58">
        <v>7.0602376805237066E-2</v>
      </c>
    </row>
    <row r="102" spans="1:10" ht="11.25" customHeight="1" x14ac:dyDescent="0.2">
      <c r="A102" s="67">
        <v>44440</v>
      </c>
      <c r="B102" s="57">
        <v>69573.349999999991</v>
      </c>
      <c r="C102" s="57">
        <v>74485.393872302637</v>
      </c>
      <c r="D102" s="57">
        <v>0</v>
      </c>
      <c r="E102" s="57">
        <v>0</v>
      </c>
      <c r="F102" s="57">
        <v>0</v>
      </c>
      <c r="G102" s="57">
        <v>0</v>
      </c>
      <c r="H102" s="58">
        <v>7.0602376805237066E-2</v>
      </c>
      <c r="I102" s="58">
        <v>0</v>
      </c>
      <c r="J102" s="58">
        <v>7.0602376805237066E-2</v>
      </c>
    </row>
    <row r="103" spans="1:10" ht="11.25" customHeight="1" x14ac:dyDescent="0.2">
      <c r="A103" s="67">
        <v>44470</v>
      </c>
      <c r="B103" s="57">
        <v>69573.349999999991</v>
      </c>
      <c r="C103" s="57">
        <v>74485.393872302637</v>
      </c>
      <c r="D103" s="57">
        <v>0</v>
      </c>
      <c r="E103" s="57">
        <v>0</v>
      </c>
      <c r="F103" s="57">
        <v>0</v>
      </c>
      <c r="G103" s="57">
        <v>0</v>
      </c>
      <c r="H103" s="58">
        <v>7.0602376805237066E-2</v>
      </c>
      <c r="I103" s="58">
        <v>0</v>
      </c>
      <c r="J103" s="58">
        <v>7.0602376805237066E-2</v>
      </c>
    </row>
    <row r="104" spans="1:10" ht="11.25" customHeight="1" x14ac:dyDescent="0.2">
      <c r="A104" s="67">
        <v>44501</v>
      </c>
      <c r="B104" s="57">
        <v>69573.349999999991</v>
      </c>
      <c r="C104" s="57">
        <v>74485.393872302637</v>
      </c>
      <c r="D104" s="57">
        <v>0</v>
      </c>
      <c r="E104" s="57">
        <v>0</v>
      </c>
      <c r="F104" s="57">
        <v>0</v>
      </c>
      <c r="G104" s="57">
        <v>0</v>
      </c>
      <c r="H104" s="58">
        <v>7.0602376805237066E-2</v>
      </c>
      <c r="I104" s="58">
        <v>0</v>
      </c>
      <c r="J104" s="58">
        <v>7.0602376805237066E-2</v>
      </c>
    </row>
    <row r="105" spans="1:10" ht="11.25" customHeight="1" x14ac:dyDescent="0.2">
      <c r="A105" s="67">
        <v>44531</v>
      </c>
      <c r="B105" s="57">
        <v>69573.349999999991</v>
      </c>
      <c r="C105" s="57">
        <v>74485.393872302637</v>
      </c>
      <c r="D105" s="57">
        <v>0</v>
      </c>
      <c r="E105" s="57">
        <v>0</v>
      </c>
      <c r="F105" s="57">
        <v>0</v>
      </c>
      <c r="G105" s="57">
        <v>0</v>
      </c>
      <c r="H105" s="58">
        <v>7.0602376805237066E-2</v>
      </c>
      <c r="I105" s="58">
        <v>0</v>
      </c>
      <c r="J105" s="58">
        <v>7.0602376805237066E-2</v>
      </c>
    </row>
    <row r="106" spans="1:10" ht="11.25" customHeight="1" x14ac:dyDescent="0.2">
      <c r="A106" s="67">
        <v>44562</v>
      </c>
      <c r="B106" s="57">
        <v>69573.349999999991</v>
      </c>
      <c r="C106" s="57">
        <v>74485.393872302637</v>
      </c>
      <c r="D106" s="57">
        <v>0</v>
      </c>
      <c r="E106" s="57">
        <v>0</v>
      </c>
      <c r="F106" s="57">
        <v>0</v>
      </c>
      <c r="G106" s="57">
        <v>0</v>
      </c>
      <c r="H106" s="58">
        <v>7.0602376805237066E-2</v>
      </c>
      <c r="I106" s="58">
        <v>0</v>
      </c>
      <c r="J106" s="58">
        <v>7.0602376805237066E-2</v>
      </c>
    </row>
    <row r="107" spans="1:10" ht="11.25" customHeight="1" x14ac:dyDescent="0.2">
      <c r="A107" s="67">
        <v>44593</v>
      </c>
      <c r="B107" s="57">
        <v>73293.849999999991</v>
      </c>
      <c r="C107" s="57">
        <v>78468.570015206526</v>
      </c>
      <c r="D107" s="57">
        <v>0</v>
      </c>
      <c r="E107" s="57">
        <v>0</v>
      </c>
      <c r="F107" s="57">
        <v>0</v>
      </c>
      <c r="G107" s="57">
        <v>0</v>
      </c>
      <c r="H107" s="58">
        <v>7.0602376805237288E-2</v>
      </c>
      <c r="I107" s="58">
        <v>0</v>
      </c>
      <c r="J107" s="58">
        <v>7.0602376805237288E-2</v>
      </c>
    </row>
    <row r="108" spans="1:10" ht="11.25" customHeight="1" x14ac:dyDescent="0.2">
      <c r="A108" s="67">
        <v>44621</v>
      </c>
      <c r="B108" s="57">
        <v>79618.7</v>
      </c>
      <c r="C108" s="57">
        <v>85239.969458143125</v>
      </c>
      <c r="D108" s="57">
        <v>0</v>
      </c>
      <c r="E108" s="57">
        <v>0</v>
      </c>
      <c r="F108" s="57">
        <v>0</v>
      </c>
      <c r="G108" s="57">
        <v>0</v>
      </c>
      <c r="H108" s="58">
        <v>7.0602376805237066E-2</v>
      </c>
      <c r="I108" s="58">
        <v>0</v>
      </c>
      <c r="J108" s="58">
        <v>7.0602376805237066E-2</v>
      </c>
    </row>
    <row r="109" spans="1:10" ht="11.25" customHeight="1" x14ac:dyDescent="0.2">
      <c r="A109" s="66" t="s">
        <v>39</v>
      </c>
      <c r="B109" s="57">
        <v>0</v>
      </c>
      <c r="C109" s="57">
        <v>0</v>
      </c>
      <c r="D109" s="57">
        <v>65522.271679999998</v>
      </c>
      <c r="E109" s="57">
        <v>70955.167383744905</v>
      </c>
      <c r="F109" s="57">
        <v>3430.3800399999996</v>
      </c>
      <c r="G109" s="57">
        <v>4546.5639478833382</v>
      </c>
      <c r="H109" s="58">
        <v>8.2916778744764441E-2</v>
      </c>
      <c r="I109" s="58">
        <v>0.32538199699976644</v>
      </c>
      <c r="J109" s="58">
        <v>9.4979372776299753E-2</v>
      </c>
    </row>
    <row r="110" spans="1:10" ht="11.25" customHeight="1" x14ac:dyDescent="0.2">
      <c r="A110" s="67">
        <v>44287</v>
      </c>
      <c r="B110" s="57">
        <v>0</v>
      </c>
      <c r="C110" s="57">
        <v>0</v>
      </c>
      <c r="D110" s="57">
        <v>5567.2818400000006</v>
      </c>
      <c r="E110" s="57">
        <v>6028.9029165370248</v>
      </c>
      <c r="F110" s="57">
        <v>291.47176999999999</v>
      </c>
      <c r="G110" s="57">
        <v>386.31143659165662</v>
      </c>
      <c r="H110" s="58">
        <v>8.2916778744764219E-2</v>
      </c>
      <c r="I110" s="58">
        <v>0.32538199699976644</v>
      </c>
      <c r="J110" s="58">
        <v>9.4979372776299531E-2</v>
      </c>
    </row>
    <row r="111" spans="1:10" ht="11.25" customHeight="1" x14ac:dyDescent="0.2">
      <c r="A111" s="67">
        <v>44317</v>
      </c>
      <c r="B111" s="57">
        <v>0</v>
      </c>
      <c r="C111" s="57">
        <v>0</v>
      </c>
      <c r="D111" s="57">
        <v>5576.4612000000006</v>
      </c>
      <c r="E111" s="57">
        <v>6038.8433994991628</v>
      </c>
      <c r="F111" s="57">
        <v>291.95235000000002</v>
      </c>
      <c r="G111" s="57">
        <v>386.94838867177475</v>
      </c>
      <c r="H111" s="58">
        <v>8.2916778744764219E-2</v>
      </c>
      <c r="I111" s="58">
        <v>0.32538199699976622</v>
      </c>
      <c r="J111" s="58">
        <v>9.4979372776299309E-2</v>
      </c>
    </row>
    <row r="112" spans="1:10" ht="11.25" customHeight="1" x14ac:dyDescent="0.2">
      <c r="A112" s="67">
        <v>44348</v>
      </c>
      <c r="B112" s="57">
        <v>0</v>
      </c>
      <c r="C112" s="57">
        <v>0</v>
      </c>
      <c r="D112" s="57">
        <v>5562.6921600000005</v>
      </c>
      <c r="E112" s="57">
        <v>6023.9326750559549</v>
      </c>
      <c r="F112" s="57">
        <v>291.23147999999998</v>
      </c>
      <c r="G112" s="57">
        <v>385.99296055159749</v>
      </c>
      <c r="H112" s="58">
        <v>8.2916778744764219E-2</v>
      </c>
      <c r="I112" s="58">
        <v>0.32538199699976644</v>
      </c>
      <c r="J112" s="58">
        <v>9.4979372776299309E-2</v>
      </c>
    </row>
    <row r="113" spans="1:10" ht="11.25" customHeight="1" x14ac:dyDescent="0.2">
      <c r="A113" s="67">
        <v>44378</v>
      </c>
      <c r="B113" s="57">
        <v>0</v>
      </c>
      <c r="C113" s="57">
        <v>0</v>
      </c>
      <c r="D113" s="57">
        <v>5466.3088800000005</v>
      </c>
      <c r="E113" s="57">
        <v>5919.5576039535008</v>
      </c>
      <c r="F113" s="57">
        <v>286.18538999999998</v>
      </c>
      <c r="G113" s="57">
        <v>379.30496371035696</v>
      </c>
      <c r="H113" s="58">
        <v>8.2916778744764219E-2</v>
      </c>
      <c r="I113" s="58">
        <v>0.32538199699976644</v>
      </c>
      <c r="J113" s="58">
        <v>9.4979372776299531E-2</v>
      </c>
    </row>
    <row r="114" spans="1:10" ht="11.25" customHeight="1" x14ac:dyDescent="0.2">
      <c r="A114" s="67">
        <v>44409</v>
      </c>
      <c r="B114" s="57">
        <v>0</v>
      </c>
      <c r="C114" s="57">
        <v>0</v>
      </c>
      <c r="D114" s="57">
        <v>5200.1074400000007</v>
      </c>
      <c r="E114" s="57">
        <v>5631.2835980514828</v>
      </c>
      <c r="F114" s="57">
        <v>272.24856999999997</v>
      </c>
      <c r="G114" s="57">
        <v>360.8333533869307</v>
      </c>
      <c r="H114" s="58">
        <v>8.2916778744764219E-2</v>
      </c>
      <c r="I114" s="58">
        <v>0.32538199699976644</v>
      </c>
      <c r="J114" s="58">
        <v>9.4979372776299531E-2</v>
      </c>
    </row>
    <row r="115" spans="1:10" ht="11.25" customHeight="1" x14ac:dyDescent="0.2">
      <c r="A115" s="67">
        <v>44440</v>
      </c>
      <c r="B115" s="57">
        <v>0</v>
      </c>
      <c r="C115" s="57">
        <v>0</v>
      </c>
      <c r="D115" s="57">
        <v>4869.6504800000002</v>
      </c>
      <c r="E115" s="57">
        <v>5273.4262114144949</v>
      </c>
      <c r="F115" s="57">
        <v>254.94768999999997</v>
      </c>
      <c r="G115" s="57">
        <v>337.90307850267732</v>
      </c>
      <c r="H115" s="58">
        <v>8.2916778744764219E-2</v>
      </c>
      <c r="I115" s="58">
        <v>0.32538199699976644</v>
      </c>
      <c r="J115" s="58">
        <v>9.4979372776299309E-2</v>
      </c>
    </row>
    <row r="116" spans="1:10" ht="11.25" customHeight="1" x14ac:dyDescent="0.2">
      <c r="A116" s="67">
        <v>44470</v>
      </c>
      <c r="B116" s="57">
        <v>0</v>
      </c>
      <c r="C116" s="57">
        <v>0</v>
      </c>
      <c r="D116" s="57">
        <v>4332.6579199999996</v>
      </c>
      <c r="E116" s="57">
        <v>4691.9079581293909</v>
      </c>
      <c r="F116" s="57">
        <v>226.83375999999998</v>
      </c>
      <c r="G116" s="57">
        <v>300.64138181576573</v>
      </c>
      <c r="H116" s="58">
        <v>8.2916778744764441E-2</v>
      </c>
      <c r="I116" s="58">
        <v>0.32538199699976644</v>
      </c>
      <c r="J116" s="58">
        <v>9.4979372776299975E-2</v>
      </c>
    </row>
    <row r="117" spans="1:10" ht="11.25" customHeight="1" x14ac:dyDescent="0.2">
      <c r="A117" s="67">
        <v>44501</v>
      </c>
      <c r="B117" s="57">
        <v>0</v>
      </c>
      <c r="C117" s="57">
        <v>0</v>
      </c>
      <c r="D117" s="57">
        <v>4699.8323200000004</v>
      </c>
      <c r="E117" s="57">
        <v>5089.5272766149328</v>
      </c>
      <c r="F117" s="57">
        <v>246.05696</v>
      </c>
      <c r="G117" s="57">
        <v>326.11946502049165</v>
      </c>
      <c r="H117" s="58">
        <v>8.2916778744764219E-2</v>
      </c>
      <c r="I117" s="58">
        <v>0.32538199699976644</v>
      </c>
      <c r="J117" s="58">
        <v>9.4979372776299531E-2</v>
      </c>
    </row>
    <row r="118" spans="1:10" ht="11.25" customHeight="1" x14ac:dyDescent="0.2">
      <c r="A118" s="67">
        <v>44531</v>
      </c>
      <c r="B118" s="57">
        <v>0</v>
      </c>
      <c r="C118" s="57">
        <v>0</v>
      </c>
      <c r="D118" s="57">
        <v>5828.8936000000003</v>
      </c>
      <c r="E118" s="57">
        <v>6312.2066809579728</v>
      </c>
      <c r="F118" s="57">
        <v>305.16829999999999</v>
      </c>
      <c r="G118" s="57">
        <v>404.46457087502381</v>
      </c>
      <c r="H118" s="58">
        <v>8.2916778744764219E-2</v>
      </c>
      <c r="I118" s="58">
        <v>0.32538199699976644</v>
      </c>
      <c r="J118" s="58">
        <v>9.4979372776299531E-2</v>
      </c>
    </row>
    <row r="119" spans="1:10" ht="11.25" customHeight="1" x14ac:dyDescent="0.2">
      <c r="A119" s="67">
        <v>44562</v>
      </c>
      <c r="B119" s="57">
        <v>0</v>
      </c>
      <c r="C119" s="57">
        <v>0</v>
      </c>
      <c r="D119" s="57">
        <v>5402.0533600000008</v>
      </c>
      <c r="E119" s="57">
        <v>5849.9742232185308</v>
      </c>
      <c r="F119" s="57">
        <v>282.82132999999999</v>
      </c>
      <c r="G119" s="57">
        <v>374.84629914952995</v>
      </c>
      <c r="H119" s="58">
        <v>8.2916778744764219E-2</v>
      </c>
      <c r="I119" s="58">
        <v>0.32538199699976644</v>
      </c>
      <c r="J119" s="58">
        <v>9.4979372776299531E-2</v>
      </c>
    </row>
    <row r="120" spans="1:10" ht="11.25" customHeight="1" x14ac:dyDescent="0.2">
      <c r="A120" s="67">
        <v>44593</v>
      </c>
      <c r="B120" s="57">
        <v>0</v>
      </c>
      <c r="C120" s="57">
        <v>0</v>
      </c>
      <c r="D120" s="57">
        <v>5268.9526399999995</v>
      </c>
      <c r="E120" s="57">
        <v>5705.8372202675209</v>
      </c>
      <c r="F120" s="57">
        <v>275.85291999999998</v>
      </c>
      <c r="G120" s="57">
        <v>365.61049398781677</v>
      </c>
      <c r="H120" s="58">
        <v>8.2916778744764219E-2</v>
      </c>
      <c r="I120" s="58">
        <v>0.32538199699976644</v>
      </c>
      <c r="J120" s="58">
        <v>9.4979372776299531E-2</v>
      </c>
    </row>
    <row r="121" spans="1:10" ht="11.25" customHeight="1" x14ac:dyDescent="0.2">
      <c r="A121" s="67">
        <v>44621</v>
      </c>
      <c r="B121" s="57">
        <v>0</v>
      </c>
      <c r="C121" s="57">
        <v>0</v>
      </c>
      <c r="D121" s="57">
        <v>7747.3798400000005</v>
      </c>
      <c r="E121" s="57">
        <v>8389.7676200449278</v>
      </c>
      <c r="F121" s="57">
        <v>405.60951999999997</v>
      </c>
      <c r="G121" s="57">
        <v>537.58755561971668</v>
      </c>
      <c r="H121" s="58">
        <v>8.2916778744764219E-2</v>
      </c>
      <c r="I121" s="58">
        <v>0.32538199699976644</v>
      </c>
      <c r="J121" s="58">
        <v>9.4979372776299531E-2</v>
      </c>
    </row>
    <row r="122" spans="1:10" ht="11.25" customHeight="1" x14ac:dyDescent="0.2">
      <c r="A122" s="62" t="s">
        <v>44</v>
      </c>
      <c r="B122" s="57">
        <v>218872.55039999995</v>
      </c>
      <c r="C122" s="57">
        <v>234325.47267566397</v>
      </c>
      <c r="D122" s="57">
        <v>42857.497027199999</v>
      </c>
      <c r="E122" s="57">
        <v>49928.176591592397</v>
      </c>
      <c r="F122" s="57">
        <v>54789.061149599984</v>
      </c>
      <c r="G122" s="57">
        <v>72616.435280199192</v>
      </c>
      <c r="H122" s="58">
        <v>8.6056614674023368E-2</v>
      </c>
      <c r="I122" s="58">
        <v>0.32538199699976733</v>
      </c>
      <c r="J122" s="58">
        <v>0.12748353852028149</v>
      </c>
    </row>
    <row r="123" spans="1:10" ht="11.25" customHeight="1" x14ac:dyDescent="0.2">
      <c r="A123" s="63" t="s">
        <v>52</v>
      </c>
      <c r="B123" s="57">
        <v>218872.55039999995</v>
      </c>
      <c r="C123" s="57">
        <v>234325.47267566397</v>
      </c>
      <c r="D123" s="57">
        <v>42857.497027199999</v>
      </c>
      <c r="E123" s="57">
        <v>49928.176591592397</v>
      </c>
      <c r="F123" s="57">
        <v>54789.061149599984</v>
      </c>
      <c r="G123" s="57">
        <v>72616.435280199192</v>
      </c>
      <c r="H123" s="58">
        <v>8.6056614674023368E-2</v>
      </c>
      <c r="I123" s="58">
        <v>0.32538199699976733</v>
      </c>
      <c r="J123" s="58">
        <v>0.12748353852028149</v>
      </c>
    </row>
    <row r="124" spans="1:10" ht="11.25" customHeight="1" x14ac:dyDescent="0.2">
      <c r="A124" s="64" t="s">
        <v>54</v>
      </c>
      <c r="B124" s="57">
        <v>0</v>
      </c>
      <c r="C124" s="57">
        <v>0</v>
      </c>
      <c r="D124" s="57">
        <v>3537.0214560000004</v>
      </c>
      <c r="E124" s="57">
        <v>4426.4637845191364</v>
      </c>
      <c r="F124" s="57">
        <v>9091.900787999999</v>
      </c>
      <c r="G124" s="57">
        <v>12050.241622923188</v>
      </c>
      <c r="H124" s="58">
        <v>0.2514664781041509</v>
      </c>
      <c r="I124" s="58">
        <v>0.32538199699976622</v>
      </c>
      <c r="J124" s="58">
        <v>0.30468024817164485</v>
      </c>
    </row>
    <row r="125" spans="1:10" ht="11.25" customHeight="1" x14ac:dyDescent="0.2">
      <c r="A125" s="65" t="s">
        <v>25</v>
      </c>
      <c r="B125" s="57">
        <v>0</v>
      </c>
      <c r="C125" s="57">
        <v>0</v>
      </c>
      <c r="D125" s="57">
        <v>3537.0214560000004</v>
      </c>
      <c r="E125" s="57">
        <v>4426.4637845191364</v>
      </c>
      <c r="F125" s="57">
        <v>9091.900787999999</v>
      </c>
      <c r="G125" s="57">
        <v>12050.241622923188</v>
      </c>
      <c r="H125" s="58">
        <v>0.2514664781041509</v>
      </c>
      <c r="I125" s="58">
        <v>0.32538199699976622</v>
      </c>
      <c r="J125" s="58">
        <v>0.30468024817164485</v>
      </c>
    </row>
    <row r="126" spans="1:10" ht="11.25" customHeight="1" x14ac:dyDescent="0.2">
      <c r="A126" s="66" t="s">
        <v>34</v>
      </c>
      <c r="B126" s="57">
        <v>0</v>
      </c>
      <c r="C126" s="57">
        <v>0</v>
      </c>
      <c r="D126" s="57">
        <v>3537.0214560000004</v>
      </c>
      <c r="E126" s="57">
        <v>4426.4637845191364</v>
      </c>
      <c r="F126" s="57">
        <v>9091.900787999999</v>
      </c>
      <c r="G126" s="57">
        <v>12050.241622923188</v>
      </c>
      <c r="H126" s="58">
        <v>0.2514664781041509</v>
      </c>
      <c r="I126" s="58">
        <v>0.32538199699976622</v>
      </c>
      <c r="J126" s="58">
        <v>0.30468024817164485</v>
      </c>
    </row>
    <row r="127" spans="1:10" ht="11.25" customHeight="1" x14ac:dyDescent="0.2">
      <c r="A127" s="67">
        <v>44287</v>
      </c>
      <c r="B127" s="57">
        <v>0</v>
      </c>
      <c r="C127" s="57">
        <v>0</v>
      </c>
      <c r="D127" s="57">
        <v>166.44114000000002</v>
      </c>
      <c r="E127" s="57">
        <v>208.2955072874399</v>
      </c>
      <c r="F127" s="57">
        <v>427.83634499999999</v>
      </c>
      <c r="G127" s="57">
        <v>567.046589325181</v>
      </c>
      <c r="H127" s="58">
        <v>0.25146647810415068</v>
      </c>
      <c r="I127" s="58">
        <v>0.32538199699976644</v>
      </c>
      <c r="J127" s="58">
        <v>0.30468024817164463</v>
      </c>
    </row>
    <row r="128" spans="1:10" ht="11.25" customHeight="1" x14ac:dyDescent="0.2">
      <c r="A128" s="67">
        <v>44317</v>
      </c>
      <c r="B128" s="57">
        <v>0</v>
      </c>
      <c r="C128" s="57">
        <v>0</v>
      </c>
      <c r="D128" s="57">
        <v>77.962320000000005</v>
      </c>
      <c r="E128" s="57">
        <v>97.567230035228803</v>
      </c>
      <c r="F128" s="57">
        <v>200.40185999999997</v>
      </c>
      <c r="G128" s="57">
        <v>265.60901740926761</v>
      </c>
      <c r="H128" s="58">
        <v>0.25146647810415068</v>
      </c>
      <c r="I128" s="58">
        <v>0.32538199699976667</v>
      </c>
      <c r="J128" s="58">
        <v>0.30468024817164507</v>
      </c>
    </row>
    <row r="129" spans="1:10" ht="11.25" customHeight="1" x14ac:dyDescent="0.2">
      <c r="A129" s="67">
        <v>44348</v>
      </c>
      <c r="B129" s="57">
        <v>0</v>
      </c>
      <c r="C129" s="57">
        <v>0</v>
      </c>
      <c r="D129" s="57">
        <v>141.36980400000002</v>
      </c>
      <c r="E129" s="57">
        <v>176.91957072215411</v>
      </c>
      <c r="F129" s="57">
        <v>363.39056699999998</v>
      </c>
      <c r="G129" s="57">
        <v>481.6313153813374</v>
      </c>
      <c r="H129" s="58">
        <v>0.25146647810415068</v>
      </c>
      <c r="I129" s="58">
        <v>0.32538199699976644</v>
      </c>
      <c r="J129" s="58">
        <v>0.30468024817164485</v>
      </c>
    </row>
    <row r="130" spans="1:10" ht="11.25" customHeight="1" x14ac:dyDescent="0.2">
      <c r="A130" s="67">
        <v>44378</v>
      </c>
      <c r="B130" s="57">
        <v>0</v>
      </c>
      <c r="C130" s="57">
        <v>0</v>
      </c>
      <c r="D130" s="57">
        <v>386.55849600000005</v>
      </c>
      <c r="E130" s="57">
        <v>483.76499957035753</v>
      </c>
      <c r="F130" s="57">
        <v>993.64720799999998</v>
      </c>
      <c r="G130" s="57">
        <v>1316.9621208522822</v>
      </c>
      <c r="H130" s="58">
        <v>0.2514664781041509</v>
      </c>
      <c r="I130" s="58">
        <v>0.32538199699976644</v>
      </c>
      <c r="J130" s="58">
        <v>0.30468024817164485</v>
      </c>
    </row>
    <row r="131" spans="1:10" ht="11.25" customHeight="1" x14ac:dyDescent="0.2">
      <c r="A131" s="67">
        <v>44409</v>
      </c>
      <c r="B131" s="57">
        <v>0</v>
      </c>
      <c r="C131" s="57">
        <v>0</v>
      </c>
      <c r="D131" s="57">
        <v>408.32064000000003</v>
      </c>
      <c r="E131" s="57">
        <v>510.99959327803293</v>
      </c>
      <c r="F131" s="57">
        <v>1049.58672</v>
      </c>
      <c r="G131" s="57">
        <v>1391.1033429780348</v>
      </c>
      <c r="H131" s="58">
        <v>0.2514664781041509</v>
      </c>
      <c r="I131" s="58">
        <v>0.32538199699976644</v>
      </c>
      <c r="J131" s="58">
        <v>0.30468024817164485</v>
      </c>
    </row>
    <row r="132" spans="1:10" ht="11.25" customHeight="1" x14ac:dyDescent="0.2">
      <c r="A132" s="67">
        <v>44440</v>
      </c>
      <c r="B132" s="57">
        <v>0</v>
      </c>
      <c r="C132" s="57">
        <v>0</v>
      </c>
      <c r="D132" s="57">
        <v>389.1105</v>
      </c>
      <c r="E132" s="57">
        <v>486.95874702834516</v>
      </c>
      <c r="F132" s="57">
        <v>1000.2071249999999</v>
      </c>
      <c r="G132" s="57">
        <v>1325.6565167458948</v>
      </c>
      <c r="H132" s="58">
        <v>0.25146647810415068</v>
      </c>
      <c r="I132" s="58">
        <v>0.32538199699976644</v>
      </c>
      <c r="J132" s="58">
        <v>0.30468024817164485</v>
      </c>
    </row>
    <row r="133" spans="1:10" ht="11.25" customHeight="1" x14ac:dyDescent="0.2">
      <c r="A133" s="67">
        <v>44470</v>
      </c>
      <c r="B133" s="57">
        <v>0</v>
      </c>
      <c r="C133" s="57">
        <v>0</v>
      </c>
      <c r="D133" s="57">
        <v>177.93917999999999</v>
      </c>
      <c r="E133" s="57">
        <v>222.68491891134056</v>
      </c>
      <c r="F133" s="57">
        <v>457.39201499999996</v>
      </c>
      <c r="G133" s="57">
        <v>606.21914225244711</v>
      </c>
      <c r="H133" s="58">
        <v>0.2514664781041509</v>
      </c>
      <c r="I133" s="58">
        <v>0.32538199699976644</v>
      </c>
      <c r="J133" s="58">
        <v>0.30468024817164485</v>
      </c>
    </row>
    <row r="134" spans="1:10" ht="11.25" customHeight="1" x14ac:dyDescent="0.2">
      <c r="A134" s="67">
        <v>44501</v>
      </c>
      <c r="B134" s="57">
        <v>0</v>
      </c>
      <c r="C134" s="57">
        <v>0</v>
      </c>
      <c r="D134" s="57">
        <v>283.27244400000001</v>
      </c>
      <c r="E134" s="57">
        <v>354.50596783663531</v>
      </c>
      <c r="F134" s="57">
        <v>728.15078699999992</v>
      </c>
      <c r="G134" s="57">
        <v>965.07794419101151</v>
      </c>
      <c r="H134" s="58">
        <v>0.2514664781041509</v>
      </c>
      <c r="I134" s="58">
        <v>0.32538199699976644</v>
      </c>
      <c r="J134" s="58">
        <v>0.30468024817164485</v>
      </c>
    </row>
    <row r="135" spans="1:10" ht="11.25" customHeight="1" x14ac:dyDescent="0.2">
      <c r="A135" s="67">
        <v>44531</v>
      </c>
      <c r="B135" s="57">
        <v>0</v>
      </c>
      <c r="C135" s="57">
        <v>0</v>
      </c>
      <c r="D135" s="57">
        <v>142.21112400000001</v>
      </c>
      <c r="E135" s="57">
        <v>177.97245449951271</v>
      </c>
      <c r="F135" s="57">
        <v>365.55317700000001</v>
      </c>
      <c r="G135" s="57">
        <v>484.49759974186907</v>
      </c>
      <c r="H135" s="58">
        <v>0.2514664781041509</v>
      </c>
      <c r="I135" s="58">
        <v>0.32538199699976644</v>
      </c>
      <c r="J135" s="58">
        <v>0.30468024817164485</v>
      </c>
    </row>
    <row r="136" spans="1:10" ht="11.25" customHeight="1" x14ac:dyDescent="0.2">
      <c r="A136" s="67">
        <v>44562</v>
      </c>
      <c r="B136" s="57">
        <v>0</v>
      </c>
      <c r="C136" s="57">
        <v>0</v>
      </c>
      <c r="D136" s="57">
        <v>327.04912800000005</v>
      </c>
      <c r="E136" s="57">
        <v>409.29102038519369</v>
      </c>
      <c r="F136" s="57">
        <v>840.67859399999998</v>
      </c>
      <c r="G136" s="57">
        <v>1114.2202737506759</v>
      </c>
      <c r="H136" s="58">
        <v>0.2514664781041509</v>
      </c>
      <c r="I136" s="58">
        <v>0.32538199699976644</v>
      </c>
      <c r="J136" s="58">
        <v>0.30468024817164485</v>
      </c>
    </row>
    <row r="137" spans="1:10" ht="11.25" customHeight="1" x14ac:dyDescent="0.2">
      <c r="A137" s="67">
        <v>44593</v>
      </c>
      <c r="B137" s="57">
        <v>0</v>
      </c>
      <c r="C137" s="57">
        <v>0</v>
      </c>
      <c r="D137" s="57">
        <v>86.936400000000006</v>
      </c>
      <c r="E137" s="57">
        <v>108.79799032705371</v>
      </c>
      <c r="F137" s="57">
        <v>223.46970000000002</v>
      </c>
      <c r="G137" s="57">
        <v>296.18271725493872</v>
      </c>
      <c r="H137" s="58">
        <v>0.2514664781041509</v>
      </c>
      <c r="I137" s="58">
        <v>0.32538199699976644</v>
      </c>
      <c r="J137" s="58">
        <v>0.30468024817164463</v>
      </c>
    </row>
    <row r="138" spans="1:10" ht="11.25" customHeight="1" x14ac:dyDescent="0.2">
      <c r="A138" s="67">
        <v>44621</v>
      </c>
      <c r="B138" s="57">
        <v>0</v>
      </c>
      <c r="C138" s="57">
        <v>0</v>
      </c>
      <c r="D138" s="57">
        <v>949.85028</v>
      </c>
      <c r="E138" s="57">
        <v>1188.7057846378416</v>
      </c>
      <c r="F138" s="57">
        <v>2441.5866899999996</v>
      </c>
      <c r="G138" s="57">
        <v>3236.0350430402491</v>
      </c>
      <c r="H138" s="58">
        <v>0.2514664781041509</v>
      </c>
      <c r="I138" s="58">
        <v>0.32538199699976644</v>
      </c>
      <c r="J138" s="58">
        <v>0.30468024817164485</v>
      </c>
    </row>
    <row r="139" spans="1:10" ht="11.25" customHeight="1" x14ac:dyDescent="0.2">
      <c r="A139" s="64" t="s">
        <v>25</v>
      </c>
      <c r="B139" s="57">
        <v>218872.55039999995</v>
      </c>
      <c r="C139" s="57">
        <v>234325.47267566397</v>
      </c>
      <c r="D139" s="57">
        <v>39320.475571199997</v>
      </c>
      <c r="E139" s="57">
        <v>45501.712807073272</v>
      </c>
      <c r="F139" s="57">
        <v>45697.160361599985</v>
      </c>
      <c r="G139" s="57">
        <v>60566.193657275981</v>
      </c>
      <c r="H139" s="58">
        <v>8.3790642408561711E-2</v>
      </c>
      <c r="I139" s="58">
        <v>0.32538199699976689</v>
      </c>
      <c r="J139" s="58">
        <v>0.1201196828621427</v>
      </c>
    </row>
    <row r="140" spans="1:10" ht="11.25" customHeight="1" x14ac:dyDescent="0.2">
      <c r="A140" s="65" t="s">
        <v>25</v>
      </c>
      <c r="B140" s="57">
        <v>218872.55039999995</v>
      </c>
      <c r="C140" s="57">
        <v>234325.47267566397</v>
      </c>
      <c r="D140" s="57">
        <v>39320.475571199997</v>
      </c>
      <c r="E140" s="57">
        <v>45501.712807073272</v>
      </c>
      <c r="F140" s="57">
        <v>45697.160361599985</v>
      </c>
      <c r="G140" s="57">
        <v>60566.193657275981</v>
      </c>
      <c r="H140" s="58">
        <v>8.3790642408561711E-2</v>
      </c>
      <c r="I140" s="58">
        <v>0.32538199699976689</v>
      </c>
      <c r="J140" s="58">
        <v>0.1201196828621427</v>
      </c>
    </row>
    <row r="141" spans="1:10" ht="11.25" customHeight="1" x14ac:dyDescent="0.2">
      <c r="A141" s="66" t="s">
        <v>34</v>
      </c>
      <c r="B141" s="57">
        <v>0</v>
      </c>
      <c r="C141" s="57">
        <v>0</v>
      </c>
      <c r="D141" s="57">
        <v>17329.6664064</v>
      </c>
      <c r="E141" s="57">
        <v>21687.496584337227</v>
      </c>
      <c r="F141" s="57">
        <v>44545.844467199997</v>
      </c>
      <c r="G141" s="57">
        <v>59040.26029797853</v>
      </c>
      <c r="H141" s="58">
        <v>0.2514664781041509</v>
      </c>
      <c r="I141" s="58">
        <v>0.32538199699976644</v>
      </c>
      <c r="J141" s="58">
        <v>0.30468024817164507</v>
      </c>
    </row>
    <row r="142" spans="1:10" ht="11.25" customHeight="1" x14ac:dyDescent="0.2">
      <c r="A142" s="67">
        <v>44287</v>
      </c>
      <c r="B142" s="57">
        <v>0</v>
      </c>
      <c r="C142" s="57">
        <v>0</v>
      </c>
      <c r="D142" s="57">
        <v>872.5497984000001</v>
      </c>
      <c r="E142" s="57">
        <v>1091.966823174135</v>
      </c>
      <c r="F142" s="57">
        <v>2242.8860832</v>
      </c>
      <c r="G142" s="57">
        <v>2972.6808359946003</v>
      </c>
      <c r="H142" s="58">
        <v>0.2514664781041509</v>
      </c>
      <c r="I142" s="58">
        <v>0.32538199699976644</v>
      </c>
      <c r="J142" s="58">
        <v>0.30468024817164463</v>
      </c>
    </row>
    <row r="143" spans="1:10" ht="11.25" customHeight="1" x14ac:dyDescent="0.2">
      <c r="A143" s="67">
        <v>44317</v>
      </c>
      <c r="B143" s="57">
        <v>0</v>
      </c>
      <c r="C143" s="57">
        <v>0</v>
      </c>
      <c r="D143" s="57">
        <v>523.90679039999998</v>
      </c>
      <c r="E143" s="57">
        <v>655.65178583673753</v>
      </c>
      <c r="F143" s="57">
        <v>1346.7004992</v>
      </c>
      <c r="G143" s="57">
        <v>1784.8925969902782</v>
      </c>
      <c r="H143" s="58">
        <v>0.2514664781041509</v>
      </c>
      <c r="I143" s="58">
        <v>0.32538199699976644</v>
      </c>
      <c r="J143" s="58">
        <v>0.30468024817164485</v>
      </c>
    </row>
    <row r="144" spans="1:10" ht="11.25" customHeight="1" x14ac:dyDescent="0.2">
      <c r="A144" s="67">
        <v>44348</v>
      </c>
      <c r="B144" s="57">
        <v>0</v>
      </c>
      <c r="C144" s="57">
        <v>0</v>
      </c>
      <c r="D144" s="57">
        <v>1031.570496</v>
      </c>
      <c r="E144" s="57">
        <v>1290.9758955452721</v>
      </c>
      <c r="F144" s="57">
        <v>2651.6482079999996</v>
      </c>
      <c r="G144" s="57">
        <v>3514.4467972598918</v>
      </c>
      <c r="H144" s="58">
        <v>0.2514664781041509</v>
      </c>
      <c r="I144" s="58">
        <v>0.32538199699976644</v>
      </c>
      <c r="J144" s="58">
        <v>0.30468024817164485</v>
      </c>
    </row>
    <row r="145" spans="1:10" ht="11.25" customHeight="1" x14ac:dyDescent="0.2">
      <c r="A145" s="67">
        <v>44378</v>
      </c>
      <c r="B145" s="57">
        <v>0</v>
      </c>
      <c r="C145" s="57">
        <v>0</v>
      </c>
      <c r="D145" s="57">
        <v>2335.5043200000005</v>
      </c>
      <c r="E145" s="57">
        <v>2922.8053659474299</v>
      </c>
      <c r="F145" s="57">
        <v>6003.4053600000007</v>
      </c>
      <c r="G145" s="57">
        <v>7956.8053848359014</v>
      </c>
      <c r="H145" s="58">
        <v>0.25146647810415068</v>
      </c>
      <c r="I145" s="58">
        <v>0.32538199699976622</v>
      </c>
      <c r="J145" s="58">
        <v>0.30468024817164463</v>
      </c>
    </row>
    <row r="146" spans="1:10" ht="11.25" customHeight="1" x14ac:dyDescent="0.2">
      <c r="A146" s="67">
        <v>44409</v>
      </c>
      <c r="B146" s="57">
        <v>0</v>
      </c>
      <c r="C146" s="57">
        <v>0</v>
      </c>
      <c r="D146" s="57">
        <v>2287.0442880000001</v>
      </c>
      <c r="E146" s="57">
        <v>2862.1592603715753</v>
      </c>
      <c r="F146" s="57">
        <v>5878.8390239999999</v>
      </c>
      <c r="G146" s="57">
        <v>7791.7074056692763</v>
      </c>
      <c r="H146" s="58">
        <v>0.2514664781041509</v>
      </c>
      <c r="I146" s="58">
        <v>0.32538199699976622</v>
      </c>
      <c r="J146" s="58">
        <v>0.30468024817164485</v>
      </c>
    </row>
    <row r="147" spans="1:10" ht="11.25" customHeight="1" x14ac:dyDescent="0.2">
      <c r="A147" s="67">
        <v>44440</v>
      </c>
      <c r="B147" s="57">
        <v>0</v>
      </c>
      <c r="C147" s="57">
        <v>0</v>
      </c>
      <c r="D147" s="57">
        <v>2104.2422784</v>
      </c>
      <c r="E147" s="57">
        <v>2633.3886732271021</v>
      </c>
      <c r="F147" s="57">
        <v>5408.9471231999996</v>
      </c>
      <c r="G147" s="57">
        <v>7168.9211398129564</v>
      </c>
      <c r="H147" s="58">
        <v>0.2514664781041509</v>
      </c>
      <c r="I147" s="58">
        <v>0.32538199699976622</v>
      </c>
      <c r="J147" s="58">
        <v>0.30468024817164463</v>
      </c>
    </row>
    <row r="148" spans="1:10" ht="11.25" customHeight="1" x14ac:dyDescent="0.2">
      <c r="A148" s="67">
        <v>44470</v>
      </c>
      <c r="B148" s="57">
        <v>0</v>
      </c>
      <c r="C148" s="57">
        <v>0</v>
      </c>
      <c r="D148" s="57">
        <v>1110.3629184000001</v>
      </c>
      <c r="E148" s="57">
        <v>1389.5819709074947</v>
      </c>
      <c r="F148" s="57">
        <v>2854.1838432</v>
      </c>
      <c r="G148" s="57">
        <v>3782.8838819048842</v>
      </c>
      <c r="H148" s="58">
        <v>0.25146647810415068</v>
      </c>
      <c r="I148" s="58">
        <v>0.32538199699976644</v>
      </c>
      <c r="J148" s="58">
        <v>0.30468024817164485</v>
      </c>
    </row>
    <row r="149" spans="1:10" ht="11.25" customHeight="1" x14ac:dyDescent="0.2">
      <c r="A149" s="67">
        <v>44501</v>
      </c>
      <c r="B149" s="57">
        <v>0</v>
      </c>
      <c r="C149" s="57">
        <v>0</v>
      </c>
      <c r="D149" s="57">
        <v>963.99567360000003</v>
      </c>
      <c r="E149" s="57">
        <v>1206.4082705478306</v>
      </c>
      <c r="F149" s="57">
        <v>2477.9473727999998</v>
      </c>
      <c r="G149" s="57">
        <v>3284.2268374219884</v>
      </c>
      <c r="H149" s="58">
        <v>0.2514664781041509</v>
      </c>
      <c r="I149" s="58">
        <v>0.32538199699976644</v>
      </c>
      <c r="J149" s="58">
        <v>0.30468024817164485</v>
      </c>
    </row>
    <row r="150" spans="1:10" ht="11.25" customHeight="1" x14ac:dyDescent="0.2">
      <c r="A150" s="67">
        <v>44531</v>
      </c>
      <c r="B150" s="57">
        <v>0</v>
      </c>
      <c r="C150" s="57">
        <v>0</v>
      </c>
      <c r="D150" s="57">
        <v>692.97845760000007</v>
      </c>
      <c r="E150" s="57">
        <v>867.23930973471863</v>
      </c>
      <c r="F150" s="57">
        <v>1781.2986048</v>
      </c>
      <c r="G150" s="57">
        <v>2360.9011020827215</v>
      </c>
      <c r="H150" s="58">
        <v>0.25146647810415068</v>
      </c>
      <c r="I150" s="58">
        <v>0.32538199699976622</v>
      </c>
      <c r="J150" s="58">
        <v>0.30468024817164463</v>
      </c>
    </row>
    <row r="151" spans="1:10" ht="11.25" customHeight="1" x14ac:dyDescent="0.2">
      <c r="A151" s="67">
        <v>44562</v>
      </c>
      <c r="B151" s="57">
        <v>0</v>
      </c>
      <c r="C151" s="57">
        <v>0</v>
      </c>
      <c r="D151" s="57">
        <v>1187.4502656</v>
      </c>
      <c r="E151" s="57">
        <v>1486.0542018142705</v>
      </c>
      <c r="F151" s="57">
        <v>3052.3365887999998</v>
      </c>
      <c r="G151" s="57">
        <v>4045.5119635791984</v>
      </c>
      <c r="H151" s="58">
        <v>0.2514664781041509</v>
      </c>
      <c r="I151" s="58">
        <v>0.32538199699976644</v>
      </c>
      <c r="J151" s="58">
        <v>0.30468024817164507</v>
      </c>
    </row>
    <row r="152" spans="1:10" ht="11.25" customHeight="1" x14ac:dyDescent="0.2">
      <c r="A152" s="67">
        <v>44593</v>
      </c>
      <c r="B152" s="57">
        <v>0</v>
      </c>
      <c r="C152" s="57">
        <v>0</v>
      </c>
      <c r="D152" s="57">
        <v>739.46419200000003</v>
      </c>
      <c r="E152" s="57">
        <v>925.41464804637167</v>
      </c>
      <c r="F152" s="57">
        <v>1900.7900159999999</v>
      </c>
      <c r="G152" s="57">
        <v>2519.2728672832977</v>
      </c>
      <c r="H152" s="58">
        <v>0.2514664781041509</v>
      </c>
      <c r="I152" s="58">
        <v>0.32538199699976644</v>
      </c>
      <c r="J152" s="58">
        <v>0.30468024817164485</v>
      </c>
    </row>
    <row r="153" spans="1:10" ht="11.25" customHeight="1" x14ac:dyDescent="0.2">
      <c r="A153" s="67">
        <v>44621</v>
      </c>
      <c r="B153" s="57">
        <v>0</v>
      </c>
      <c r="C153" s="57">
        <v>0</v>
      </c>
      <c r="D153" s="57">
        <v>3480.5969280000004</v>
      </c>
      <c r="E153" s="57">
        <v>4355.8503791842868</v>
      </c>
      <c r="F153" s="57">
        <v>8946.8617439999998</v>
      </c>
      <c r="G153" s="57">
        <v>11858.009485143533</v>
      </c>
      <c r="H153" s="58">
        <v>0.25146647810415068</v>
      </c>
      <c r="I153" s="58">
        <v>0.32538199699976644</v>
      </c>
      <c r="J153" s="58">
        <v>0.30468024817164485</v>
      </c>
    </row>
    <row r="154" spans="1:10" ht="11.25" customHeight="1" x14ac:dyDescent="0.2">
      <c r="A154" s="66" t="s">
        <v>25</v>
      </c>
      <c r="B154" s="57">
        <v>218872.55039999995</v>
      </c>
      <c r="C154" s="57">
        <v>234325.47267566397</v>
      </c>
      <c r="D154" s="57">
        <v>0</v>
      </c>
      <c r="E154" s="57">
        <v>0</v>
      </c>
      <c r="F154" s="57">
        <v>0</v>
      </c>
      <c r="G154" s="57">
        <v>0</v>
      </c>
      <c r="H154" s="58">
        <v>7.0602376805237066E-2</v>
      </c>
      <c r="I154" s="58">
        <v>0</v>
      </c>
      <c r="J154" s="58">
        <v>7.0602376805237066E-2</v>
      </c>
    </row>
    <row r="155" spans="1:10" ht="11.25" customHeight="1" x14ac:dyDescent="0.2">
      <c r="A155" s="67">
        <v>44287</v>
      </c>
      <c r="B155" s="57">
        <v>15501.091199999999</v>
      </c>
      <c r="C155" s="57">
        <v>16595.505081794741</v>
      </c>
      <c r="D155" s="57">
        <v>0</v>
      </c>
      <c r="E155" s="57">
        <v>0</v>
      </c>
      <c r="F155" s="57">
        <v>0</v>
      </c>
      <c r="G155" s="57">
        <v>0</v>
      </c>
      <c r="H155" s="58">
        <v>7.0602376805236844E-2</v>
      </c>
      <c r="I155" s="58">
        <v>0</v>
      </c>
      <c r="J155" s="58">
        <v>7.0602376805236844E-2</v>
      </c>
    </row>
    <row r="156" spans="1:10" ht="11.25" customHeight="1" x14ac:dyDescent="0.2">
      <c r="A156" s="67">
        <v>44317</v>
      </c>
      <c r="B156" s="57">
        <v>16143.9936</v>
      </c>
      <c r="C156" s="57">
        <v>17283.797919288536</v>
      </c>
      <c r="D156" s="57">
        <v>0</v>
      </c>
      <c r="E156" s="57">
        <v>0</v>
      </c>
      <c r="F156" s="57">
        <v>0</v>
      </c>
      <c r="G156" s="57">
        <v>0</v>
      </c>
      <c r="H156" s="58">
        <v>7.0602376805237066E-2</v>
      </c>
      <c r="I156" s="58">
        <v>0</v>
      </c>
      <c r="J156" s="58">
        <v>7.0602376805237066E-2</v>
      </c>
    </row>
    <row r="157" spans="1:10" ht="11.25" customHeight="1" x14ac:dyDescent="0.2">
      <c r="A157" s="67">
        <v>44348</v>
      </c>
      <c r="B157" s="57">
        <v>16001.126399999999</v>
      </c>
      <c r="C157" s="57">
        <v>17130.843955401026</v>
      </c>
      <c r="D157" s="57">
        <v>0</v>
      </c>
      <c r="E157" s="57">
        <v>0</v>
      </c>
      <c r="F157" s="57">
        <v>0</v>
      </c>
      <c r="G157" s="57">
        <v>0</v>
      </c>
      <c r="H157" s="58">
        <v>7.0602376805237066E-2</v>
      </c>
      <c r="I157" s="58">
        <v>0</v>
      </c>
      <c r="J157" s="58">
        <v>7.0602376805237066E-2</v>
      </c>
    </row>
    <row r="158" spans="1:10" ht="11.25" customHeight="1" x14ac:dyDescent="0.2">
      <c r="A158" s="67">
        <v>44378</v>
      </c>
      <c r="B158" s="57">
        <v>16429.727999999999</v>
      </c>
      <c r="C158" s="57">
        <v>17589.705847063553</v>
      </c>
      <c r="D158" s="57">
        <v>0</v>
      </c>
      <c r="E158" s="57">
        <v>0</v>
      </c>
      <c r="F158" s="57">
        <v>0</v>
      </c>
      <c r="G158" s="57">
        <v>0</v>
      </c>
      <c r="H158" s="58">
        <v>7.0602376805237066E-2</v>
      </c>
      <c r="I158" s="58">
        <v>0</v>
      </c>
      <c r="J158" s="58">
        <v>7.0602376805237066E-2</v>
      </c>
    </row>
    <row r="159" spans="1:10" ht="11.25" customHeight="1" x14ac:dyDescent="0.2">
      <c r="A159" s="67">
        <v>44409</v>
      </c>
      <c r="B159" s="57">
        <v>19429.939200000001</v>
      </c>
      <c r="C159" s="57">
        <v>20801.739088701244</v>
      </c>
      <c r="D159" s="57">
        <v>0</v>
      </c>
      <c r="E159" s="57">
        <v>0</v>
      </c>
      <c r="F159" s="57">
        <v>0</v>
      </c>
      <c r="G159" s="57">
        <v>0</v>
      </c>
      <c r="H159" s="58">
        <v>7.0602376805236844E-2</v>
      </c>
      <c r="I159" s="58">
        <v>0</v>
      </c>
      <c r="J159" s="58">
        <v>7.0602376805236844E-2</v>
      </c>
    </row>
    <row r="160" spans="1:10" ht="11.25" customHeight="1" x14ac:dyDescent="0.2">
      <c r="A160" s="67">
        <v>44440</v>
      </c>
      <c r="B160" s="57">
        <v>19429.939200000001</v>
      </c>
      <c r="C160" s="57">
        <v>20801.739088701244</v>
      </c>
      <c r="D160" s="57">
        <v>0</v>
      </c>
      <c r="E160" s="57">
        <v>0</v>
      </c>
      <c r="F160" s="57">
        <v>0</v>
      </c>
      <c r="G160" s="57">
        <v>0</v>
      </c>
      <c r="H160" s="58">
        <v>7.0602376805236844E-2</v>
      </c>
      <c r="I160" s="58">
        <v>0</v>
      </c>
      <c r="J160" s="58">
        <v>7.0602376805236844E-2</v>
      </c>
    </row>
    <row r="161" spans="1:10" ht="11.25" customHeight="1" x14ac:dyDescent="0.2">
      <c r="A161" s="67">
        <v>44470</v>
      </c>
      <c r="B161" s="57">
        <v>19215.6384</v>
      </c>
      <c r="C161" s="57">
        <v>20572.308142869981</v>
      </c>
      <c r="D161" s="57">
        <v>0</v>
      </c>
      <c r="E161" s="57">
        <v>0</v>
      </c>
      <c r="F161" s="57">
        <v>0</v>
      </c>
      <c r="G161" s="57">
        <v>0</v>
      </c>
      <c r="H161" s="58">
        <v>7.0602376805237066E-2</v>
      </c>
      <c r="I161" s="58">
        <v>0</v>
      </c>
      <c r="J161" s="58">
        <v>7.0602376805237066E-2</v>
      </c>
    </row>
    <row r="162" spans="1:10" ht="11.25" customHeight="1" x14ac:dyDescent="0.2">
      <c r="A162" s="67">
        <v>44501</v>
      </c>
      <c r="B162" s="57">
        <v>19501.372799999997</v>
      </c>
      <c r="C162" s="57">
        <v>20878.216070644998</v>
      </c>
      <c r="D162" s="57">
        <v>0</v>
      </c>
      <c r="E162" s="57">
        <v>0</v>
      </c>
      <c r="F162" s="57">
        <v>0</v>
      </c>
      <c r="G162" s="57">
        <v>0</v>
      </c>
      <c r="H162" s="58">
        <v>7.0602376805237066E-2</v>
      </c>
      <c r="I162" s="58">
        <v>0</v>
      </c>
      <c r="J162" s="58">
        <v>7.0602376805237066E-2</v>
      </c>
    </row>
    <row r="163" spans="1:10" ht="11.25" customHeight="1" x14ac:dyDescent="0.2">
      <c r="A163" s="67">
        <v>44531</v>
      </c>
      <c r="B163" s="57">
        <v>19215.6384</v>
      </c>
      <c r="C163" s="57">
        <v>20572.308142869981</v>
      </c>
      <c r="D163" s="57">
        <v>0</v>
      </c>
      <c r="E163" s="57">
        <v>0</v>
      </c>
      <c r="F163" s="57">
        <v>0</v>
      </c>
      <c r="G163" s="57">
        <v>0</v>
      </c>
      <c r="H163" s="58">
        <v>7.0602376805237066E-2</v>
      </c>
      <c r="I163" s="58">
        <v>0</v>
      </c>
      <c r="J163" s="58">
        <v>7.0602376805237066E-2</v>
      </c>
    </row>
    <row r="164" spans="1:10" ht="11.25" customHeight="1" x14ac:dyDescent="0.2">
      <c r="A164" s="67">
        <v>44562</v>
      </c>
      <c r="B164" s="57">
        <v>19215.6384</v>
      </c>
      <c r="C164" s="57">
        <v>20572.308142869981</v>
      </c>
      <c r="D164" s="57">
        <v>0</v>
      </c>
      <c r="E164" s="57">
        <v>0</v>
      </c>
      <c r="F164" s="57">
        <v>0</v>
      </c>
      <c r="G164" s="57">
        <v>0</v>
      </c>
      <c r="H164" s="58">
        <v>7.0602376805237066E-2</v>
      </c>
      <c r="I164" s="58">
        <v>0</v>
      </c>
      <c r="J164" s="58">
        <v>7.0602376805237066E-2</v>
      </c>
    </row>
    <row r="165" spans="1:10" ht="11.25" customHeight="1" x14ac:dyDescent="0.2">
      <c r="A165" s="67">
        <v>44593</v>
      </c>
      <c r="B165" s="57">
        <v>19215.6384</v>
      </c>
      <c r="C165" s="57">
        <v>20572.308142869981</v>
      </c>
      <c r="D165" s="57">
        <v>0</v>
      </c>
      <c r="E165" s="57">
        <v>0</v>
      </c>
      <c r="F165" s="57">
        <v>0</v>
      </c>
      <c r="G165" s="57">
        <v>0</v>
      </c>
      <c r="H165" s="58">
        <v>7.0602376805237066E-2</v>
      </c>
      <c r="I165" s="58">
        <v>0</v>
      </c>
      <c r="J165" s="58">
        <v>7.0602376805237066E-2</v>
      </c>
    </row>
    <row r="166" spans="1:10" ht="11.25" customHeight="1" x14ac:dyDescent="0.2">
      <c r="A166" s="67">
        <v>44621</v>
      </c>
      <c r="B166" s="57">
        <v>19572.806400000001</v>
      </c>
      <c r="C166" s="57">
        <v>20954.693052588755</v>
      </c>
      <c r="D166" s="57">
        <v>0</v>
      </c>
      <c r="E166" s="57">
        <v>0</v>
      </c>
      <c r="F166" s="57">
        <v>0</v>
      </c>
      <c r="G166" s="57">
        <v>0</v>
      </c>
      <c r="H166" s="58">
        <v>7.0602376805236844E-2</v>
      </c>
      <c r="I166" s="58">
        <v>0</v>
      </c>
      <c r="J166" s="58">
        <v>7.0602376805236844E-2</v>
      </c>
    </row>
    <row r="167" spans="1:10" ht="11.25" customHeight="1" x14ac:dyDescent="0.2">
      <c r="A167" s="66" t="s">
        <v>39</v>
      </c>
      <c r="B167" s="57">
        <v>0</v>
      </c>
      <c r="C167" s="57">
        <v>0</v>
      </c>
      <c r="D167" s="57">
        <v>21990.809164800005</v>
      </c>
      <c r="E167" s="57">
        <v>23814.21622273606</v>
      </c>
      <c r="F167" s="57">
        <v>1151.3158944000002</v>
      </c>
      <c r="G167" s="57">
        <v>1525.9333592974442</v>
      </c>
      <c r="H167" s="58">
        <v>8.2916778744764219E-2</v>
      </c>
      <c r="I167" s="58">
        <v>0.32538199699976622</v>
      </c>
      <c r="J167" s="58">
        <v>9.4979372776299531E-2</v>
      </c>
    </row>
    <row r="168" spans="1:10" ht="11.25" customHeight="1" x14ac:dyDescent="0.2">
      <c r="A168" s="67">
        <v>44287</v>
      </c>
      <c r="B168" s="57">
        <v>0</v>
      </c>
      <c r="C168" s="57">
        <v>0</v>
      </c>
      <c r="D168" s="57">
        <v>1506.8837376000001</v>
      </c>
      <c r="E168" s="57">
        <v>1631.8296830646627</v>
      </c>
      <c r="F168" s="57">
        <v>78.892012800000003</v>
      </c>
      <c r="G168" s="57">
        <v>104.56205347219513</v>
      </c>
      <c r="H168" s="58">
        <v>8.2916778744764219E-2</v>
      </c>
      <c r="I168" s="58">
        <v>0.32538199699976644</v>
      </c>
      <c r="J168" s="58">
        <v>9.4979372776299531E-2</v>
      </c>
    </row>
    <row r="169" spans="1:10" ht="11.25" customHeight="1" x14ac:dyDescent="0.2">
      <c r="A169" s="67">
        <v>44317</v>
      </c>
      <c r="B169" s="57">
        <v>0</v>
      </c>
      <c r="C169" s="57">
        <v>0</v>
      </c>
      <c r="D169" s="57">
        <v>1454.0106240000002</v>
      </c>
      <c r="E169" s="57">
        <v>1574.5725012027449</v>
      </c>
      <c r="F169" s="57">
        <v>76.123872000000006</v>
      </c>
      <c r="G169" s="57">
        <v>100.89320949071461</v>
      </c>
      <c r="H169" s="58">
        <v>8.2916778744764219E-2</v>
      </c>
      <c r="I169" s="58">
        <v>0.32538199699976644</v>
      </c>
      <c r="J169" s="58">
        <v>9.4979372776299531E-2</v>
      </c>
    </row>
    <row r="170" spans="1:10" ht="11.25" customHeight="1" x14ac:dyDescent="0.2">
      <c r="A170" s="67">
        <v>44348</v>
      </c>
      <c r="B170" s="57">
        <v>0</v>
      </c>
      <c r="C170" s="57">
        <v>0</v>
      </c>
      <c r="D170" s="57">
        <v>1652.2848000000001</v>
      </c>
      <c r="E170" s="57">
        <v>1789.2869331849372</v>
      </c>
      <c r="F170" s="57">
        <v>86.50439999999999</v>
      </c>
      <c r="G170" s="57">
        <v>114.65137442126658</v>
      </c>
      <c r="H170" s="58">
        <v>8.2916778744764219E-2</v>
      </c>
      <c r="I170" s="58">
        <v>0.32538199699976644</v>
      </c>
      <c r="J170" s="58">
        <v>9.4979372776299531E-2</v>
      </c>
    </row>
    <row r="171" spans="1:10" ht="11.25" customHeight="1" x14ac:dyDescent="0.2">
      <c r="A171" s="67">
        <v>44378</v>
      </c>
      <c r="B171" s="57">
        <v>0</v>
      </c>
      <c r="C171" s="57">
        <v>0</v>
      </c>
      <c r="D171" s="57">
        <v>1868.1833472000001</v>
      </c>
      <c r="E171" s="57">
        <v>2023.0870924544356</v>
      </c>
      <c r="F171" s="57">
        <v>97.807641599999997</v>
      </c>
      <c r="G171" s="57">
        <v>129.63248734564542</v>
      </c>
      <c r="H171" s="58">
        <v>8.2916778744764219E-2</v>
      </c>
      <c r="I171" s="58">
        <v>0.32538199699976622</v>
      </c>
      <c r="J171" s="58">
        <v>9.4979372776299753E-2</v>
      </c>
    </row>
    <row r="172" spans="1:10" ht="11.25" customHeight="1" x14ac:dyDescent="0.2">
      <c r="A172" s="67">
        <v>44409</v>
      </c>
      <c r="B172" s="57">
        <v>0</v>
      </c>
      <c r="C172" s="57">
        <v>0</v>
      </c>
      <c r="D172" s="57">
        <v>2013.5844096000001</v>
      </c>
      <c r="E172" s="57">
        <v>2180.5443425747098</v>
      </c>
      <c r="F172" s="57">
        <v>105.4200288</v>
      </c>
      <c r="G172" s="57">
        <v>139.72180829471688</v>
      </c>
      <c r="H172" s="58">
        <v>8.2916778744764219E-2</v>
      </c>
      <c r="I172" s="58">
        <v>0.32538199699976644</v>
      </c>
      <c r="J172" s="58">
        <v>9.4979372776299309E-2</v>
      </c>
    </row>
    <row r="173" spans="1:10" ht="11.25" customHeight="1" x14ac:dyDescent="0.2">
      <c r="A173" s="67">
        <v>44440</v>
      </c>
      <c r="B173" s="57">
        <v>0</v>
      </c>
      <c r="C173" s="57">
        <v>0</v>
      </c>
      <c r="D173" s="57">
        <v>1749.2188416000001</v>
      </c>
      <c r="E173" s="57">
        <v>1894.2584332651202</v>
      </c>
      <c r="F173" s="57">
        <v>91.579324799999995</v>
      </c>
      <c r="G173" s="57">
        <v>121.37758838731423</v>
      </c>
      <c r="H173" s="58">
        <v>8.2916778744764219E-2</v>
      </c>
      <c r="I173" s="58">
        <v>0.32538199699976644</v>
      </c>
      <c r="J173" s="58">
        <v>9.4979372776299531E-2</v>
      </c>
    </row>
    <row r="174" spans="1:10" ht="11.25" customHeight="1" x14ac:dyDescent="0.2">
      <c r="A174" s="67">
        <v>44470</v>
      </c>
      <c r="B174" s="57">
        <v>0</v>
      </c>
      <c r="C174" s="57">
        <v>0</v>
      </c>
      <c r="D174" s="57">
        <v>1546.5385728000001</v>
      </c>
      <c r="E174" s="57">
        <v>1674.7725694611011</v>
      </c>
      <c r="F174" s="57">
        <v>80.968118399999994</v>
      </c>
      <c r="G174" s="57">
        <v>107.31368645830553</v>
      </c>
      <c r="H174" s="58">
        <v>8.2916778744764219E-2</v>
      </c>
      <c r="I174" s="58">
        <v>0.32538199699976644</v>
      </c>
      <c r="J174" s="58">
        <v>9.4979372776299309E-2</v>
      </c>
    </row>
    <row r="175" spans="1:10" ht="11.25" customHeight="1" x14ac:dyDescent="0.2">
      <c r="A175" s="67">
        <v>44501</v>
      </c>
      <c r="B175" s="57">
        <v>0</v>
      </c>
      <c r="C175" s="57">
        <v>0</v>
      </c>
      <c r="D175" s="57">
        <v>1749.2188416000001</v>
      </c>
      <c r="E175" s="57">
        <v>1894.2584332651202</v>
      </c>
      <c r="F175" s="57">
        <v>91.579324799999995</v>
      </c>
      <c r="G175" s="57">
        <v>121.37758838731423</v>
      </c>
      <c r="H175" s="58">
        <v>8.2916778744764219E-2</v>
      </c>
      <c r="I175" s="58">
        <v>0.32538199699976644</v>
      </c>
      <c r="J175" s="58">
        <v>9.4979372776299531E-2</v>
      </c>
    </row>
    <row r="176" spans="1:10" ht="11.25" customHeight="1" x14ac:dyDescent="0.2">
      <c r="A176" s="67">
        <v>44531</v>
      </c>
      <c r="B176" s="57">
        <v>0</v>
      </c>
      <c r="C176" s="57">
        <v>0</v>
      </c>
      <c r="D176" s="57">
        <v>1740.4066560000001</v>
      </c>
      <c r="E176" s="57">
        <v>1884.715569621467</v>
      </c>
      <c r="F176" s="57">
        <v>91.117967999999991</v>
      </c>
      <c r="G176" s="57">
        <v>120.7661143904008</v>
      </c>
      <c r="H176" s="58">
        <v>8.2916778744764219E-2</v>
      </c>
      <c r="I176" s="58">
        <v>0.32538199699976644</v>
      </c>
      <c r="J176" s="58">
        <v>9.4979372776299531E-2</v>
      </c>
    </row>
    <row r="177" spans="1:10" ht="11.25" customHeight="1" x14ac:dyDescent="0.2">
      <c r="A177" s="67">
        <v>44562</v>
      </c>
      <c r="B177" s="57">
        <v>0</v>
      </c>
      <c r="C177" s="57">
        <v>0</v>
      </c>
      <c r="D177" s="57">
        <v>1775.6553984000002</v>
      </c>
      <c r="E177" s="57">
        <v>1922.8870241960792</v>
      </c>
      <c r="F177" s="57">
        <v>92.963395199999994</v>
      </c>
      <c r="G177" s="57">
        <v>123.21201037805449</v>
      </c>
      <c r="H177" s="58">
        <v>8.2916778744764219E-2</v>
      </c>
      <c r="I177" s="58">
        <v>0.32538199699976644</v>
      </c>
      <c r="J177" s="58">
        <v>9.4979372776299531E-2</v>
      </c>
    </row>
    <row r="178" spans="1:10" ht="11.25" customHeight="1" x14ac:dyDescent="0.2">
      <c r="A178" s="67">
        <v>44593</v>
      </c>
      <c r="B178" s="57">
        <v>0</v>
      </c>
      <c r="C178" s="57">
        <v>0</v>
      </c>
      <c r="D178" s="57">
        <v>2894.8029695999999</v>
      </c>
      <c r="E178" s="57">
        <v>3134.8307069400098</v>
      </c>
      <c r="F178" s="57">
        <v>151.55570879999999</v>
      </c>
      <c r="G178" s="57">
        <v>200.86920798605905</v>
      </c>
      <c r="H178" s="58">
        <v>8.2916778744764441E-2</v>
      </c>
      <c r="I178" s="58">
        <v>0.32538199699976644</v>
      </c>
      <c r="J178" s="58">
        <v>9.4979372776299531E-2</v>
      </c>
    </row>
    <row r="179" spans="1:10" ht="11.25" customHeight="1" x14ac:dyDescent="0.2">
      <c r="A179" s="67">
        <v>44621</v>
      </c>
      <c r="B179" s="57">
        <v>0</v>
      </c>
      <c r="C179" s="57">
        <v>0</v>
      </c>
      <c r="D179" s="57">
        <v>2040.0209664000001</v>
      </c>
      <c r="E179" s="57">
        <v>2209.1729335056689</v>
      </c>
      <c r="F179" s="57">
        <v>106.8040992</v>
      </c>
      <c r="G179" s="57">
        <v>141.55623028545713</v>
      </c>
      <c r="H179" s="58">
        <v>8.2916778744764219E-2</v>
      </c>
      <c r="I179" s="58">
        <v>0.32538199699976622</v>
      </c>
      <c r="J179" s="58">
        <v>9.4979372776299531E-2</v>
      </c>
    </row>
    <row r="180" spans="1:10" ht="11.25" customHeight="1" x14ac:dyDescent="0.2">
      <c r="A180" s="62" t="s">
        <v>49</v>
      </c>
      <c r="B180" s="57">
        <v>44020.955999999998</v>
      </c>
      <c r="C180" s="57">
        <v>47128.940122838743</v>
      </c>
      <c r="D180" s="57">
        <v>103016.2136416</v>
      </c>
      <c r="E180" s="57">
        <v>114564.01791282433</v>
      </c>
      <c r="F180" s="57">
        <v>50303.635000799972</v>
      </c>
      <c r="G180" s="57">
        <v>66671.532213707629</v>
      </c>
      <c r="H180" s="58">
        <v>9.9674037726557474E-2</v>
      </c>
      <c r="I180" s="58">
        <v>0.32538199699976667</v>
      </c>
      <c r="J180" s="58">
        <v>0.15720867087366219</v>
      </c>
    </row>
    <row r="181" spans="1:10" ht="11.25" customHeight="1" x14ac:dyDescent="0.2">
      <c r="A181" s="63" t="s">
        <v>50</v>
      </c>
      <c r="B181" s="57">
        <v>44020.955999999998</v>
      </c>
      <c r="C181" s="57">
        <v>47128.940122838743</v>
      </c>
      <c r="D181" s="57">
        <v>103016.2136416</v>
      </c>
      <c r="E181" s="57">
        <v>114564.01791282433</v>
      </c>
      <c r="F181" s="57">
        <v>50303.635000799972</v>
      </c>
      <c r="G181" s="57">
        <v>66671.532213707629</v>
      </c>
      <c r="H181" s="58">
        <v>9.9674037726557474E-2</v>
      </c>
      <c r="I181" s="58">
        <v>0.32538199699976667</v>
      </c>
      <c r="J181" s="58">
        <v>0.15720867087366219</v>
      </c>
    </row>
    <row r="182" spans="1:10" ht="11.25" customHeight="1" x14ac:dyDescent="0.2">
      <c r="A182" s="64" t="s">
        <v>25</v>
      </c>
      <c r="B182" s="57">
        <v>44020.955999999998</v>
      </c>
      <c r="C182" s="57">
        <v>47128.940122838743</v>
      </c>
      <c r="D182" s="57">
        <v>103016.2136416</v>
      </c>
      <c r="E182" s="57">
        <v>114564.01791282433</v>
      </c>
      <c r="F182" s="57">
        <v>50303.635000799972</v>
      </c>
      <c r="G182" s="57">
        <v>66671.532213707629</v>
      </c>
      <c r="H182" s="58">
        <v>9.9674037726557474E-2</v>
      </c>
      <c r="I182" s="58">
        <v>0.32538199699976667</v>
      </c>
      <c r="J182" s="58">
        <v>0.15720867087366219</v>
      </c>
    </row>
    <row r="183" spans="1:10" ht="11.25" customHeight="1" x14ac:dyDescent="0.2">
      <c r="A183" s="65" t="s">
        <v>25</v>
      </c>
      <c r="B183" s="57">
        <v>44020.955999999998</v>
      </c>
      <c r="C183" s="57">
        <v>47128.940122838743</v>
      </c>
      <c r="D183" s="57">
        <v>103016.2136416</v>
      </c>
      <c r="E183" s="57">
        <v>114564.01791282433</v>
      </c>
      <c r="F183" s="57">
        <v>50303.635000799972</v>
      </c>
      <c r="G183" s="57">
        <v>66671.532213707629</v>
      </c>
      <c r="H183" s="58">
        <v>9.9674037726557474E-2</v>
      </c>
      <c r="I183" s="58">
        <v>0.32538199699976667</v>
      </c>
      <c r="J183" s="58">
        <v>0.15720867087366219</v>
      </c>
    </row>
    <row r="184" spans="1:10" ht="11.25" customHeight="1" x14ac:dyDescent="0.2">
      <c r="A184" s="66" t="s">
        <v>34</v>
      </c>
      <c r="B184" s="57">
        <v>0</v>
      </c>
      <c r="C184" s="57">
        <v>0</v>
      </c>
      <c r="D184" s="57">
        <v>17834.690236800001</v>
      </c>
      <c r="E184" s="57">
        <v>22319.516978726577</v>
      </c>
      <c r="F184" s="57">
        <v>45844.006386399997</v>
      </c>
      <c r="G184" s="57">
        <v>60760.82073487687</v>
      </c>
      <c r="H184" s="58">
        <v>0.25146647810415068</v>
      </c>
      <c r="I184" s="58">
        <v>0.32538199699976644</v>
      </c>
      <c r="J184" s="58">
        <v>0.30468024817164485</v>
      </c>
    </row>
    <row r="185" spans="1:10" ht="11.25" customHeight="1" x14ac:dyDescent="0.2">
      <c r="A185" s="67">
        <v>44287</v>
      </c>
      <c r="B185" s="57">
        <v>0</v>
      </c>
      <c r="C185" s="57">
        <v>0</v>
      </c>
      <c r="D185" s="57">
        <v>1242.5866392</v>
      </c>
      <c r="E185" s="57">
        <v>1555.0555250988971</v>
      </c>
      <c r="F185" s="57">
        <v>3194.0644365999997</v>
      </c>
      <c r="G185" s="57">
        <v>4233.3555015268412</v>
      </c>
      <c r="H185" s="58">
        <v>0.25146647810415068</v>
      </c>
      <c r="I185" s="58">
        <v>0.32538199699976644</v>
      </c>
      <c r="J185" s="58">
        <v>0.30468024817164485</v>
      </c>
    </row>
    <row r="186" spans="1:10" ht="11.25" customHeight="1" x14ac:dyDescent="0.2">
      <c r="A186" s="67">
        <v>44317</v>
      </c>
      <c r="B186" s="57">
        <v>0</v>
      </c>
      <c r="C186" s="57">
        <v>0</v>
      </c>
      <c r="D186" s="57">
        <v>1475.4453192000001</v>
      </c>
      <c r="E186" s="57">
        <v>1846.4703572544788</v>
      </c>
      <c r="F186" s="57">
        <v>3792.6268265999997</v>
      </c>
      <c r="G186" s="57">
        <v>5026.6793173139949</v>
      </c>
      <c r="H186" s="58">
        <v>0.2514664781041509</v>
      </c>
      <c r="I186" s="58">
        <v>0.32538199699976644</v>
      </c>
      <c r="J186" s="58">
        <v>0.30468024817164485</v>
      </c>
    </row>
    <row r="187" spans="1:10" ht="11.25" customHeight="1" x14ac:dyDescent="0.2">
      <c r="A187" s="67">
        <v>44348</v>
      </c>
      <c r="B187" s="57">
        <v>0</v>
      </c>
      <c r="C187" s="57">
        <v>0</v>
      </c>
      <c r="D187" s="57">
        <v>1500.5764824</v>
      </c>
      <c r="E187" s="57">
        <v>1877.9211655550432</v>
      </c>
      <c r="F187" s="57">
        <v>3857.2263901999995</v>
      </c>
      <c r="G187" s="57">
        <v>5112.2984159234757</v>
      </c>
      <c r="H187" s="58">
        <v>0.25146647810415068</v>
      </c>
      <c r="I187" s="58">
        <v>0.32538199699976644</v>
      </c>
      <c r="J187" s="58">
        <v>0.30468024817164485</v>
      </c>
    </row>
    <row r="188" spans="1:10" ht="11.25" customHeight="1" x14ac:dyDescent="0.2">
      <c r="A188" s="67">
        <v>44378</v>
      </c>
      <c r="B188" s="57">
        <v>0</v>
      </c>
      <c r="C188" s="57">
        <v>0</v>
      </c>
      <c r="D188" s="57">
        <v>1582.2088272000001</v>
      </c>
      <c r="E188" s="57">
        <v>1980.0813086012834</v>
      </c>
      <c r="F188" s="57">
        <v>4067.0620356000004</v>
      </c>
      <c r="G188" s="57">
        <v>5390.4108026654631</v>
      </c>
      <c r="H188" s="58">
        <v>0.2514664781041509</v>
      </c>
      <c r="I188" s="58">
        <v>0.32538199699976622</v>
      </c>
      <c r="J188" s="58">
        <v>0.30468024817164485</v>
      </c>
    </row>
    <row r="189" spans="1:10" ht="11.25" customHeight="1" x14ac:dyDescent="0.2">
      <c r="A189" s="67">
        <v>44409</v>
      </c>
      <c r="B189" s="57">
        <v>0</v>
      </c>
      <c r="C189" s="57">
        <v>0</v>
      </c>
      <c r="D189" s="57">
        <v>1548.6420287999999</v>
      </c>
      <c r="E189" s="57">
        <v>1938.073585626403</v>
      </c>
      <c r="F189" s="57">
        <v>3980.7787023999995</v>
      </c>
      <c r="G189" s="57">
        <v>5276.0524262010504</v>
      </c>
      <c r="H189" s="58">
        <v>0.2514664781041509</v>
      </c>
      <c r="I189" s="58">
        <v>0.32538199699976644</v>
      </c>
      <c r="J189" s="58">
        <v>0.30468024817164463</v>
      </c>
    </row>
    <row r="190" spans="1:10" ht="11.25" customHeight="1" x14ac:dyDescent="0.2">
      <c r="A190" s="67">
        <v>44440</v>
      </c>
      <c r="B190" s="57">
        <v>0</v>
      </c>
      <c r="C190" s="57">
        <v>0</v>
      </c>
      <c r="D190" s="57">
        <v>1486.6928328000001</v>
      </c>
      <c r="E190" s="57">
        <v>1860.5462434868994</v>
      </c>
      <c r="F190" s="57">
        <v>3821.5385194</v>
      </c>
      <c r="G190" s="57">
        <v>5064.9983544539018</v>
      </c>
      <c r="H190" s="58">
        <v>0.2514664781041509</v>
      </c>
      <c r="I190" s="58">
        <v>0.32538199699976622</v>
      </c>
      <c r="J190" s="58">
        <v>0.30468024817164463</v>
      </c>
    </row>
    <row r="191" spans="1:10" ht="11.25" customHeight="1" x14ac:dyDescent="0.2">
      <c r="A191" s="67">
        <v>44470</v>
      </c>
      <c r="B191" s="57">
        <v>0</v>
      </c>
      <c r="C191" s="57">
        <v>0</v>
      </c>
      <c r="D191" s="57">
        <v>1529.3982360000002</v>
      </c>
      <c r="E191" s="57">
        <v>1913.9906240256212</v>
      </c>
      <c r="F191" s="57">
        <v>3931.3126030000003</v>
      </c>
      <c r="G191" s="57">
        <v>5210.49094859449</v>
      </c>
      <c r="H191" s="58">
        <v>0.2514664781041509</v>
      </c>
      <c r="I191" s="58">
        <v>0.32538199699976622</v>
      </c>
      <c r="J191" s="58">
        <v>0.30468024817164485</v>
      </c>
    </row>
    <row r="192" spans="1:10" ht="11.25" customHeight="1" x14ac:dyDescent="0.2">
      <c r="A192" s="67">
        <v>44501</v>
      </c>
      <c r="B192" s="57">
        <v>0</v>
      </c>
      <c r="C192" s="57">
        <v>0</v>
      </c>
      <c r="D192" s="57">
        <v>1517.3598815999999</v>
      </c>
      <c r="E192" s="57">
        <v>1898.9250270424832</v>
      </c>
      <c r="F192" s="57">
        <v>3900.3680567999995</v>
      </c>
      <c r="G192" s="57">
        <v>5169.4776041556815</v>
      </c>
      <c r="H192" s="58">
        <v>0.2514664781041509</v>
      </c>
      <c r="I192" s="58">
        <v>0.32538199699976644</v>
      </c>
      <c r="J192" s="58">
        <v>0.30468024817164485</v>
      </c>
    </row>
    <row r="193" spans="1:10" ht="11.25" customHeight="1" x14ac:dyDescent="0.2">
      <c r="A193" s="67">
        <v>44531</v>
      </c>
      <c r="B193" s="57">
        <v>0</v>
      </c>
      <c r="C193" s="57">
        <v>0</v>
      </c>
      <c r="D193" s="57">
        <v>1474.8302208000002</v>
      </c>
      <c r="E193" s="57">
        <v>1845.7005822261433</v>
      </c>
      <c r="F193" s="57">
        <v>3791.0457184000002</v>
      </c>
      <c r="G193" s="57">
        <v>5024.5837449704059</v>
      </c>
      <c r="H193" s="58">
        <v>0.25146647810415068</v>
      </c>
      <c r="I193" s="58">
        <v>0.32538199699976622</v>
      </c>
      <c r="J193" s="58">
        <v>0.30468024817164485</v>
      </c>
    </row>
    <row r="194" spans="1:10" ht="11.25" customHeight="1" x14ac:dyDescent="0.2">
      <c r="A194" s="67">
        <v>44562</v>
      </c>
      <c r="B194" s="57">
        <v>0</v>
      </c>
      <c r="C194" s="57">
        <v>0</v>
      </c>
      <c r="D194" s="57">
        <v>1501.279452</v>
      </c>
      <c r="E194" s="57">
        <v>1878.8009084445696</v>
      </c>
      <c r="F194" s="57">
        <v>3859.0333709999995</v>
      </c>
      <c r="G194" s="57">
        <v>5114.6933557447201</v>
      </c>
      <c r="H194" s="58">
        <v>0.2514664781041509</v>
      </c>
      <c r="I194" s="58">
        <v>0.32538199699976644</v>
      </c>
      <c r="J194" s="58">
        <v>0.30468024817164485</v>
      </c>
    </row>
    <row r="195" spans="1:10" ht="11.25" customHeight="1" x14ac:dyDescent="0.2">
      <c r="A195" s="67">
        <v>44593</v>
      </c>
      <c r="B195" s="57">
        <v>0</v>
      </c>
      <c r="C195" s="57">
        <v>0</v>
      </c>
      <c r="D195" s="57">
        <v>1416.3080015999999</v>
      </c>
      <c r="E195" s="57">
        <v>1772.46198667308</v>
      </c>
      <c r="F195" s="57">
        <v>3640.6145667999999</v>
      </c>
      <c r="G195" s="57">
        <v>4825.2050048518231</v>
      </c>
      <c r="H195" s="58">
        <v>0.2514664781041509</v>
      </c>
      <c r="I195" s="58">
        <v>0.32538199699976644</v>
      </c>
      <c r="J195" s="58">
        <v>0.30468024817164485</v>
      </c>
    </row>
    <row r="196" spans="1:10" ht="11.25" customHeight="1" x14ac:dyDescent="0.2">
      <c r="A196" s="67">
        <v>44621</v>
      </c>
      <c r="B196" s="57">
        <v>0</v>
      </c>
      <c r="C196" s="57">
        <v>0</v>
      </c>
      <c r="D196" s="57">
        <v>1559.3623152</v>
      </c>
      <c r="E196" s="57">
        <v>1951.4896646916789</v>
      </c>
      <c r="F196" s="57">
        <v>4008.3351595999998</v>
      </c>
      <c r="G196" s="57">
        <v>5312.5752584750244</v>
      </c>
      <c r="H196" s="58">
        <v>0.2514664781041509</v>
      </c>
      <c r="I196" s="58">
        <v>0.32538199699976622</v>
      </c>
      <c r="J196" s="58">
        <v>0.30468024817164485</v>
      </c>
    </row>
    <row r="197" spans="1:10" ht="11.25" customHeight="1" x14ac:dyDescent="0.2">
      <c r="A197" s="66" t="s">
        <v>25</v>
      </c>
      <c r="B197" s="57">
        <v>44020.955999999998</v>
      </c>
      <c r="C197" s="57">
        <v>47128.940122838743</v>
      </c>
      <c r="D197" s="57">
        <v>0</v>
      </c>
      <c r="E197" s="57">
        <v>0</v>
      </c>
      <c r="F197" s="57">
        <v>0</v>
      </c>
      <c r="G197" s="57">
        <v>0</v>
      </c>
      <c r="H197" s="58">
        <v>7.0602376805236622E-2</v>
      </c>
      <c r="I197" s="58">
        <v>0</v>
      </c>
      <c r="J197" s="58">
        <v>7.0602376805236622E-2</v>
      </c>
    </row>
    <row r="198" spans="1:10" ht="11.25" customHeight="1" x14ac:dyDescent="0.2">
      <c r="A198" s="67">
        <v>44287</v>
      </c>
      <c r="B198" s="57">
        <v>3668.4129999999996</v>
      </c>
      <c r="C198" s="57">
        <v>3927.4116769032298</v>
      </c>
      <c r="D198" s="57">
        <v>0</v>
      </c>
      <c r="E198" s="57">
        <v>0</v>
      </c>
      <c r="F198" s="57">
        <v>0</v>
      </c>
      <c r="G198" s="57">
        <v>0</v>
      </c>
      <c r="H198" s="58">
        <v>7.0602376805237066E-2</v>
      </c>
      <c r="I198" s="58">
        <v>0</v>
      </c>
      <c r="J198" s="58">
        <v>7.0602376805237066E-2</v>
      </c>
    </row>
    <row r="199" spans="1:10" ht="11.25" customHeight="1" x14ac:dyDescent="0.2">
      <c r="A199" s="67">
        <v>44317</v>
      </c>
      <c r="B199" s="57">
        <v>3668.4129999999996</v>
      </c>
      <c r="C199" s="57">
        <v>3927.4116769032298</v>
      </c>
      <c r="D199" s="57">
        <v>0</v>
      </c>
      <c r="E199" s="57">
        <v>0</v>
      </c>
      <c r="F199" s="57">
        <v>0</v>
      </c>
      <c r="G199" s="57">
        <v>0</v>
      </c>
      <c r="H199" s="58">
        <v>7.0602376805237066E-2</v>
      </c>
      <c r="I199" s="58">
        <v>0</v>
      </c>
      <c r="J199" s="58">
        <v>7.0602376805237066E-2</v>
      </c>
    </row>
    <row r="200" spans="1:10" ht="11.25" customHeight="1" x14ac:dyDescent="0.2">
      <c r="A200" s="67">
        <v>44348</v>
      </c>
      <c r="B200" s="57">
        <v>3668.4129999999996</v>
      </c>
      <c r="C200" s="57">
        <v>3927.4116769032298</v>
      </c>
      <c r="D200" s="57">
        <v>0</v>
      </c>
      <c r="E200" s="57">
        <v>0</v>
      </c>
      <c r="F200" s="57">
        <v>0</v>
      </c>
      <c r="G200" s="57">
        <v>0</v>
      </c>
      <c r="H200" s="58">
        <v>7.0602376805237066E-2</v>
      </c>
      <c r="I200" s="58">
        <v>0</v>
      </c>
      <c r="J200" s="58">
        <v>7.0602376805237066E-2</v>
      </c>
    </row>
    <row r="201" spans="1:10" ht="11.25" customHeight="1" x14ac:dyDescent="0.2">
      <c r="A201" s="67">
        <v>44378</v>
      </c>
      <c r="B201" s="57">
        <v>3668.4129999999996</v>
      </c>
      <c r="C201" s="57">
        <v>3927.4116769032298</v>
      </c>
      <c r="D201" s="57">
        <v>0</v>
      </c>
      <c r="E201" s="57">
        <v>0</v>
      </c>
      <c r="F201" s="57">
        <v>0</v>
      </c>
      <c r="G201" s="57">
        <v>0</v>
      </c>
      <c r="H201" s="58">
        <v>7.0602376805237066E-2</v>
      </c>
      <c r="I201" s="58">
        <v>0</v>
      </c>
      <c r="J201" s="58">
        <v>7.0602376805237066E-2</v>
      </c>
    </row>
    <row r="202" spans="1:10" ht="11.25" customHeight="1" x14ac:dyDescent="0.2">
      <c r="A202" s="67">
        <v>44409</v>
      </c>
      <c r="B202" s="57">
        <v>3668.4129999999996</v>
      </c>
      <c r="C202" s="57">
        <v>3927.4116769032298</v>
      </c>
      <c r="D202" s="57">
        <v>0</v>
      </c>
      <c r="E202" s="57">
        <v>0</v>
      </c>
      <c r="F202" s="57">
        <v>0</v>
      </c>
      <c r="G202" s="57">
        <v>0</v>
      </c>
      <c r="H202" s="58">
        <v>7.0602376805237066E-2</v>
      </c>
      <c r="I202" s="58">
        <v>0</v>
      </c>
      <c r="J202" s="58">
        <v>7.0602376805237066E-2</v>
      </c>
    </row>
    <row r="203" spans="1:10" ht="11.25" customHeight="1" x14ac:dyDescent="0.2">
      <c r="A203" s="67">
        <v>44440</v>
      </c>
      <c r="B203" s="57">
        <v>3668.4129999999996</v>
      </c>
      <c r="C203" s="57">
        <v>3927.4116769032298</v>
      </c>
      <c r="D203" s="57">
        <v>0</v>
      </c>
      <c r="E203" s="57">
        <v>0</v>
      </c>
      <c r="F203" s="57">
        <v>0</v>
      </c>
      <c r="G203" s="57">
        <v>0</v>
      </c>
      <c r="H203" s="58">
        <v>7.0602376805237066E-2</v>
      </c>
      <c r="I203" s="58">
        <v>0</v>
      </c>
      <c r="J203" s="58">
        <v>7.0602376805237066E-2</v>
      </c>
    </row>
    <row r="204" spans="1:10" ht="11.25" customHeight="1" x14ac:dyDescent="0.2">
      <c r="A204" s="67">
        <v>44470</v>
      </c>
      <c r="B204" s="57">
        <v>3668.4129999999996</v>
      </c>
      <c r="C204" s="57">
        <v>3927.4116769032298</v>
      </c>
      <c r="D204" s="57">
        <v>0</v>
      </c>
      <c r="E204" s="57">
        <v>0</v>
      </c>
      <c r="F204" s="57">
        <v>0</v>
      </c>
      <c r="G204" s="57">
        <v>0</v>
      </c>
      <c r="H204" s="58">
        <v>7.0602376805237066E-2</v>
      </c>
      <c r="I204" s="58">
        <v>0</v>
      </c>
      <c r="J204" s="58">
        <v>7.0602376805237066E-2</v>
      </c>
    </row>
    <row r="205" spans="1:10" ht="11.25" customHeight="1" x14ac:dyDescent="0.2">
      <c r="A205" s="67">
        <v>44501</v>
      </c>
      <c r="B205" s="57">
        <v>3668.4129999999996</v>
      </c>
      <c r="C205" s="57">
        <v>3927.4116769032298</v>
      </c>
      <c r="D205" s="57">
        <v>0</v>
      </c>
      <c r="E205" s="57">
        <v>0</v>
      </c>
      <c r="F205" s="57">
        <v>0</v>
      </c>
      <c r="G205" s="57">
        <v>0</v>
      </c>
      <c r="H205" s="58">
        <v>7.0602376805237066E-2</v>
      </c>
      <c r="I205" s="58">
        <v>0</v>
      </c>
      <c r="J205" s="58">
        <v>7.0602376805237066E-2</v>
      </c>
    </row>
    <row r="206" spans="1:10" ht="11.25" customHeight="1" x14ac:dyDescent="0.2">
      <c r="A206" s="67">
        <v>44531</v>
      </c>
      <c r="B206" s="57">
        <v>3668.4129999999996</v>
      </c>
      <c r="C206" s="57">
        <v>3927.4116769032298</v>
      </c>
      <c r="D206" s="57">
        <v>0</v>
      </c>
      <c r="E206" s="57">
        <v>0</v>
      </c>
      <c r="F206" s="57">
        <v>0</v>
      </c>
      <c r="G206" s="57">
        <v>0</v>
      </c>
      <c r="H206" s="58">
        <v>7.0602376805237066E-2</v>
      </c>
      <c r="I206" s="58">
        <v>0</v>
      </c>
      <c r="J206" s="58">
        <v>7.0602376805237066E-2</v>
      </c>
    </row>
    <row r="207" spans="1:10" ht="11.25" customHeight="1" x14ac:dyDescent="0.2">
      <c r="A207" s="67">
        <v>44562</v>
      </c>
      <c r="B207" s="57">
        <v>3668.4129999999996</v>
      </c>
      <c r="C207" s="57">
        <v>3927.4116769032298</v>
      </c>
      <c r="D207" s="57">
        <v>0</v>
      </c>
      <c r="E207" s="57">
        <v>0</v>
      </c>
      <c r="F207" s="57">
        <v>0</v>
      </c>
      <c r="G207" s="57">
        <v>0</v>
      </c>
      <c r="H207" s="58">
        <v>7.0602376805237066E-2</v>
      </c>
      <c r="I207" s="58">
        <v>0</v>
      </c>
      <c r="J207" s="58">
        <v>7.0602376805237066E-2</v>
      </c>
    </row>
    <row r="208" spans="1:10" ht="11.25" customHeight="1" x14ac:dyDescent="0.2">
      <c r="A208" s="67">
        <v>44593</v>
      </c>
      <c r="B208" s="57">
        <v>3668.4129999999996</v>
      </c>
      <c r="C208" s="57">
        <v>3927.4116769032298</v>
      </c>
      <c r="D208" s="57">
        <v>0</v>
      </c>
      <c r="E208" s="57">
        <v>0</v>
      </c>
      <c r="F208" s="57">
        <v>0</v>
      </c>
      <c r="G208" s="57">
        <v>0</v>
      </c>
      <c r="H208" s="58">
        <v>7.0602376805237066E-2</v>
      </c>
      <c r="I208" s="58">
        <v>0</v>
      </c>
      <c r="J208" s="58">
        <v>7.0602376805237066E-2</v>
      </c>
    </row>
    <row r="209" spans="1:10" ht="11.25" customHeight="1" x14ac:dyDescent="0.2">
      <c r="A209" s="67">
        <v>44621</v>
      </c>
      <c r="B209" s="57">
        <v>3668.4129999999996</v>
      </c>
      <c r="C209" s="57">
        <v>3927.4116769032298</v>
      </c>
      <c r="D209" s="57">
        <v>0</v>
      </c>
      <c r="E209" s="57">
        <v>0</v>
      </c>
      <c r="F209" s="57">
        <v>0</v>
      </c>
      <c r="G209" s="57">
        <v>0</v>
      </c>
      <c r="H209" s="58">
        <v>7.0602376805237066E-2</v>
      </c>
      <c r="I209" s="58">
        <v>0</v>
      </c>
      <c r="J209" s="58">
        <v>7.0602376805237066E-2</v>
      </c>
    </row>
    <row r="210" spans="1:10" ht="11.25" customHeight="1" x14ac:dyDescent="0.2">
      <c r="A210" s="66" t="s">
        <v>39</v>
      </c>
      <c r="B210" s="57">
        <v>0</v>
      </c>
      <c r="C210" s="57">
        <v>0</v>
      </c>
      <c r="D210" s="57">
        <v>85181.523404800013</v>
      </c>
      <c r="E210" s="57">
        <v>92244.500934097756</v>
      </c>
      <c r="F210" s="57">
        <v>4459.6286143999996</v>
      </c>
      <c r="G210" s="57">
        <v>5910.7114788307736</v>
      </c>
      <c r="H210" s="58">
        <v>8.2916778744763997E-2</v>
      </c>
      <c r="I210" s="58">
        <v>0.32538199699976667</v>
      </c>
      <c r="J210" s="58">
        <v>9.4979372776299309E-2</v>
      </c>
    </row>
    <row r="211" spans="1:10" ht="11.25" customHeight="1" x14ac:dyDescent="0.2">
      <c r="A211" s="67">
        <v>44287</v>
      </c>
      <c r="B211" s="57">
        <v>0</v>
      </c>
      <c r="C211" s="57">
        <v>0</v>
      </c>
      <c r="D211" s="57">
        <v>6471.4488000000001</v>
      </c>
      <c r="E211" s="57">
        <v>7008.0404883076699</v>
      </c>
      <c r="F211" s="57">
        <v>338.80889999999999</v>
      </c>
      <c r="G211" s="57">
        <v>449.05121648329413</v>
      </c>
      <c r="H211" s="58">
        <v>8.2916778744764219E-2</v>
      </c>
      <c r="I211" s="58">
        <v>0.32538199699976644</v>
      </c>
      <c r="J211" s="58">
        <v>9.4979372776299531E-2</v>
      </c>
    </row>
    <row r="212" spans="1:10" ht="11.25" customHeight="1" x14ac:dyDescent="0.2">
      <c r="A212" s="67">
        <v>44317</v>
      </c>
      <c r="B212" s="57">
        <v>0</v>
      </c>
      <c r="C212" s="57">
        <v>0</v>
      </c>
      <c r="D212" s="57">
        <v>7148.7937744000001</v>
      </c>
      <c r="E212" s="57">
        <v>7741.5487260838736</v>
      </c>
      <c r="F212" s="57">
        <v>374.27089819999998</v>
      </c>
      <c r="G212" s="57">
        <v>496.05191047521225</v>
      </c>
      <c r="H212" s="58">
        <v>8.2916778744764441E-2</v>
      </c>
      <c r="I212" s="58">
        <v>0.32538199699976644</v>
      </c>
      <c r="J212" s="58">
        <v>9.4979372776299531E-2</v>
      </c>
    </row>
    <row r="213" spans="1:10" ht="11.25" customHeight="1" x14ac:dyDescent="0.2">
      <c r="A213" s="67">
        <v>44348</v>
      </c>
      <c r="B213" s="57">
        <v>0</v>
      </c>
      <c r="C213" s="57">
        <v>0</v>
      </c>
      <c r="D213" s="57">
        <v>7515.5092064000009</v>
      </c>
      <c r="E213" s="57">
        <v>8138.6710204213086</v>
      </c>
      <c r="F213" s="57">
        <v>393.47006920000001</v>
      </c>
      <c r="G213" s="57">
        <v>521.49814607593225</v>
      </c>
      <c r="H213" s="58">
        <v>8.2916778744764219E-2</v>
      </c>
      <c r="I213" s="58">
        <v>0.32538199699976622</v>
      </c>
      <c r="J213" s="58">
        <v>9.4979372776299531E-2</v>
      </c>
    </row>
    <row r="214" spans="1:10" ht="11.25" customHeight="1" x14ac:dyDescent="0.2">
      <c r="A214" s="67">
        <v>44378</v>
      </c>
      <c r="B214" s="57">
        <v>0</v>
      </c>
      <c r="C214" s="57">
        <v>0</v>
      </c>
      <c r="D214" s="57">
        <v>7800.2529536000002</v>
      </c>
      <c r="E214" s="57">
        <v>8447.0248019068458</v>
      </c>
      <c r="F214" s="57">
        <v>408.37766079999994</v>
      </c>
      <c r="G214" s="57">
        <v>541.25639960119713</v>
      </c>
      <c r="H214" s="58">
        <v>8.2916778744764219E-2</v>
      </c>
      <c r="I214" s="58">
        <v>0.32538199699976644</v>
      </c>
      <c r="J214" s="58">
        <v>9.4979372776299531E-2</v>
      </c>
    </row>
    <row r="215" spans="1:10" ht="11.25" customHeight="1" x14ac:dyDescent="0.2">
      <c r="A215" s="67">
        <v>44409</v>
      </c>
      <c r="B215" s="57">
        <v>0</v>
      </c>
      <c r="C215" s="57">
        <v>0</v>
      </c>
      <c r="D215" s="57">
        <v>7088.3935855999998</v>
      </c>
      <c r="E215" s="57">
        <v>7676.140348193001</v>
      </c>
      <c r="F215" s="57">
        <v>371.10868179999994</v>
      </c>
      <c r="G215" s="57">
        <v>491.86076578803483</v>
      </c>
      <c r="H215" s="58">
        <v>8.2916778744764219E-2</v>
      </c>
      <c r="I215" s="58">
        <v>0.32538199699976644</v>
      </c>
      <c r="J215" s="58">
        <v>9.4979372776299531E-2</v>
      </c>
    </row>
    <row r="216" spans="1:10" ht="11.25" customHeight="1" x14ac:dyDescent="0.2">
      <c r="A216" s="67">
        <v>44440</v>
      </c>
      <c r="B216" s="57">
        <v>0</v>
      </c>
      <c r="C216" s="57">
        <v>0</v>
      </c>
      <c r="D216" s="57">
        <v>7178.9938688000002</v>
      </c>
      <c r="E216" s="57">
        <v>7774.2529150293094</v>
      </c>
      <c r="F216" s="57">
        <v>375.85200639999999</v>
      </c>
      <c r="G216" s="57">
        <v>498.14748281880094</v>
      </c>
      <c r="H216" s="58">
        <v>8.2916778744764219E-2</v>
      </c>
      <c r="I216" s="58">
        <v>0.32538199699976622</v>
      </c>
      <c r="J216" s="58">
        <v>9.4979372776299531E-2</v>
      </c>
    </row>
    <row r="217" spans="1:10" ht="11.25" customHeight="1" x14ac:dyDescent="0.2">
      <c r="A217" s="67">
        <v>44470</v>
      </c>
      <c r="B217" s="57">
        <v>0</v>
      </c>
      <c r="C217" s="57">
        <v>0</v>
      </c>
      <c r="D217" s="57">
        <v>6868.3643264000002</v>
      </c>
      <c r="E217" s="57">
        <v>7437.8669715905407</v>
      </c>
      <c r="F217" s="57">
        <v>359.58917919999999</v>
      </c>
      <c r="G217" s="57">
        <v>476.59302442760287</v>
      </c>
      <c r="H217" s="58">
        <v>8.2916778744764219E-2</v>
      </c>
      <c r="I217" s="58">
        <v>0.32538199699976644</v>
      </c>
      <c r="J217" s="58">
        <v>9.4979372776299531E-2</v>
      </c>
    </row>
    <row r="218" spans="1:10" ht="11.25" customHeight="1" x14ac:dyDescent="0.2">
      <c r="A218" s="67">
        <v>44501</v>
      </c>
      <c r="B218" s="57">
        <v>0</v>
      </c>
      <c r="C218" s="57">
        <v>0</v>
      </c>
      <c r="D218" s="57">
        <v>6337.7055248000006</v>
      </c>
      <c r="E218" s="57">
        <v>6863.2076515493118</v>
      </c>
      <c r="F218" s="57">
        <v>331.80684939999998</v>
      </c>
      <c r="G218" s="57">
        <v>439.77082467597273</v>
      </c>
      <c r="H218" s="58">
        <v>8.2916778744764219E-2</v>
      </c>
      <c r="I218" s="58">
        <v>0.32538199699976644</v>
      </c>
      <c r="J218" s="58">
        <v>9.4979372776299531E-2</v>
      </c>
    </row>
    <row r="219" spans="1:10" ht="11.25" customHeight="1" x14ac:dyDescent="0.2">
      <c r="A219" s="67">
        <v>44531</v>
      </c>
      <c r="B219" s="57">
        <v>0</v>
      </c>
      <c r="C219" s="57">
        <v>0</v>
      </c>
      <c r="D219" s="57">
        <v>7122.9079792000011</v>
      </c>
      <c r="E219" s="57">
        <v>7713.516564130643</v>
      </c>
      <c r="F219" s="57">
        <v>372.91566260000002</v>
      </c>
      <c r="G219" s="57">
        <v>494.25570560927912</v>
      </c>
      <c r="H219" s="58">
        <v>8.2916778744764219E-2</v>
      </c>
      <c r="I219" s="58">
        <v>0.32538199699976644</v>
      </c>
      <c r="J219" s="58">
        <v>9.4979372776299531E-2</v>
      </c>
    </row>
    <row r="220" spans="1:10" ht="11.25" customHeight="1" x14ac:dyDescent="0.2">
      <c r="A220" s="67">
        <v>44562</v>
      </c>
      <c r="B220" s="57">
        <v>0</v>
      </c>
      <c r="C220" s="57">
        <v>0</v>
      </c>
      <c r="D220" s="57">
        <v>6816.5927360000005</v>
      </c>
      <c r="E220" s="57">
        <v>7381.8026476840796</v>
      </c>
      <c r="F220" s="57">
        <v>356.87870800000002</v>
      </c>
      <c r="G220" s="57">
        <v>473.00061469573649</v>
      </c>
      <c r="H220" s="58">
        <v>8.2916778744764219E-2</v>
      </c>
      <c r="I220" s="58">
        <v>0.32538199699976622</v>
      </c>
      <c r="J220" s="58">
        <v>9.4979372776299531E-2</v>
      </c>
    </row>
    <row r="221" spans="1:10" ht="11.25" customHeight="1" x14ac:dyDescent="0.2">
      <c r="A221" s="67">
        <v>44593</v>
      </c>
      <c r="B221" s="57">
        <v>0</v>
      </c>
      <c r="C221" s="57">
        <v>0</v>
      </c>
      <c r="D221" s="57">
        <v>6963.2789088000009</v>
      </c>
      <c r="E221" s="57">
        <v>7540.6515654190534</v>
      </c>
      <c r="F221" s="57">
        <v>364.55837639999999</v>
      </c>
      <c r="G221" s="57">
        <v>483.17910893602453</v>
      </c>
      <c r="H221" s="58">
        <v>8.2916778744764219E-2</v>
      </c>
      <c r="I221" s="58">
        <v>0.32538199699976644</v>
      </c>
      <c r="J221" s="58">
        <v>9.4979372776299531E-2</v>
      </c>
    </row>
    <row r="222" spans="1:10" ht="11.25" customHeight="1" x14ac:dyDescent="0.2">
      <c r="A222" s="67">
        <v>44621</v>
      </c>
      <c r="B222" s="57">
        <v>0</v>
      </c>
      <c r="C222" s="57">
        <v>0</v>
      </c>
      <c r="D222" s="57">
        <v>7869.281740800001</v>
      </c>
      <c r="E222" s="57">
        <v>8521.777233782128</v>
      </c>
      <c r="F222" s="57">
        <v>411.99162239999998</v>
      </c>
      <c r="G222" s="57">
        <v>546.04627924368572</v>
      </c>
      <c r="H222" s="58">
        <v>8.2916778744764219E-2</v>
      </c>
      <c r="I222" s="58">
        <v>0.32538199699976644</v>
      </c>
      <c r="J222" s="58">
        <v>9.4979372776299531E-2</v>
      </c>
    </row>
    <row r="223" spans="1:10" ht="11.25" customHeight="1" x14ac:dyDescent="0.2">
      <c r="A223" s="60" t="s">
        <v>22</v>
      </c>
      <c r="B223" s="57">
        <v>0</v>
      </c>
      <c r="C223" s="57">
        <v>0</v>
      </c>
      <c r="D223" s="57">
        <v>8659226.4616800081</v>
      </c>
      <c r="E223" s="57">
        <v>9484797.7045820002</v>
      </c>
      <c r="F223" s="57">
        <v>2401710.5784800006</v>
      </c>
      <c r="G223" s="57">
        <v>3183183.4983259914</v>
      </c>
      <c r="H223" s="58">
        <v>9.5340068371629672E-2</v>
      </c>
      <c r="I223" s="58">
        <v>0.32538180363954217</v>
      </c>
      <c r="J223" s="58">
        <v>0.14529005606967438</v>
      </c>
    </row>
    <row r="224" spans="1:10" ht="11.25" customHeight="1" x14ac:dyDescent="0.2">
      <c r="A224" s="61" t="s">
        <v>33</v>
      </c>
      <c r="B224" s="57">
        <v>0</v>
      </c>
      <c r="C224" s="57">
        <v>0</v>
      </c>
      <c r="D224" s="57">
        <v>440.19973000000005</v>
      </c>
      <c r="E224" s="57">
        <v>485.35867486573699</v>
      </c>
      <c r="F224" s="57">
        <v>178.29518000000002</v>
      </c>
      <c r="G224" s="57">
        <v>236.30922172383282</v>
      </c>
      <c r="H224" s="58">
        <v>0.10258739791988725</v>
      </c>
      <c r="I224" s="58">
        <v>0.32538199699976644</v>
      </c>
      <c r="J224" s="58">
        <v>0.16681299218706536</v>
      </c>
    </row>
    <row r="225" spans="1:10" ht="11.25" customHeight="1" x14ac:dyDescent="0.2">
      <c r="A225" s="62" t="s">
        <v>24</v>
      </c>
      <c r="B225" s="57">
        <v>0</v>
      </c>
      <c r="C225" s="57">
        <v>0</v>
      </c>
      <c r="D225" s="57">
        <v>440.19973000000005</v>
      </c>
      <c r="E225" s="57">
        <v>485.35867486573699</v>
      </c>
      <c r="F225" s="57">
        <v>178.29518000000002</v>
      </c>
      <c r="G225" s="57">
        <v>236.30922172383282</v>
      </c>
      <c r="H225" s="58">
        <v>0.10258739791988725</v>
      </c>
      <c r="I225" s="58">
        <v>0.32538199699976644</v>
      </c>
      <c r="J225" s="58">
        <v>0.16681299218706536</v>
      </c>
    </row>
    <row r="226" spans="1:10" ht="11.25" customHeight="1" x14ac:dyDescent="0.2">
      <c r="A226" s="63" t="s">
        <v>24</v>
      </c>
      <c r="B226" s="57">
        <v>0</v>
      </c>
      <c r="C226" s="57">
        <v>0</v>
      </c>
      <c r="D226" s="57">
        <v>440.19973000000005</v>
      </c>
      <c r="E226" s="57">
        <v>485.35867486573699</v>
      </c>
      <c r="F226" s="57">
        <v>178.29518000000002</v>
      </c>
      <c r="G226" s="57">
        <v>236.30922172383282</v>
      </c>
      <c r="H226" s="58">
        <v>0.10258739791988725</v>
      </c>
      <c r="I226" s="58">
        <v>0.32538199699976644</v>
      </c>
      <c r="J226" s="58">
        <v>0.16681299218706536</v>
      </c>
    </row>
    <row r="227" spans="1:10" ht="11.25" customHeight="1" x14ac:dyDescent="0.2">
      <c r="A227" s="64" t="s">
        <v>25</v>
      </c>
      <c r="B227" s="57">
        <v>0</v>
      </c>
      <c r="C227" s="57">
        <v>0</v>
      </c>
      <c r="D227" s="57">
        <v>440.19973000000005</v>
      </c>
      <c r="E227" s="57">
        <v>485.35867486573699</v>
      </c>
      <c r="F227" s="57">
        <v>178.29518000000002</v>
      </c>
      <c r="G227" s="57">
        <v>236.30922172383282</v>
      </c>
      <c r="H227" s="58">
        <v>0.10258739791988725</v>
      </c>
      <c r="I227" s="58">
        <v>0.32538199699976644</v>
      </c>
      <c r="J227" s="58">
        <v>0.16681299218706536</v>
      </c>
    </row>
    <row r="228" spans="1:10" ht="11.25" customHeight="1" x14ac:dyDescent="0.2">
      <c r="A228" s="65" t="s">
        <v>25</v>
      </c>
      <c r="B228" s="57">
        <v>0</v>
      </c>
      <c r="C228" s="57">
        <v>0</v>
      </c>
      <c r="D228" s="57">
        <v>440.19973000000005</v>
      </c>
      <c r="E228" s="57">
        <v>485.35867486573699</v>
      </c>
      <c r="F228" s="57">
        <v>178.29518000000002</v>
      </c>
      <c r="G228" s="57">
        <v>236.30922172383282</v>
      </c>
      <c r="H228" s="58">
        <v>0.10258739791988725</v>
      </c>
      <c r="I228" s="58">
        <v>0.32538199699976644</v>
      </c>
      <c r="J228" s="58">
        <v>0.16681299218706536</v>
      </c>
    </row>
    <row r="229" spans="1:10" ht="11.25" customHeight="1" x14ac:dyDescent="0.2">
      <c r="A229" s="66" t="s">
        <v>34</v>
      </c>
      <c r="B229" s="57">
        <v>0</v>
      </c>
      <c r="C229" s="57">
        <v>0</v>
      </c>
      <c r="D229" s="57">
        <v>374.24196000000001</v>
      </c>
      <c r="E229" s="57">
        <v>413.66823426623512</v>
      </c>
      <c r="F229" s="57">
        <v>170.84619000000004</v>
      </c>
      <c r="G229" s="57">
        <v>226.43646448200153</v>
      </c>
      <c r="H229" s="58">
        <v>0.10534968945287448</v>
      </c>
      <c r="I229" s="58">
        <v>0.32538199699976622</v>
      </c>
      <c r="J229" s="58">
        <v>0.17431409717535873</v>
      </c>
    </row>
    <row r="230" spans="1:10" ht="11.25" customHeight="1" x14ac:dyDescent="0.2">
      <c r="A230" s="67">
        <v>44287</v>
      </c>
      <c r="B230" s="57">
        <v>0</v>
      </c>
      <c r="C230" s="57">
        <v>0</v>
      </c>
      <c r="D230" s="57">
        <v>37.897919999999999</v>
      </c>
      <c r="E230" s="57">
        <v>41.890454102909892</v>
      </c>
      <c r="F230" s="57">
        <v>17.300879999999999</v>
      </c>
      <c r="G230" s="57">
        <v>22.930274884253315</v>
      </c>
      <c r="H230" s="58">
        <v>0.10534968945287471</v>
      </c>
      <c r="I230" s="58">
        <v>0.32538199699976622</v>
      </c>
      <c r="J230" s="58">
        <v>0.17431409717535895</v>
      </c>
    </row>
    <row r="231" spans="1:10" ht="11.25" customHeight="1" x14ac:dyDescent="0.2">
      <c r="A231" s="67">
        <v>44317</v>
      </c>
      <c r="B231" s="57">
        <v>0</v>
      </c>
      <c r="C231" s="57">
        <v>0</v>
      </c>
      <c r="D231" s="57">
        <v>37.897919999999999</v>
      </c>
      <c r="E231" s="57">
        <v>41.890454102909892</v>
      </c>
      <c r="F231" s="57">
        <v>17.300879999999999</v>
      </c>
      <c r="G231" s="57">
        <v>22.930274884253315</v>
      </c>
      <c r="H231" s="58">
        <v>0.10534968945287471</v>
      </c>
      <c r="I231" s="58">
        <v>0.32538199699976622</v>
      </c>
      <c r="J231" s="58">
        <v>0.17431409717535895</v>
      </c>
    </row>
    <row r="232" spans="1:10" ht="11.25" customHeight="1" x14ac:dyDescent="0.2">
      <c r="A232" s="67">
        <v>44378</v>
      </c>
      <c r="B232" s="57">
        <v>0</v>
      </c>
      <c r="C232" s="57">
        <v>0</v>
      </c>
      <c r="D232" s="57">
        <v>33.160679999999999</v>
      </c>
      <c r="E232" s="57">
        <v>36.654147340046158</v>
      </c>
      <c r="F232" s="57">
        <v>15.13827</v>
      </c>
      <c r="G232" s="57">
        <v>20.063990523721653</v>
      </c>
      <c r="H232" s="58">
        <v>0.10534968945287493</v>
      </c>
      <c r="I232" s="58">
        <v>0.32538199699976644</v>
      </c>
      <c r="J232" s="58">
        <v>0.17431409717535917</v>
      </c>
    </row>
    <row r="233" spans="1:10" ht="11.25" customHeight="1" x14ac:dyDescent="0.2">
      <c r="A233" s="67">
        <v>44409</v>
      </c>
      <c r="B233" s="57">
        <v>0</v>
      </c>
      <c r="C233" s="57">
        <v>0</v>
      </c>
      <c r="D233" s="57">
        <v>37.897919999999999</v>
      </c>
      <c r="E233" s="57">
        <v>41.890454102909892</v>
      </c>
      <c r="F233" s="57">
        <v>17.300879999999999</v>
      </c>
      <c r="G233" s="57">
        <v>22.930274884253315</v>
      </c>
      <c r="H233" s="58">
        <v>0.10534968945287471</v>
      </c>
      <c r="I233" s="58">
        <v>0.32538199699976622</v>
      </c>
      <c r="J233" s="58">
        <v>0.17431409717535895</v>
      </c>
    </row>
    <row r="234" spans="1:10" ht="11.25" customHeight="1" x14ac:dyDescent="0.2">
      <c r="A234" s="67">
        <v>44440</v>
      </c>
      <c r="B234" s="57">
        <v>0</v>
      </c>
      <c r="C234" s="57">
        <v>0</v>
      </c>
      <c r="D234" s="57">
        <v>37.897919999999999</v>
      </c>
      <c r="E234" s="57">
        <v>41.890454102909892</v>
      </c>
      <c r="F234" s="57">
        <v>17.300879999999999</v>
      </c>
      <c r="G234" s="57">
        <v>22.930274884253315</v>
      </c>
      <c r="H234" s="58">
        <v>0.10534968945287471</v>
      </c>
      <c r="I234" s="58">
        <v>0.32538199699976622</v>
      </c>
      <c r="J234" s="58">
        <v>0.17431409717535895</v>
      </c>
    </row>
    <row r="235" spans="1:10" ht="11.25" customHeight="1" x14ac:dyDescent="0.2">
      <c r="A235" s="67">
        <v>44470</v>
      </c>
      <c r="B235" s="57">
        <v>0</v>
      </c>
      <c r="C235" s="57">
        <v>0</v>
      </c>
      <c r="D235" s="57">
        <v>37.897919999999999</v>
      </c>
      <c r="E235" s="57">
        <v>41.890454102909892</v>
      </c>
      <c r="F235" s="57">
        <v>17.300879999999999</v>
      </c>
      <c r="G235" s="57">
        <v>22.930274884253315</v>
      </c>
      <c r="H235" s="58">
        <v>0.10534968945287471</v>
      </c>
      <c r="I235" s="58">
        <v>0.32538199699976622</v>
      </c>
      <c r="J235" s="58">
        <v>0.17431409717535895</v>
      </c>
    </row>
    <row r="236" spans="1:10" ht="11.25" customHeight="1" x14ac:dyDescent="0.2">
      <c r="A236" s="67">
        <v>44501</v>
      </c>
      <c r="B236" s="57">
        <v>0</v>
      </c>
      <c r="C236" s="57">
        <v>0</v>
      </c>
      <c r="D236" s="57">
        <v>37.897919999999999</v>
      </c>
      <c r="E236" s="57">
        <v>41.890454102909892</v>
      </c>
      <c r="F236" s="57">
        <v>17.300879999999999</v>
      </c>
      <c r="G236" s="57">
        <v>22.930274884253315</v>
      </c>
      <c r="H236" s="58">
        <v>0.10534968945287471</v>
      </c>
      <c r="I236" s="58">
        <v>0.32538199699976622</v>
      </c>
      <c r="J236" s="58">
        <v>0.17431409717535895</v>
      </c>
    </row>
    <row r="237" spans="1:10" ht="11.25" customHeight="1" x14ac:dyDescent="0.2">
      <c r="A237" s="67">
        <v>44531</v>
      </c>
      <c r="B237" s="57">
        <v>0</v>
      </c>
      <c r="C237" s="57">
        <v>0</v>
      </c>
      <c r="D237" s="57">
        <v>37.897919999999999</v>
      </c>
      <c r="E237" s="57">
        <v>41.890454102909892</v>
      </c>
      <c r="F237" s="57">
        <v>17.300879999999999</v>
      </c>
      <c r="G237" s="57">
        <v>22.930274884253315</v>
      </c>
      <c r="H237" s="58">
        <v>0.10534968945287471</v>
      </c>
      <c r="I237" s="58">
        <v>0.32538199699976622</v>
      </c>
      <c r="J237" s="58">
        <v>0.17431409717535895</v>
      </c>
    </row>
    <row r="238" spans="1:10" ht="11.25" customHeight="1" x14ac:dyDescent="0.2">
      <c r="A238" s="67">
        <v>44562</v>
      </c>
      <c r="B238" s="57">
        <v>0</v>
      </c>
      <c r="C238" s="57">
        <v>0</v>
      </c>
      <c r="D238" s="57">
        <v>37.897919999999999</v>
      </c>
      <c r="E238" s="57">
        <v>41.890454102909892</v>
      </c>
      <c r="F238" s="57">
        <v>17.300879999999999</v>
      </c>
      <c r="G238" s="57">
        <v>22.930274884253315</v>
      </c>
      <c r="H238" s="58">
        <v>0.10534968945287471</v>
      </c>
      <c r="I238" s="58">
        <v>0.32538199699976622</v>
      </c>
      <c r="J238" s="58">
        <v>0.17431409717535895</v>
      </c>
    </row>
    <row r="239" spans="1:10" ht="11.25" customHeight="1" x14ac:dyDescent="0.2">
      <c r="A239" s="67">
        <v>44593</v>
      </c>
      <c r="B239" s="57">
        <v>0</v>
      </c>
      <c r="C239" s="57">
        <v>0</v>
      </c>
      <c r="D239" s="57">
        <v>37.897919999999999</v>
      </c>
      <c r="E239" s="57">
        <v>41.890454102909892</v>
      </c>
      <c r="F239" s="57">
        <v>17.300879999999999</v>
      </c>
      <c r="G239" s="57">
        <v>22.930274884253315</v>
      </c>
      <c r="H239" s="58">
        <v>0.10534968945287471</v>
      </c>
      <c r="I239" s="58">
        <v>0.32538199699976622</v>
      </c>
      <c r="J239" s="58">
        <v>0.17431409717535895</v>
      </c>
    </row>
    <row r="240" spans="1:10" ht="11.25" customHeight="1" x14ac:dyDescent="0.2">
      <c r="A240" s="66" t="s">
        <v>39</v>
      </c>
      <c r="B240" s="57">
        <v>0</v>
      </c>
      <c r="C240" s="57">
        <v>0</v>
      </c>
      <c r="D240" s="57">
        <v>65.957770000000011</v>
      </c>
      <c r="E240" s="57">
        <v>71.690440599501898</v>
      </c>
      <c r="F240" s="57">
        <v>7.4489899999999993</v>
      </c>
      <c r="G240" s="57">
        <v>9.872757241831291</v>
      </c>
      <c r="H240" s="58">
        <v>8.6914257402909145E-2</v>
      </c>
      <c r="I240" s="58">
        <v>0.32538199699976667</v>
      </c>
      <c r="J240" s="58">
        <v>0.11111289806733304</v>
      </c>
    </row>
    <row r="241" spans="1:10" ht="11.25" customHeight="1" x14ac:dyDescent="0.2">
      <c r="A241" s="67">
        <v>44348</v>
      </c>
      <c r="B241" s="57">
        <v>0</v>
      </c>
      <c r="C241" s="57">
        <v>0</v>
      </c>
      <c r="D241" s="57">
        <v>59.574760000000005</v>
      </c>
      <c r="E241" s="57">
        <v>64.752656025356558</v>
      </c>
      <c r="F241" s="57">
        <v>6.7281199999999997</v>
      </c>
      <c r="G241" s="57">
        <v>8.9173291216540687</v>
      </c>
      <c r="H241" s="58">
        <v>8.6914257402909367E-2</v>
      </c>
      <c r="I241" s="58">
        <v>0.32538199699976644</v>
      </c>
      <c r="J241" s="58">
        <v>0.11111289806733304</v>
      </c>
    </row>
    <row r="242" spans="1:10" ht="11.25" customHeight="1" x14ac:dyDescent="0.2">
      <c r="A242" s="67">
        <v>44378</v>
      </c>
      <c r="B242" s="57">
        <v>0</v>
      </c>
      <c r="C242" s="57">
        <v>0</v>
      </c>
      <c r="D242" s="57">
        <v>6.3830100000000005</v>
      </c>
      <c r="E242" s="57">
        <v>6.9377845741453452</v>
      </c>
      <c r="F242" s="57">
        <v>0.72087000000000001</v>
      </c>
      <c r="G242" s="57">
        <v>0.95542812017722156</v>
      </c>
      <c r="H242" s="58">
        <v>8.6914257402909367E-2</v>
      </c>
      <c r="I242" s="58">
        <v>0.32538199699976622</v>
      </c>
      <c r="J242" s="58">
        <v>0.11111289806733304</v>
      </c>
    </row>
    <row r="243" spans="1:10" ht="11.25" customHeight="1" x14ac:dyDescent="0.2">
      <c r="A243" s="61" t="s">
        <v>23</v>
      </c>
      <c r="B243" s="57">
        <v>0</v>
      </c>
      <c r="C243" s="57">
        <v>0</v>
      </c>
      <c r="D243" s="57">
        <v>8658786.2619500086</v>
      </c>
      <c r="E243" s="57">
        <v>9484312.3459071349</v>
      </c>
      <c r="F243" s="57">
        <v>2401532.2833000002</v>
      </c>
      <c r="G243" s="57">
        <v>3182947.1891042679</v>
      </c>
      <c r="H243" s="58">
        <v>9.5339699928245647E-2</v>
      </c>
      <c r="I243" s="58">
        <v>0.32538180362518676</v>
      </c>
      <c r="J243" s="58">
        <v>0.14528885250339552</v>
      </c>
    </row>
    <row r="244" spans="1:10" ht="11.25" customHeight="1" x14ac:dyDescent="0.2">
      <c r="A244" s="62" t="s">
        <v>24</v>
      </c>
      <c r="B244" s="57">
        <v>0</v>
      </c>
      <c r="C244" s="57">
        <v>0</v>
      </c>
      <c r="D244" s="57">
        <v>8658786.2619500086</v>
      </c>
      <c r="E244" s="57">
        <v>9484312.3459071349</v>
      </c>
      <c r="F244" s="57">
        <v>2401532.2833000002</v>
      </c>
      <c r="G244" s="57">
        <v>3182947.1891042679</v>
      </c>
      <c r="H244" s="58">
        <v>9.5339699928245647E-2</v>
      </c>
      <c r="I244" s="58">
        <v>0.32538180362518676</v>
      </c>
      <c r="J244" s="58">
        <v>0.14528885250339552</v>
      </c>
    </row>
    <row r="245" spans="1:10" ht="11.25" customHeight="1" x14ac:dyDescent="0.2">
      <c r="A245" s="63" t="s">
        <v>24</v>
      </c>
      <c r="B245" s="57">
        <v>0</v>
      </c>
      <c r="C245" s="57">
        <v>0</v>
      </c>
      <c r="D245" s="57">
        <v>8566584.0255800001</v>
      </c>
      <c r="E245" s="57">
        <v>9386561.9706320092</v>
      </c>
      <c r="F245" s="57">
        <v>2373197.9933899995</v>
      </c>
      <c r="G245" s="57">
        <v>3145393.8957550768</v>
      </c>
      <c r="H245" s="58">
        <v>9.5718193226558279E-2</v>
      </c>
      <c r="I245" s="58">
        <v>0.32538199699976644</v>
      </c>
      <c r="J245" s="58">
        <v>0.14553981465592281</v>
      </c>
    </row>
    <row r="246" spans="1:10" ht="11.25" customHeight="1" x14ac:dyDescent="0.2">
      <c r="A246" s="64" t="s">
        <v>25</v>
      </c>
      <c r="B246" s="57">
        <v>0</v>
      </c>
      <c r="C246" s="57">
        <v>0</v>
      </c>
      <c r="D246" s="57">
        <v>8566584.0255800001</v>
      </c>
      <c r="E246" s="57">
        <v>9386561.9706320092</v>
      </c>
      <c r="F246" s="57">
        <v>2373197.9933899995</v>
      </c>
      <c r="G246" s="57">
        <v>3145393.8957550768</v>
      </c>
      <c r="H246" s="58">
        <v>9.5718193226558279E-2</v>
      </c>
      <c r="I246" s="58">
        <v>0.32538199699976644</v>
      </c>
      <c r="J246" s="58">
        <v>0.14553981465592281</v>
      </c>
    </row>
    <row r="247" spans="1:10" ht="11.25" customHeight="1" x14ac:dyDescent="0.2">
      <c r="A247" s="65" t="s">
        <v>25</v>
      </c>
      <c r="B247" s="57">
        <v>0</v>
      </c>
      <c r="C247" s="57">
        <v>0</v>
      </c>
      <c r="D247" s="57">
        <v>8566584.0255800001</v>
      </c>
      <c r="E247" s="57">
        <v>9386561.9706320092</v>
      </c>
      <c r="F247" s="57">
        <v>2373197.9933899995</v>
      </c>
      <c r="G247" s="57">
        <v>3145393.8957550768</v>
      </c>
      <c r="H247" s="58">
        <v>9.5718193226558279E-2</v>
      </c>
      <c r="I247" s="58">
        <v>0.32538199699976644</v>
      </c>
      <c r="J247" s="58">
        <v>0.14553981465592281</v>
      </c>
    </row>
    <row r="248" spans="1:10" ht="11.25" customHeight="1" x14ac:dyDescent="0.2">
      <c r="A248" s="66" t="s">
        <v>25</v>
      </c>
      <c r="B248" s="57">
        <v>0</v>
      </c>
      <c r="C248" s="57">
        <v>0</v>
      </c>
      <c r="D248" s="57">
        <v>8566584.0255800001</v>
      </c>
      <c r="E248" s="57">
        <v>9386561.9706320092</v>
      </c>
      <c r="F248" s="57">
        <v>2373197.9933899995</v>
      </c>
      <c r="G248" s="57">
        <v>3145393.8957550768</v>
      </c>
      <c r="H248" s="58">
        <v>9.5718193226558279E-2</v>
      </c>
      <c r="I248" s="58">
        <v>0.32538199699976644</v>
      </c>
      <c r="J248" s="58">
        <v>0.14553981465592281</v>
      </c>
    </row>
    <row r="249" spans="1:10" ht="11.25" customHeight="1" x14ac:dyDescent="0.2">
      <c r="A249" s="67">
        <v>44287</v>
      </c>
      <c r="B249" s="57">
        <v>0</v>
      </c>
      <c r="C249" s="57">
        <v>0</v>
      </c>
      <c r="D249" s="57">
        <v>838176.18277999992</v>
      </c>
      <c r="E249" s="57">
        <v>918404.89260123461</v>
      </c>
      <c r="F249" s="57">
        <v>232199.67598999999</v>
      </c>
      <c r="G249" s="57">
        <v>307753.27026632486</v>
      </c>
      <c r="H249" s="58">
        <v>9.5718193226557835E-2</v>
      </c>
      <c r="I249" s="58">
        <v>0.32538199699976622</v>
      </c>
      <c r="J249" s="58">
        <v>0.14553981465592258</v>
      </c>
    </row>
    <row r="250" spans="1:10" ht="11.25" customHeight="1" x14ac:dyDescent="0.2">
      <c r="A250" s="67">
        <v>44317</v>
      </c>
      <c r="B250" s="57">
        <v>0</v>
      </c>
      <c r="C250" s="57">
        <v>0</v>
      </c>
      <c r="D250" s="57">
        <v>651152.57455999998</v>
      </c>
      <c r="E250" s="57">
        <v>713479.72251170466</v>
      </c>
      <c r="F250" s="57">
        <v>180388.58648</v>
      </c>
      <c r="G250" s="57">
        <v>239083.78498482748</v>
      </c>
      <c r="H250" s="58">
        <v>9.5718193226557835E-2</v>
      </c>
      <c r="I250" s="58">
        <v>0.32538199699976644</v>
      </c>
      <c r="J250" s="58">
        <v>0.14553981465592258</v>
      </c>
    </row>
    <row r="251" spans="1:10" ht="11.25" customHeight="1" x14ac:dyDescent="0.2">
      <c r="A251" s="67">
        <v>44348</v>
      </c>
      <c r="B251" s="57">
        <v>0</v>
      </c>
      <c r="C251" s="57">
        <v>0</v>
      </c>
      <c r="D251" s="57">
        <v>696016.07030000014</v>
      </c>
      <c r="E251" s="57">
        <v>762637.47100576479</v>
      </c>
      <c r="F251" s="57">
        <v>192817.10615000001</v>
      </c>
      <c r="G251" s="57">
        <v>255556.32120480292</v>
      </c>
      <c r="H251" s="58">
        <v>9.5718193226557613E-2</v>
      </c>
      <c r="I251" s="58">
        <v>0.32538199699976622</v>
      </c>
      <c r="J251" s="58">
        <v>0.14553981465592214</v>
      </c>
    </row>
    <row r="252" spans="1:10" ht="11.25" customHeight="1" x14ac:dyDescent="0.2">
      <c r="A252" s="67">
        <v>44378</v>
      </c>
      <c r="B252" s="57">
        <v>0</v>
      </c>
      <c r="C252" s="57">
        <v>0</v>
      </c>
      <c r="D252" s="57">
        <v>591645.96966000006</v>
      </c>
      <c r="E252" s="57">
        <v>648277.25290562992</v>
      </c>
      <c r="F252" s="57">
        <v>163903.49103</v>
      </c>
      <c r="G252" s="57">
        <v>217234.73625657466</v>
      </c>
      <c r="H252" s="58">
        <v>9.5718193226557613E-2</v>
      </c>
      <c r="I252" s="58">
        <v>0.32538199699976622</v>
      </c>
      <c r="J252" s="58">
        <v>0.14553981465592192</v>
      </c>
    </row>
    <row r="253" spans="1:10" ht="11.25" customHeight="1" x14ac:dyDescent="0.2">
      <c r="A253" s="67">
        <v>44409</v>
      </c>
      <c r="B253" s="57">
        <v>0</v>
      </c>
      <c r="C253" s="57">
        <v>0</v>
      </c>
      <c r="D253" s="57">
        <v>630444.74444000004</v>
      </c>
      <c r="E253" s="57">
        <v>690789.77630697575</v>
      </c>
      <c r="F253" s="57">
        <v>174651.90302</v>
      </c>
      <c r="G253" s="57">
        <v>231480.48800445712</v>
      </c>
      <c r="H253" s="58">
        <v>9.5718193226557613E-2</v>
      </c>
      <c r="I253" s="58">
        <v>0.32538199699976644</v>
      </c>
      <c r="J253" s="58">
        <v>0.14553981465592236</v>
      </c>
    </row>
    <row r="254" spans="1:10" ht="11.25" customHeight="1" x14ac:dyDescent="0.2">
      <c r="A254" s="67">
        <v>44440</v>
      </c>
      <c r="B254" s="57">
        <v>0</v>
      </c>
      <c r="C254" s="57">
        <v>0</v>
      </c>
      <c r="D254" s="57">
        <v>651404.11476000003</v>
      </c>
      <c r="E254" s="57">
        <v>713755.33968517254</v>
      </c>
      <c r="F254" s="57">
        <v>180458.27057999998</v>
      </c>
      <c r="G254" s="57">
        <v>239176.14303644458</v>
      </c>
      <c r="H254" s="58">
        <v>9.5718193226557835E-2</v>
      </c>
      <c r="I254" s="58">
        <v>0.32538199699976644</v>
      </c>
      <c r="J254" s="58">
        <v>0.14553981465592236</v>
      </c>
    </row>
    <row r="255" spans="1:10" ht="11.25" customHeight="1" x14ac:dyDescent="0.2">
      <c r="A255" s="67">
        <v>44470</v>
      </c>
      <c r="B255" s="57">
        <v>0</v>
      </c>
      <c r="C255" s="57">
        <v>0</v>
      </c>
      <c r="D255" s="57">
        <v>697206.98303999996</v>
      </c>
      <c r="E255" s="57">
        <v>763942.37576152803</v>
      </c>
      <c r="F255" s="57">
        <v>193147.02432000003</v>
      </c>
      <c r="G255" s="57">
        <v>255993.58880780404</v>
      </c>
      <c r="H255" s="58">
        <v>9.5718193226557835E-2</v>
      </c>
      <c r="I255" s="58">
        <v>0.32538199699976622</v>
      </c>
      <c r="J255" s="58">
        <v>0.14553981465592236</v>
      </c>
    </row>
    <row r="256" spans="1:10" ht="11.25" customHeight="1" x14ac:dyDescent="0.2">
      <c r="A256" s="67">
        <v>44501</v>
      </c>
      <c r="B256" s="57">
        <v>0</v>
      </c>
      <c r="C256" s="57">
        <v>0</v>
      </c>
      <c r="D256" s="57">
        <v>652719.93021999998</v>
      </c>
      <c r="E256" s="57">
        <v>715197.10262362321</v>
      </c>
      <c r="F256" s="57">
        <v>180822.79051000002</v>
      </c>
      <c r="G256" s="57">
        <v>239659.2711892142</v>
      </c>
      <c r="H256" s="58">
        <v>9.5718193226557835E-2</v>
      </c>
      <c r="I256" s="58">
        <v>0.32538199699976622</v>
      </c>
      <c r="J256" s="58">
        <v>0.14553981465592236</v>
      </c>
    </row>
    <row r="257" spans="1:10" ht="11.25" customHeight="1" x14ac:dyDescent="0.2">
      <c r="A257" s="67">
        <v>44531</v>
      </c>
      <c r="B257" s="57">
        <v>0</v>
      </c>
      <c r="C257" s="57">
        <v>0</v>
      </c>
      <c r="D257" s="57">
        <v>705369.02883999993</v>
      </c>
      <c r="E257" s="57">
        <v>772885.67783853645</v>
      </c>
      <c r="F257" s="57">
        <v>195408.15321999998</v>
      </c>
      <c r="G257" s="57">
        <v>258990.44834475993</v>
      </c>
      <c r="H257" s="58">
        <v>9.5718193226557835E-2</v>
      </c>
      <c r="I257" s="58">
        <v>0.32538199699976644</v>
      </c>
      <c r="J257" s="58">
        <v>0.14553981465592236</v>
      </c>
    </row>
    <row r="258" spans="1:10" ht="11.25" customHeight="1" x14ac:dyDescent="0.2">
      <c r="A258" s="67">
        <v>44562</v>
      </c>
      <c r="B258" s="57">
        <v>0</v>
      </c>
      <c r="C258" s="57">
        <v>0</v>
      </c>
      <c r="D258" s="57">
        <v>808973.23294000013</v>
      </c>
      <c r="E258" s="57">
        <v>886406.68916566402</v>
      </c>
      <c r="F258" s="57">
        <v>224109.59226999999</v>
      </c>
      <c r="G258" s="57">
        <v>297030.81894961605</v>
      </c>
      <c r="H258" s="58">
        <v>9.5718193226557613E-2</v>
      </c>
      <c r="I258" s="58">
        <v>0.32538199699976667</v>
      </c>
      <c r="J258" s="58">
        <v>0.14553981465592214</v>
      </c>
    </row>
    <row r="259" spans="1:10" ht="11.25" customHeight="1" x14ac:dyDescent="0.2">
      <c r="A259" s="67">
        <v>44593</v>
      </c>
      <c r="B259" s="57">
        <v>0</v>
      </c>
      <c r="C259" s="57">
        <v>0</v>
      </c>
      <c r="D259" s="57">
        <v>828929.04460000002</v>
      </c>
      <c r="E259" s="57">
        <v>908272.63506212877</v>
      </c>
      <c r="F259" s="57">
        <v>229637.9443</v>
      </c>
      <c r="G259" s="57">
        <v>304357.99720325507</v>
      </c>
      <c r="H259" s="58">
        <v>9.5718193226557835E-2</v>
      </c>
      <c r="I259" s="58">
        <v>0.32538199699976622</v>
      </c>
      <c r="J259" s="58">
        <v>0.14553981465592236</v>
      </c>
    </row>
    <row r="260" spans="1:10" ht="11.25" customHeight="1" x14ac:dyDescent="0.2">
      <c r="A260" s="67">
        <v>44621</v>
      </c>
      <c r="B260" s="57">
        <v>0</v>
      </c>
      <c r="C260" s="57">
        <v>0</v>
      </c>
      <c r="D260" s="57">
        <v>814546.14944000007</v>
      </c>
      <c r="E260" s="57">
        <v>892513.03516404657</v>
      </c>
      <c r="F260" s="57">
        <v>225653.45551999999</v>
      </c>
      <c r="G260" s="57">
        <v>299077.02750699554</v>
      </c>
      <c r="H260" s="58">
        <v>9.5718193226557835E-2</v>
      </c>
      <c r="I260" s="58">
        <v>0.32538199699976644</v>
      </c>
      <c r="J260" s="58">
        <v>0.14553981465592236</v>
      </c>
    </row>
    <row r="261" spans="1:10" ht="11.25" customHeight="1" x14ac:dyDescent="0.2">
      <c r="A261" s="63" t="s">
        <v>29</v>
      </c>
      <c r="B261" s="57">
        <v>0</v>
      </c>
      <c r="C261" s="57">
        <v>0</v>
      </c>
      <c r="D261" s="57">
        <v>10558.5744</v>
      </c>
      <c r="E261" s="57">
        <v>11193.797235819773</v>
      </c>
      <c r="F261" s="57">
        <v>3244.5779999999995</v>
      </c>
      <c r="G261" s="57">
        <v>4300.3819689176744</v>
      </c>
      <c r="H261" s="58">
        <v>6.0161799477377764E-2</v>
      </c>
      <c r="I261" s="58">
        <v>0.32540563639329223</v>
      </c>
      <c r="J261" s="58">
        <v>0.1225101886680211</v>
      </c>
    </row>
    <row r="262" spans="1:10" ht="11.25" customHeight="1" x14ac:dyDescent="0.2">
      <c r="A262" s="64" t="s">
        <v>25</v>
      </c>
      <c r="B262" s="57">
        <v>0</v>
      </c>
      <c r="C262" s="57">
        <v>0</v>
      </c>
      <c r="D262" s="57">
        <v>10558.5744</v>
      </c>
      <c r="E262" s="57">
        <v>11193.797235819773</v>
      </c>
      <c r="F262" s="57">
        <v>3244.5779999999995</v>
      </c>
      <c r="G262" s="57">
        <v>4300.3819689176744</v>
      </c>
      <c r="H262" s="58">
        <v>6.0161799477377764E-2</v>
      </c>
      <c r="I262" s="58">
        <v>0.32540563639329223</v>
      </c>
      <c r="J262" s="58">
        <v>0.1225101886680211</v>
      </c>
    </row>
    <row r="263" spans="1:10" ht="11.25" customHeight="1" x14ac:dyDescent="0.2">
      <c r="A263" s="65" t="s">
        <v>25</v>
      </c>
      <c r="B263" s="57">
        <v>0</v>
      </c>
      <c r="C263" s="57">
        <v>0</v>
      </c>
      <c r="D263" s="57">
        <v>10558.5744</v>
      </c>
      <c r="E263" s="57">
        <v>11193.797235819773</v>
      </c>
      <c r="F263" s="57">
        <v>3244.5779999999995</v>
      </c>
      <c r="G263" s="57">
        <v>4300.3819689176744</v>
      </c>
      <c r="H263" s="58">
        <v>6.0161799477377764E-2</v>
      </c>
      <c r="I263" s="58">
        <v>0.32540563639329223</v>
      </c>
      <c r="J263" s="58">
        <v>0.1225101886680211</v>
      </c>
    </row>
    <row r="264" spans="1:10" ht="11.25" customHeight="1" x14ac:dyDescent="0.2">
      <c r="A264" s="66" t="s">
        <v>25</v>
      </c>
      <c r="B264" s="57">
        <v>0</v>
      </c>
      <c r="C264" s="57">
        <v>0</v>
      </c>
      <c r="D264" s="57">
        <v>10558.5744</v>
      </c>
      <c r="E264" s="57">
        <v>11193.797235819773</v>
      </c>
      <c r="F264" s="57">
        <v>3244.5779999999995</v>
      </c>
      <c r="G264" s="57">
        <v>4300.3819689176744</v>
      </c>
      <c r="H264" s="58">
        <v>6.0161799477377764E-2</v>
      </c>
      <c r="I264" s="58">
        <v>0.32540563639329223</v>
      </c>
      <c r="J264" s="58">
        <v>0.1225101886680211</v>
      </c>
    </row>
    <row r="265" spans="1:10" ht="11.25" customHeight="1" x14ac:dyDescent="0.2">
      <c r="A265" s="67">
        <v>44287</v>
      </c>
      <c r="B265" s="57">
        <v>0</v>
      </c>
      <c r="C265" s="57">
        <v>0</v>
      </c>
      <c r="D265" s="57">
        <v>533.67600000000004</v>
      </c>
      <c r="E265" s="57">
        <v>565.78290849788891</v>
      </c>
      <c r="F265" s="57">
        <v>163.99499999999998</v>
      </c>
      <c r="G265" s="57">
        <v>217.3598973403179</v>
      </c>
      <c r="H265" s="58">
        <v>6.016179947737732E-2</v>
      </c>
      <c r="I265" s="58">
        <v>0.32540563639329201</v>
      </c>
      <c r="J265" s="58">
        <v>0.12251018866802088</v>
      </c>
    </row>
    <row r="266" spans="1:10" ht="11.25" customHeight="1" x14ac:dyDescent="0.2">
      <c r="A266" s="67">
        <v>44317</v>
      </c>
      <c r="B266" s="57">
        <v>0</v>
      </c>
      <c r="C266" s="57">
        <v>0</v>
      </c>
      <c r="D266" s="57">
        <v>582.9384</v>
      </c>
      <c r="E266" s="57">
        <v>618.00902312846324</v>
      </c>
      <c r="F266" s="57">
        <v>179.13299999999998</v>
      </c>
      <c r="G266" s="57">
        <v>237.42388786403956</v>
      </c>
      <c r="H266" s="58">
        <v>6.0161799477377542E-2</v>
      </c>
      <c r="I266" s="58">
        <v>0.32540563639329201</v>
      </c>
      <c r="J266" s="58">
        <v>0.12251018866802088</v>
      </c>
    </row>
    <row r="267" spans="1:10" ht="11.25" customHeight="1" x14ac:dyDescent="0.2">
      <c r="A267" s="67">
        <v>44348</v>
      </c>
      <c r="B267" s="57">
        <v>0</v>
      </c>
      <c r="C267" s="57">
        <v>0</v>
      </c>
      <c r="D267" s="57">
        <v>607.56960000000004</v>
      </c>
      <c r="E267" s="57">
        <v>644.12208044375052</v>
      </c>
      <c r="F267" s="57">
        <v>186.702</v>
      </c>
      <c r="G267" s="57">
        <v>247.45588312590041</v>
      </c>
      <c r="H267" s="58">
        <v>6.0161799477377542E-2</v>
      </c>
      <c r="I267" s="58">
        <v>0.32540563639329201</v>
      </c>
      <c r="J267" s="58">
        <v>0.12251018866802088</v>
      </c>
    </row>
    <row r="268" spans="1:10" ht="11.25" customHeight="1" x14ac:dyDescent="0.2">
      <c r="A268" s="67">
        <v>44378</v>
      </c>
      <c r="B268" s="57">
        <v>0</v>
      </c>
      <c r="C268" s="57">
        <v>0</v>
      </c>
      <c r="D268" s="57">
        <v>623.99039999999991</v>
      </c>
      <c r="E268" s="57">
        <v>661.53078532060852</v>
      </c>
      <c r="F268" s="57">
        <v>191.74799999999996</v>
      </c>
      <c r="G268" s="57">
        <v>254.14387996714092</v>
      </c>
      <c r="H268" s="58">
        <v>6.0161799477377542E-2</v>
      </c>
      <c r="I268" s="58">
        <v>0.32540563639329201</v>
      </c>
      <c r="J268" s="58">
        <v>0.1225101886680211</v>
      </c>
    </row>
    <row r="269" spans="1:10" ht="11.25" customHeight="1" x14ac:dyDescent="0.2">
      <c r="A269" s="67">
        <v>44409</v>
      </c>
      <c r="B269" s="57">
        <v>0</v>
      </c>
      <c r="C269" s="57">
        <v>0</v>
      </c>
      <c r="D269" s="57">
        <v>632.20080000000007</v>
      </c>
      <c r="E269" s="57">
        <v>670.23513775903768</v>
      </c>
      <c r="F269" s="57">
        <v>194.27099999999999</v>
      </c>
      <c r="G269" s="57">
        <v>257.48787838776121</v>
      </c>
      <c r="H269" s="58">
        <v>6.0161799477377542E-2</v>
      </c>
      <c r="I269" s="58">
        <v>0.32540563639329201</v>
      </c>
      <c r="J269" s="58">
        <v>0.1225101886680211</v>
      </c>
    </row>
    <row r="270" spans="1:10" ht="11.25" customHeight="1" x14ac:dyDescent="0.2">
      <c r="A270" s="67">
        <v>44440</v>
      </c>
      <c r="B270" s="57">
        <v>0</v>
      </c>
      <c r="C270" s="57">
        <v>0</v>
      </c>
      <c r="D270" s="57">
        <v>640.41120000000001</v>
      </c>
      <c r="E270" s="57">
        <v>678.93949019746663</v>
      </c>
      <c r="F270" s="57">
        <v>196.79399999999998</v>
      </c>
      <c r="G270" s="57">
        <v>260.83187680838148</v>
      </c>
      <c r="H270" s="58">
        <v>6.016179947737732E-2</v>
      </c>
      <c r="I270" s="58">
        <v>0.32540563639329201</v>
      </c>
      <c r="J270" s="58">
        <v>0.12251018866802088</v>
      </c>
    </row>
    <row r="271" spans="1:10" ht="11.25" customHeight="1" x14ac:dyDescent="0.2">
      <c r="A271" s="67">
        <v>44470</v>
      </c>
      <c r="B271" s="57">
        <v>0</v>
      </c>
      <c r="C271" s="57">
        <v>0</v>
      </c>
      <c r="D271" s="57">
        <v>665.04240000000004</v>
      </c>
      <c r="E271" s="57">
        <v>705.0525475127539</v>
      </c>
      <c r="F271" s="57">
        <v>204.363</v>
      </c>
      <c r="G271" s="57">
        <v>270.86387207024234</v>
      </c>
      <c r="H271" s="58">
        <v>6.0161799477377542E-2</v>
      </c>
      <c r="I271" s="58">
        <v>0.32540563639329201</v>
      </c>
      <c r="J271" s="58">
        <v>0.12251018866802088</v>
      </c>
    </row>
    <row r="272" spans="1:10" ht="11.25" customHeight="1" x14ac:dyDescent="0.2">
      <c r="A272" s="67">
        <v>44501</v>
      </c>
      <c r="B272" s="57">
        <v>0</v>
      </c>
      <c r="C272" s="57">
        <v>0</v>
      </c>
      <c r="D272" s="57">
        <v>722.51520000000005</v>
      </c>
      <c r="E272" s="57">
        <v>765.98301458175729</v>
      </c>
      <c r="F272" s="57">
        <v>222.024</v>
      </c>
      <c r="G272" s="57">
        <v>294.27186101458426</v>
      </c>
      <c r="H272" s="58">
        <v>6.016179947737732E-2</v>
      </c>
      <c r="I272" s="58">
        <v>0.32540563639329201</v>
      </c>
      <c r="J272" s="58">
        <v>0.12251018866802088</v>
      </c>
    </row>
    <row r="273" spans="1:10" ht="11.25" customHeight="1" x14ac:dyDescent="0.2">
      <c r="A273" s="67">
        <v>44531</v>
      </c>
      <c r="B273" s="57">
        <v>0</v>
      </c>
      <c r="C273" s="57">
        <v>0</v>
      </c>
      <c r="D273" s="57">
        <v>747.14639999999997</v>
      </c>
      <c r="E273" s="57">
        <v>792.09607189704445</v>
      </c>
      <c r="F273" s="57">
        <v>229.59299999999999</v>
      </c>
      <c r="G273" s="57">
        <v>304.30385627644506</v>
      </c>
      <c r="H273" s="58">
        <v>6.0161799477377542E-2</v>
      </c>
      <c r="I273" s="58">
        <v>0.32540563639329201</v>
      </c>
      <c r="J273" s="58">
        <v>0.1225101886680211</v>
      </c>
    </row>
    <row r="274" spans="1:10" ht="11.25" customHeight="1" x14ac:dyDescent="0.2">
      <c r="A274" s="67">
        <v>44562</v>
      </c>
      <c r="B274" s="57">
        <v>0</v>
      </c>
      <c r="C274" s="57">
        <v>0</v>
      </c>
      <c r="D274" s="57">
        <v>747.14639999999997</v>
      </c>
      <c r="E274" s="57">
        <v>792.09607189704445</v>
      </c>
      <c r="F274" s="57">
        <v>229.59299999999999</v>
      </c>
      <c r="G274" s="57">
        <v>304.30385627644506</v>
      </c>
      <c r="H274" s="58">
        <v>6.0161799477377542E-2</v>
      </c>
      <c r="I274" s="58">
        <v>0.32540563639329201</v>
      </c>
      <c r="J274" s="58">
        <v>0.1225101886680211</v>
      </c>
    </row>
    <row r="275" spans="1:10" ht="11.25" customHeight="1" x14ac:dyDescent="0.2">
      <c r="A275" s="67">
        <v>44593</v>
      </c>
      <c r="B275" s="57">
        <v>0</v>
      </c>
      <c r="C275" s="57">
        <v>0</v>
      </c>
      <c r="D275" s="57">
        <v>862.09199999999998</v>
      </c>
      <c r="E275" s="57">
        <v>913.95700603505122</v>
      </c>
      <c r="F275" s="57">
        <v>264.91499999999996</v>
      </c>
      <c r="G275" s="57">
        <v>351.11983416512891</v>
      </c>
      <c r="H275" s="58">
        <v>6.016179947737732E-2</v>
      </c>
      <c r="I275" s="58">
        <v>0.32540563639329201</v>
      </c>
      <c r="J275" s="58">
        <v>0.12251018866802088</v>
      </c>
    </row>
    <row r="276" spans="1:10" ht="11.25" customHeight="1" x14ac:dyDescent="0.2">
      <c r="A276" s="67">
        <v>44621</v>
      </c>
      <c r="B276" s="57">
        <v>0</v>
      </c>
      <c r="C276" s="57">
        <v>0</v>
      </c>
      <c r="D276" s="57">
        <v>3193.8456000000001</v>
      </c>
      <c r="E276" s="57">
        <v>3385.9930985489045</v>
      </c>
      <c r="F276" s="57">
        <v>981.44699999999989</v>
      </c>
      <c r="G276" s="57">
        <v>1300.8153856212871</v>
      </c>
      <c r="H276" s="58">
        <v>6.0161799477377542E-2</v>
      </c>
      <c r="I276" s="58">
        <v>0.32540563639329201</v>
      </c>
      <c r="J276" s="58">
        <v>0.12251018866802088</v>
      </c>
    </row>
    <row r="277" spans="1:10" ht="11.25" customHeight="1" x14ac:dyDescent="0.2">
      <c r="A277" s="63" t="s">
        <v>30</v>
      </c>
      <c r="B277" s="57">
        <v>0</v>
      </c>
      <c r="C277" s="57">
        <v>0</v>
      </c>
      <c r="D277" s="57">
        <v>36182.088360000002</v>
      </c>
      <c r="E277" s="57">
        <v>38359.335108805004</v>
      </c>
      <c r="F277" s="57">
        <v>11119.305780000001</v>
      </c>
      <c r="G277" s="57">
        <v>14736.714411237499</v>
      </c>
      <c r="H277" s="58">
        <v>6.0174712060346192E-2</v>
      </c>
      <c r="I277" s="58">
        <v>0.32532684169402337</v>
      </c>
      <c r="J277" s="58">
        <v>0.12250495964012842</v>
      </c>
    </row>
    <row r="278" spans="1:10" ht="11.25" customHeight="1" x14ac:dyDescent="0.2">
      <c r="A278" s="64" t="s">
        <v>25</v>
      </c>
      <c r="B278" s="57">
        <v>0</v>
      </c>
      <c r="C278" s="57">
        <v>0</v>
      </c>
      <c r="D278" s="57">
        <v>36182.088360000002</v>
      </c>
      <c r="E278" s="57">
        <v>38359.335108805004</v>
      </c>
      <c r="F278" s="57">
        <v>11119.305780000001</v>
      </c>
      <c r="G278" s="57">
        <v>14736.714411237499</v>
      </c>
      <c r="H278" s="58">
        <v>6.0174712060346192E-2</v>
      </c>
      <c r="I278" s="58">
        <v>0.32532684169402337</v>
      </c>
      <c r="J278" s="58">
        <v>0.12250495964012842</v>
      </c>
    </row>
    <row r="279" spans="1:10" ht="11.25" customHeight="1" x14ac:dyDescent="0.2">
      <c r="A279" s="65" t="s">
        <v>25</v>
      </c>
      <c r="B279" s="57">
        <v>0</v>
      </c>
      <c r="C279" s="57">
        <v>0</v>
      </c>
      <c r="D279" s="57">
        <v>36182.088360000002</v>
      </c>
      <c r="E279" s="57">
        <v>38359.335108805004</v>
      </c>
      <c r="F279" s="57">
        <v>11119.305780000001</v>
      </c>
      <c r="G279" s="57">
        <v>14736.714411237499</v>
      </c>
      <c r="H279" s="58">
        <v>6.0174712060346192E-2</v>
      </c>
      <c r="I279" s="58">
        <v>0.32532684169402337</v>
      </c>
      <c r="J279" s="58">
        <v>0.12250495964012842</v>
      </c>
    </row>
    <row r="280" spans="1:10" ht="11.25" customHeight="1" x14ac:dyDescent="0.2">
      <c r="A280" s="66" t="s">
        <v>25</v>
      </c>
      <c r="B280" s="57">
        <v>0</v>
      </c>
      <c r="C280" s="57">
        <v>0</v>
      </c>
      <c r="D280" s="57">
        <v>36182.088360000002</v>
      </c>
      <c r="E280" s="57">
        <v>38359.335108805004</v>
      </c>
      <c r="F280" s="57">
        <v>11119.305780000001</v>
      </c>
      <c r="G280" s="57">
        <v>14736.714411237499</v>
      </c>
      <c r="H280" s="58">
        <v>6.0174712060346192E-2</v>
      </c>
      <c r="I280" s="58">
        <v>0.32532684169402337</v>
      </c>
      <c r="J280" s="58">
        <v>0.12250495964012842</v>
      </c>
    </row>
    <row r="281" spans="1:10" ht="11.25" customHeight="1" x14ac:dyDescent="0.2">
      <c r="A281" s="67">
        <v>44287</v>
      </c>
      <c r="B281" s="57">
        <v>0</v>
      </c>
      <c r="C281" s="57">
        <v>0</v>
      </c>
      <c r="D281" s="57">
        <v>1996.2758000000001</v>
      </c>
      <c r="E281" s="57">
        <v>2116.4011214580373</v>
      </c>
      <c r="F281" s="57">
        <v>613.48590000000002</v>
      </c>
      <c r="G281" s="57">
        <v>813.0693302708155</v>
      </c>
      <c r="H281" s="58">
        <v>6.0174712060346192E-2</v>
      </c>
      <c r="I281" s="58">
        <v>0.32532684169402337</v>
      </c>
      <c r="J281" s="58">
        <v>0.12250495964012842</v>
      </c>
    </row>
    <row r="282" spans="1:10" ht="11.25" customHeight="1" x14ac:dyDescent="0.2">
      <c r="A282" s="67">
        <v>44317</v>
      </c>
      <c r="B282" s="57">
        <v>0</v>
      </c>
      <c r="C282" s="57">
        <v>0</v>
      </c>
      <c r="D282" s="57">
        <v>2083.5395600000002</v>
      </c>
      <c r="E282" s="57">
        <v>2208.9159530893403</v>
      </c>
      <c r="F282" s="57">
        <v>640.30338000000006</v>
      </c>
      <c r="G282" s="57">
        <v>848.61125634140819</v>
      </c>
      <c r="H282" s="58">
        <v>6.017471206034597E-2</v>
      </c>
      <c r="I282" s="58">
        <v>0.32532684169402337</v>
      </c>
      <c r="J282" s="58">
        <v>0.1225049596401282</v>
      </c>
    </row>
    <row r="283" spans="1:10" ht="11.25" customHeight="1" x14ac:dyDescent="0.2">
      <c r="A283" s="67">
        <v>44348</v>
      </c>
      <c r="B283" s="57">
        <v>0</v>
      </c>
      <c r="C283" s="57">
        <v>0</v>
      </c>
      <c r="D283" s="57">
        <v>2207.3978000000002</v>
      </c>
      <c r="E283" s="57">
        <v>2340.2273270176415</v>
      </c>
      <c r="F283" s="57">
        <v>678.36689999999999</v>
      </c>
      <c r="G283" s="57">
        <v>899.05786108676546</v>
      </c>
      <c r="H283" s="58">
        <v>6.017471206034597E-2</v>
      </c>
      <c r="I283" s="58">
        <v>0.32532684169402359</v>
      </c>
      <c r="J283" s="58">
        <v>0.1225049596401282</v>
      </c>
    </row>
    <row r="284" spans="1:10" ht="11.25" customHeight="1" x14ac:dyDescent="0.2">
      <c r="A284" s="67">
        <v>44378</v>
      </c>
      <c r="B284" s="57">
        <v>0</v>
      </c>
      <c r="C284" s="57">
        <v>0</v>
      </c>
      <c r="D284" s="57">
        <v>2092.4536000000003</v>
      </c>
      <c r="E284" s="57">
        <v>2218.366392879635</v>
      </c>
      <c r="F284" s="57">
        <v>643.04280000000006</v>
      </c>
      <c r="G284" s="57">
        <v>852.24188319808161</v>
      </c>
      <c r="H284" s="58">
        <v>6.0174712060346192E-2</v>
      </c>
      <c r="I284" s="58">
        <v>0.32532684169402337</v>
      </c>
      <c r="J284" s="58">
        <v>0.1225049596401282</v>
      </c>
    </row>
    <row r="285" spans="1:10" ht="11.25" customHeight="1" x14ac:dyDescent="0.2">
      <c r="A285" s="67">
        <v>44409</v>
      </c>
      <c r="B285" s="57">
        <v>0</v>
      </c>
      <c r="C285" s="57">
        <v>0</v>
      </c>
      <c r="D285" s="57">
        <v>2052.5750000000003</v>
      </c>
      <c r="E285" s="57">
        <v>2176.0881096072653</v>
      </c>
      <c r="F285" s="57">
        <v>630.78750000000002</v>
      </c>
      <c r="G285" s="57">
        <v>835.99960515506882</v>
      </c>
      <c r="H285" s="58">
        <v>6.0174712060346192E-2</v>
      </c>
      <c r="I285" s="58">
        <v>0.32532684169402337</v>
      </c>
      <c r="J285" s="58">
        <v>0.12250495964012842</v>
      </c>
    </row>
    <row r="286" spans="1:10" ht="11.25" customHeight="1" x14ac:dyDescent="0.2">
      <c r="A286" s="67">
        <v>44440</v>
      </c>
      <c r="B286" s="57">
        <v>0</v>
      </c>
      <c r="C286" s="57">
        <v>0</v>
      </c>
      <c r="D286" s="57">
        <v>2188.6314000000002</v>
      </c>
      <c r="E286" s="57">
        <v>2320.3316643012326</v>
      </c>
      <c r="F286" s="57">
        <v>672.59969999999998</v>
      </c>
      <c r="G286" s="57">
        <v>891.41443612534772</v>
      </c>
      <c r="H286" s="58">
        <v>6.0174712060346192E-2</v>
      </c>
      <c r="I286" s="58">
        <v>0.32532684169402359</v>
      </c>
      <c r="J286" s="58">
        <v>0.12250495964012864</v>
      </c>
    </row>
    <row r="287" spans="1:10" ht="11.25" customHeight="1" x14ac:dyDescent="0.2">
      <c r="A287" s="67">
        <v>44470</v>
      </c>
      <c r="B287" s="57">
        <v>0</v>
      </c>
      <c r="C287" s="57">
        <v>0</v>
      </c>
      <c r="D287" s="57">
        <v>2318.1195600000001</v>
      </c>
      <c r="E287" s="57">
        <v>2457.6117370444563</v>
      </c>
      <c r="F287" s="57">
        <v>712.39337999999998</v>
      </c>
      <c r="G287" s="57">
        <v>944.15406835913029</v>
      </c>
      <c r="H287" s="58">
        <v>6.0174712060346192E-2</v>
      </c>
      <c r="I287" s="58">
        <v>0.32532684169402359</v>
      </c>
      <c r="J287" s="58">
        <v>0.1225049596401282</v>
      </c>
    </row>
    <row r="288" spans="1:10" ht="11.25" customHeight="1" x14ac:dyDescent="0.2">
      <c r="A288" s="67">
        <v>44501</v>
      </c>
      <c r="B288" s="57">
        <v>0</v>
      </c>
      <c r="C288" s="57">
        <v>0</v>
      </c>
      <c r="D288" s="57">
        <v>2359.8748000000001</v>
      </c>
      <c r="E288" s="57">
        <v>2501.8795865884672</v>
      </c>
      <c r="F288" s="57">
        <v>725.22540000000004</v>
      </c>
      <c r="G288" s="57">
        <v>961.16068889828489</v>
      </c>
      <c r="H288" s="58">
        <v>6.0174712060346192E-2</v>
      </c>
      <c r="I288" s="58">
        <v>0.32532684169402337</v>
      </c>
      <c r="J288" s="58">
        <v>0.12250495964012842</v>
      </c>
    </row>
    <row r="289" spans="1:10" ht="11.25" customHeight="1" x14ac:dyDescent="0.2">
      <c r="A289" s="67">
        <v>44531</v>
      </c>
      <c r="B289" s="57">
        <v>0</v>
      </c>
      <c r="C289" s="57">
        <v>0</v>
      </c>
      <c r="D289" s="57">
        <v>2585.0716000000002</v>
      </c>
      <c r="E289" s="57">
        <v>2740.6275391853783</v>
      </c>
      <c r="F289" s="57">
        <v>794.43179999999995</v>
      </c>
      <c r="G289" s="57">
        <v>1052.8817884352982</v>
      </c>
      <c r="H289" s="58">
        <v>6.017471206034597E-2</v>
      </c>
      <c r="I289" s="58">
        <v>0.32532684169402359</v>
      </c>
      <c r="J289" s="58">
        <v>0.1225049596401282</v>
      </c>
    </row>
    <row r="290" spans="1:10" ht="11.25" customHeight="1" x14ac:dyDescent="0.2">
      <c r="A290" s="67">
        <v>44562</v>
      </c>
      <c r="B290" s="57">
        <v>0</v>
      </c>
      <c r="C290" s="57">
        <v>0</v>
      </c>
      <c r="D290" s="57">
        <v>2646.5315600000004</v>
      </c>
      <c r="E290" s="57">
        <v>2805.7858345816189</v>
      </c>
      <c r="F290" s="57">
        <v>813.31938000000002</v>
      </c>
      <c r="G290" s="57">
        <v>1077.9140051839413</v>
      </c>
      <c r="H290" s="58">
        <v>6.0174712060346192E-2</v>
      </c>
      <c r="I290" s="58">
        <v>0.32532684169402337</v>
      </c>
      <c r="J290" s="58">
        <v>0.1225049596401282</v>
      </c>
    </row>
    <row r="291" spans="1:10" ht="11.25" customHeight="1" x14ac:dyDescent="0.2">
      <c r="A291" s="67">
        <v>44593</v>
      </c>
      <c r="B291" s="57">
        <v>0</v>
      </c>
      <c r="C291" s="57">
        <v>0</v>
      </c>
      <c r="D291" s="57">
        <v>3174.8057200000003</v>
      </c>
      <c r="E291" s="57">
        <v>3365.8487400485401</v>
      </c>
      <c r="F291" s="57">
        <v>975.66606000000013</v>
      </c>
      <c r="G291" s="57">
        <v>1293.0764178478516</v>
      </c>
      <c r="H291" s="58">
        <v>6.0174712060346192E-2</v>
      </c>
      <c r="I291" s="58">
        <v>0.32532684169402337</v>
      </c>
      <c r="J291" s="58">
        <v>0.1225049596401282</v>
      </c>
    </row>
    <row r="292" spans="1:10" ht="11.25" customHeight="1" x14ac:dyDescent="0.2">
      <c r="A292" s="67">
        <v>44621</v>
      </c>
      <c r="B292" s="57">
        <v>0</v>
      </c>
      <c r="C292" s="57">
        <v>0</v>
      </c>
      <c r="D292" s="57">
        <v>10476.811960000001</v>
      </c>
      <c r="E292" s="57">
        <v>11107.251103003391</v>
      </c>
      <c r="F292" s="57">
        <v>3219.6835799999999</v>
      </c>
      <c r="G292" s="57">
        <v>4267.133070335507</v>
      </c>
      <c r="H292" s="58">
        <v>6.0174712060346192E-2</v>
      </c>
      <c r="I292" s="58">
        <v>0.32532684169402359</v>
      </c>
      <c r="J292" s="58">
        <v>0.12250495964012842</v>
      </c>
    </row>
    <row r="293" spans="1:10" ht="11.25" customHeight="1" x14ac:dyDescent="0.2">
      <c r="A293" s="63" t="s">
        <v>31</v>
      </c>
      <c r="B293" s="57">
        <v>0</v>
      </c>
      <c r="C293" s="57">
        <v>0</v>
      </c>
      <c r="D293" s="57">
        <v>38332.717799999999</v>
      </c>
      <c r="E293" s="57">
        <v>40639.37805610551</v>
      </c>
      <c r="F293" s="57">
        <v>11779.682199999999</v>
      </c>
      <c r="G293" s="57">
        <v>15612.650911815977</v>
      </c>
      <c r="H293" s="58">
        <v>6.0174712060346414E-2</v>
      </c>
      <c r="I293" s="58">
        <v>0.32538812565045072</v>
      </c>
      <c r="J293" s="58">
        <v>0.12251716078099428</v>
      </c>
    </row>
    <row r="294" spans="1:10" ht="11.25" customHeight="1" x14ac:dyDescent="0.2">
      <c r="A294" s="64" t="s">
        <v>25</v>
      </c>
      <c r="B294" s="57">
        <v>0</v>
      </c>
      <c r="C294" s="57">
        <v>0</v>
      </c>
      <c r="D294" s="57">
        <v>38332.717799999999</v>
      </c>
      <c r="E294" s="57">
        <v>40639.37805610551</v>
      </c>
      <c r="F294" s="57">
        <v>11779.682199999999</v>
      </c>
      <c r="G294" s="57">
        <v>15612.650911815977</v>
      </c>
      <c r="H294" s="58">
        <v>6.0174712060346414E-2</v>
      </c>
      <c r="I294" s="58">
        <v>0.32538812565045072</v>
      </c>
      <c r="J294" s="58">
        <v>0.12251716078099428</v>
      </c>
    </row>
    <row r="295" spans="1:10" ht="11.25" customHeight="1" x14ac:dyDescent="0.2">
      <c r="A295" s="65" t="s">
        <v>25</v>
      </c>
      <c r="B295" s="57">
        <v>0</v>
      </c>
      <c r="C295" s="57">
        <v>0</v>
      </c>
      <c r="D295" s="57">
        <v>38332.717799999999</v>
      </c>
      <c r="E295" s="57">
        <v>40639.37805610551</v>
      </c>
      <c r="F295" s="57">
        <v>11779.682199999999</v>
      </c>
      <c r="G295" s="57">
        <v>15612.650911815977</v>
      </c>
      <c r="H295" s="58">
        <v>6.0174712060346414E-2</v>
      </c>
      <c r="I295" s="58">
        <v>0.32538812565045072</v>
      </c>
      <c r="J295" s="58">
        <v>0.12251716078099428</v>
      </c>
    </row>
    <row r="296" spans="1:10" ht="11.25" customHeight="1" x14ac:dyDescent="0.2">
      <c r="A296" s="66" t="s">
        <v>25</v>
      </c>
      <c r="B296" s="57">
        <v>0</v>
      </c>
      <c r="C296" s="57">
        <v>0</v>
      </c>
      <c r="D296" s="57">
        <v>38332.717799999999</v>
      </c>
      <c r="E296" s="57">
        <v>40639.37805610551</v>
      </c>
      <c r="F296" s="57">
        <v>11779.682199999999</v>
      </c>
      <c r="G296" s="57">
        <v>15612.650911815977</v>
      </c>
      <c r="H296" s="58">
        <v>6.0174712060346414E-2</v>
      </c>
      <c r="I296" s="58">
        <v>0.32538812565045072</v>
      </c>
      <c r="J296" s="58">
        <v>0.12251716078099428</v>
      </c>
    </row>
    <row r="297" spans="1:10" ht="11.25" customHeight="1" x14ac:dyDescent="0.2">
      <c r="A297" s="67">
        <v>44287</v>
      </c>
      <c r="B297" s="57">
        <v>0</v>
      </c>
      <c r="C297" s="57">
        <v>0</v>
      </c>
      <c r="D297" s="57">
        <v>2856.4806600000002</v>
      </c>
      <c r="E297" s="57">
        <v>3028.3685612214481</v>
      </c>
      <c r="F297" s="57">
        <v>877.79934000000003</v>
      </c>
      <c r="G297" s="57">
        <v>1163.4248219398028</v>
      </c>
      <c r="H297" s="58">
        <v>6.0174712060346192E-2</v>
      </c>
      <c r="I297" s="58">
        <v>0.32538812565045072</v>
      </c>
      <c r="J297" s="58">
        <v>0.12251716078099406</v>
      </c>
    </row>
    <row r="298" spans="1:10" ht="11.25" customHeight="1" x14ac:dyDescent="0.2">
      <c r="A298" s="67">
        <v>44317</v>
      </c>
      <c r="B298" s="57">
        <v>0</v>
      </c>
      <c r="C298" s="57">
        <v>0</v>
      </c>
      <c r="D298" s="57">
        <v>1809.3155400000001</v>
      </c>
      <c r="E298" s="57">
        <v>1918.19058164581</v>
      </c>
      <c r="F298" s="57">
        <v>556.00445999999999</v>
      </c>
      <c r="G298" s="57">
        <v>736.921709092691</v>
      </c>
      <c r="H298" s="58">
        <v>6.0174712060346192E-2</v>
      </c>
      <c r="I298" s="58">
        <v>0.32538812565045072</v>
      </c>
      <c r="J298" s="58">
        <v>0.12251716078099406</v>
      </c>
    </row>
    <row r="299" spans="1:10" ht="11.25" customHeight="1" x14ac:dyDescent="0.2">
      <c r="A299" s="67">
        <v>44348</v>
      </c>
      <c r="B299" s="57">
        <v>0</v>
      </c>
      <c r="C299" s="57">
        <v>0</v>
      </c>
      <c r="D299" s="57">
        <v>2379.34494</v>
      </c>
      <c r="E299" s="57">
        <v>2522.5213366567418</v>
      </c>
      <c r="F299" s="57">
        <v>731.17505999999992</v>
      </c>
      <c r="G299" s="57">
        <v>969.09074229575572</v>
      </c>
      <c r="H299" s="58">
        <v>6.0174712060346192E-2</v>
      </c>
      <c r="I299" s="58">
        <v>0.32538812565045072</v>
      </c>
      <c r="J299" s="58">
        <v>0.12251716078099406</v>
      </c>
    </row>
    <row r="300" spans="1:10" ht="11.25" customHeight="1" x14ac:dyDescent="0.2">
      <c r="A300" s="67">
        <v>44378</v>
      </c>
      <c r="B300" s="57">
        <v>0</v>
      </c>
      <c r="C300" s="57">
        <v>0</v>
      </c>
      <c r="D300" s="57">
        <v>1124.5765200000001</v>
      </c>
      <c r="E300" s="57">
        <v>1192.2475882808262</v>
      </c>
      <c r="F300" s="57">
        <v>345.58348000000001</v>
      </c>
      <c r="G300" s="57">
        <v>458.03224081296003</v>
      </c>
      <c r="H300" s="58">
        <v>6.0174712060346192E-2</v>
      </c>
      <c r="I300" s="58">
        <v>0.32538812565045072</v>
      </c>
      <c r="J300" s="58">
        <v>0.12251716078099406</v>
      </c>
    </row>
    <row r="301" spans="1:10" ht="11.25" customHeight="1" x14ac:dyDescent="0.2">
      <c r="A301" s="67">
        <v>44409</v>
      </c>
      <c r="B301" s="57">
        <v>0</v>
      </c>
      <c r="C301" s="57">
        <v>0</v>
      </c>
      <c r="D301" s="57">
        <v>1100.6493600000001</v>
      </c>
      <c r="E301" s="57">
        <v>1166.8806183174045</v>
      </c>
      <c r="F301" s="57">
        <v>338.23063999999999</v>
      </c>
      <c r="G301" s="57">
        <v>448.28687398715238</v>
      </c>
      <c r="H301" s="58">
        <v>6.0174712060346192E-2</v>
      </c>
      <c r="I301" s="58">
        <v>0.32538812565045072</v>
      </c>
      <c r="J301" s="58">
        <v>0.12251716078099406</v>
      </c>
    </row>
    <row r="302" spans="1:10" ht="11.25" customHeight="1" x14ac:dyDescent="0.2">
      <c r="A302" s="67">
        <v>44440</v>
      </c>
      <c r="B302" s="57">
        <v>0</v>
      </c>
      <c r="C302" s="57">
        <v>0</v>
      </c>
      <c r="D302" s="57">
        <v>1897.9867800000002</v>
      </c>
      <c r="E302" s="57">
        <v>2012.1975879808438</v>
      </c>
      <c r="F302" s="57">
        <v>583.25321999999994</v>
      </c>
      <c r="G302" s="57">
        <v>773.03689203539</v>
      </c>
      <c r="H302" s="58">
        <v>6.0174712060346192E-2</v>
      </c>
      <c r="I302" s="58">
        <v>0.32538812565045094</v>
      </c>
      <c r="J302" s="58">
        <v>0.12251716078099384</v>
      </c>
    </row>
    <row r="303" spans="1:10" ht="11.25" customHeight="1" x14ac:dyDescent="0.2">
      <c r="A303" s="67">
        <v>44470</v>
      </c>
      <c r="B303" s="57">
        <v>0</v>
      </c>
      <c r="C303" s="57">
        <v>0</v>
      </c>
      <c r="D303" s="57">
        <v>2002.1403000000003</v>
      </c>
      <c r="E303" s="57">
        <v>2122.6185160569153</v>
      </c>
      <c r="F303" s="57">
        <v>615.25970000000007</v>
      </c>
      <c r="G303" s="57">
        <v>815.45790057125862</v>
      </c>
      <c r="H303" s="58">
        <v>6.0174712060346192E-2</v>
      </c>
      <c r="I303" s="58">
        <v>0.3253881256504505</v>
      </c>
      <c r="J303" s="58">
        <v>0.12251716078099384</v>
      </c>
    </row>
    <row r="304" spans="1:10" ht="11.25" customHeight="1" x14ac:dyDescent="0.2">
      <c r="A304" s="67">
        <v>44501</v>
      </c>
      <c r="B304" s="57">
        <v>0</v>
      </c>
      <c r="C304" s="57">
        <v>0</v>
      </c>
      <c r="D304" s="57">
        <v>1750.9051200000001</v>
      </c>
      <c r="E304" s="57">
        <v>1856.2653314409861</v>
      </c>
      <c r="F304" s="57">
        <v>538.05488000000003</v>
      </c>
      <c r="G304" s="57">
        <v>713.13154890027818</v>
      </c>
      <c r="H304" s="58">
        <v>6.0174712060346192E-2</v>
      </c>
      <c r="I304" s="58">
        <v>0.32538812565045072</v>
      </c>
      <c r="J304" s="58">
        <v>0.12251716078099428</v>
      </c>
    </row>
    <row r="305" spans="1:10" ht="11.25" customHeight="1" x14ac:dyDescent="0.2">
      <c r="A305" s="67">
        <v>44531</v>
      </c>
      <c r="B305" s="57">
        <v>0</v>
      </c>
      <c r="C305" s="57">
        <v>0</v>
      </c>
      <c r="D305" s="57">
        <v>2650.2848400000003</v>
      </c>
      <c r="E305" s="57">
        <v>2809.764967124901</v>
      </c>
      <c r="F305" s="57">
        <v>814.43516</v>
      </c>
      <c r="G305" s="57">
        <v>1079.4426901762249</v>
      </c>
      <c r="H305" s="58">
        <v>6.0174712060346192E-2</v>
      </c>
      <c r="I305" s="58">
        <v>0.32538812565045072</v>
      </c>
      <c r="J305" s="58">
        <v>0.12251716078099406</v>
      </c>
    </row>
    <row r="306" spans="1:10" ht="11.25" customHeight="1" x14ac:dyDescent="0.2">
      <c r="A306" s="67">
        <v>44562</v>
      </c>
      <c r="B306" s="57">
        <v>0</v>
      </c>
      <c r="C306" s="57">
        <v>0</v>
      </c>
      <c r="D306" s="57">
        <v>3082.3811999999998</v>
      </c>
      <c r="E306" s="57">
        <v>3267.8626011702245</v>
      </c>
      <c r="F306" s="57">
        <v>947.21879999999999</v>
      </c>
      <c r="G306" s="57">
        <v>1255.432549912869</v>
      </c>
      <c r="H306" s="58">
        <v>6.0174712060346192E-2</v>
      </c>
      <c r="I306" s="58">
        <v>0.32538812565045072</v>
      </c>
      <c r="J306" s="58">
        <v>0.12251716078099406</v>
      </c>
    </row>
    <row r="307" spans="1:10" ht="11.25" customHeight="1" x14ac:dyDescent="0.2">
      <c r="A307" s="67">
        <v>44593</v>
      </c>
      <c r="B307" s="57">
        <v>0</v>
      </c>
      <c r="C307" s="57">
        <v>0</v>
      </c>
      <c r="D307" s="57">
        <v>4275.2205000000004</v>
      </c>
      <c r="E307" s="57">
        <v>4532.4806625819892</v>
      </c>
      <c r="F307" s="57">
        <v>1313.7794999999999</v>
      </c>
      <c r="G307" s="57">
        <v>1741.2677490229864</v>
      </c>
      <c r="H307" s="58">
        <v>6.0174712060346192E-2</v>
      </c>
      <c r="I307" s="58">
        <v>0.32538812565045094</v>
      </c>
      <c r="J307" s="58">
        <v>0.12251716078099406</v>
      </c>
    </row>
    <row r="308" spans="1:10" ht="11.25" customHeight="1" x14ac:dyDescent="0.2">
      <c r="A308" s="67">
        <v>44621</v>
      </c>
      <c r="B308" s="57">
        <v>0</v>
      </c>
      <c r="C308" s="57">
        <v>0</v>
      </c>
      <c r="D308" s="57">
        <v>13403.43204</v>
      </c>
      <c r="E308" s="57">
        <v>14209.979703627419</v>
      </c>
      <c r="F308" s="57">
        <v>4118.88796</v>
      </c>
      <c r="G308" s="57">
        <v>5459.1251930686085</v>
      </c>
      <c r="H308" s="58">
        <v>6.0174712060346192E-2</v>
      </c>
      <c r="I308" s="58">
        <v>0.32538812565045072</v>
      </c>
      <c r="J308" s="58">
        <v>0.12251716078099428</v>
      </c>
    </row>
    <row r="309" spans="1:10" ht="11.25" customHeight="1" x14ac:dyDescent="0.2">
      <c r="A309" s="63" t="s">
        <v>32</v>
      </c>
      <c r="B309" s="57">
        <v>0</v>
      </c>
      <c r="C309" s="57">
        <v>0</v>
      </c>
      <c r="D309" s="57">
        <v>7128.8558099999991</v>
      </c>
      <c r="E309" s="57">
        <v>7557.8648743959766</v>
      </c>
      <c r="F309" s="57">
        <v>2190.7239300000001</v>
      </c>
      <c r="G309" s="57">
        <v>2903.5460572185762</v>
      </c>
      <c r="H309" s="58">
        <v>6.0179231538697309E-2</v>
      </c>
      <c r="I309" s="58">
        <v>0.32538199699976622</v>
      </c>
      <c r="J309" s="58">
        <v>0.12251960104099657</v>
      </c>
    </row>
    <row r="310" spans="1:10" ht="11.25" customHeight="1" x14ac:dyDescent="0.2">
      <c r="A310" s="64" t="s">
        <v>25</v>
      </c>
      <c r="B310" s="57">
        <v>0</v>
      </c>
      <c r="C310" s="57">
        <v>0</v>
      </c>
      <c r="D310" s="57">
        <v>7128.8558099999991</v>
      </c>
      <c r="E310" s="57">
        <v>7557.8648743959766</v>
      </c>
      <c r="F310" s="57">
        <v>2190.7239300000001</v>
      </c>
      <c r="G310" s="57">
        <v>2903.5460572185762</v>
      </c>
      <c r="H310" s="58">
        <v>6.0179231538697309E-2</v>
      </c>
      <c r="I310" s="58">
        <v>0.32538199699976622</v>
      </c>
      <c r="J310" s="58">
        <v>0.12251960104099657</v>
      </c>
    </row>
    <row r="311" spans="1:10" ht="11.25" customHeight="1" x14ac:dyDescent="0.2">
      <c r="A311" s="65" t="s">
        <v>25</v>
      </c>
      <c r="B311" s="57">
        <v>0</v>
      </c>
      <c r="C311" s="57">
        <v>0</v>
      </c>
      <c r="D311" s="57">
        <v>7128.8558099999991</v>
      </c>
      <c r="E311" s="57">
        <v>7557.8648743959766</v>
      </c>
      <c r="F311" s="57">
        <v>2190.7239300000001</v>
      </c>
      <c r="G311" s="57">
        <v>2903.5460572185762</v>
      </c>
      <c r="H311" s="58">
        <v>6.0179231538697309E-2</v>
      </c>
      <c r="I311" s="58">
        <v>0.32538199699976622</v>
      </c>
      <c r="J311" s="58">
        <v>0.12251960104099657</v>
      </c>
    </row>
    <row r="312" spans="1:10" ht="11.25" customHeight="1" x14ac:dyDescent="0.2">
      <c r="A312" s="66" t="s">
        <v>25</v>
      </c>
      <c r="B312" s="57">
        <v>0</v>
      </c>
      <c r="C312" s="57">
        <v>0</v>
      </c>
      <c r="D312" s="57">
        <v>7128.8558099999991</v>
      </c>
      <c r="E312" s="57">
        <v>7557.8648743959766</v>
      </c>
      <c r="F312" s="57">
        <v>2190.7239300000001</v>
      </c>
      <c r="G312" s="57">
        <v>2903.5460572185762</v>
      </c>
      <c r="H312" s="58">
        <v>6.0179231538697309E-2</v>
      </c>
      <c r="I312" s="58">
        <v>0.32538199699976622</v>
      </c>
      <c r="J312" s="58">
        <v>0.12251960104099657</v>
      </c>
    </row>
    <row r="313" spans="1:10" ht="11.25" customHeight="1" x14ac:dyDescent="0.2">
      <c r="A313" s="67">
        <v>44287</v>
      </c>
      <c r="B313" s="57">
        <v>0</v>
      </c>
      <c r="C313" s="57">
        <v>0</v>
      </c>
      <c r="D313" s="57">
        <v>763.94560999999999</v>
      </c>
      <c r="E313" s="57">
        <v>809.91926974716114</v>
      </c>
      <c r="F313" s="57">
        <v>234.76333</v>
      </c>
      <c r="G313" s="57">
        <v>311.15109113771513</v>
      </c>
      <c r="H313" s="58">
        <v>6.0179231538697087E-2</v>
      </c>
      <c r="I313" s="58">
        <v>0.32538199699976622</v>
      </c>
      <c r="J313" s="58">
        <v>0.12251960104099613</v>
      </c>
    </row>
    <row r="314" spans="1:10" ht="11.25" customHeight="1" x14ac:dyDescent="0.2">
      <c r="A314" s="67">
        <v>44317</v>
      </c>
      <c r="B314" s="57">
        <v>0</v>
      </c>
      <c r="C314" s="57">
        <v>0</v>
      </c>
      <c r="D314" s="57">
        <v>165.76915999999997</v>
      </c>
      <c r="E314" s="57">
        <v>175.74502066161531</v>
      </c>
      <c r="F314" s="57">
        <v>50.941479999999999</v>
      </c>
      <c r="G314" s="57">
        <v>67.516920492523653</v>
      </c>
      <c r="H314" s="58">
        <v>6.0179231538697309E-2</v>
      </c>
      <c r="I314" s="58">
        <v>0.32538199699976622</v>
      </c>
      <c r="J314" s="58">
        <v>0.12251960104099657</v>
      </c>
    </row>
    <row r="315" spans="1:10" ht="11.25" customHeight="1" x14ac:dyDescent="0.2">
      <c r="A315" s="67">
        <v>44348</v>
      </c>
      <c r="B315" s="57">
        <v>0</v>
      </c>
      <c r="C315" s="57">
        <v>0</v>
      </c>
      <c r="D315" s="57">
        <v>303.38884000000002</v>
      </c>
      <c r="E315" s="57">
        <v>321.64654724861674</v>
      </c>
      <c r="F315" s="57">
        <v>93.232519999999994</v>
      </c>
      <c r="G315" s="57">
        <v>123.56870354292066</v>
      </c>
      <c r="H315" s="58">
        <v>6.0179231538697087E-2</v>
      </c>
      <c r="I315" s="58">
        <v>0.32538199699976644</v>
      </c>
      <c r="J315" s="58">
        <v>0.12251960104099657</v>
      </c>
    </row>
    <row r="316" spans="1:10" ht="11.25" customHeight="1" x14ac:dyDescent="0.2">
      <c r="A316" s="67">
        <v>44378</v>
      </c>
      <c r="B316" s="57">
        <v>0</v>
      </c>
      <c r="C316" s="57">
        <v>0</v>
      </c>
      <c r="D316" s="57">
        <v>140.7474</v>
      </c>
      <c r="E316" s="57">
        <v>149.2174703730696</v>
      </c>
      <c r="F316" s="57">
        <v>43.252199999999995</v>
      </c>
      <c r="G316" s="57">
        <v>57.325687210633291</v>
      </c>
      <c r="H316" s="58">
        <v>6.0179231538697087E-2</v>
      </c>
      <c r="I316" s="58">
        <v>0.32538199699976644</v>
      </c>
      <c r="J316" s="58">
        <v>0.12251960104099635</v>
      </c>
    </row>
    <row r="317" spans="1:10" ht="11.25" customHeight="1" x14ac:dyDescent="0.2">
      <c r="A317" s="67">
        <v>44409</v>
      </c>
      <c r="B317" s="57">
        <v>0</v>
      </c>
      <c r="C317" s="57">
        <v>0</v>
      </c>
      <c r="D317" s="57">
        <v>48.479659999999996</v>
      </c>
      <c r="E317" s="57">
        <v>51.397128684057314</v>
      </c>
      <c r="F317" s="57">
        <v>14.897979999999999</v>
      </c>
      <c r="G317" s="57">
        <v>19.745514483662578</v>
      </c>
      <c r="H317" s="58">
        <v>6.0179231538697309E-2</v>
      </c>
      <c r="I317" s="58">
        <v>0.32538199699976644</v>
      </c>
      <c r="J317" s="58">
        <v>0.12251960104099657</v>
      </c>
    </row>
    <row r="318" spans="1:10" ht="11.25" customHeight="1" x14ac:dyDescent="0.2">
      <c r="A318" s="67">
        <v>44440</v>
      </c>
      <c r="B318" s="57">
        <v>0</v>
      </c>
      <c r="C318" s="57">
        <v>0</v>
      </c>
      <c r="D318" s="57">
        <v>119.63528999999998</v>
      </c>
      <c r="E318" s="57">
        <v>126.83484981710917</v>
      </c>
      <c r="F318" s="57">
        <v>36.76437</v>
      </c>
      <c r="G318" s="57">
        <v>48.726834129038302</v>
      </c>
      <c r="H318" s="58">
        <v>6.0179231538697309E-2</v>
      </c>
      <c r="I318" s="58">
        <v>0.32538199699976644</v>
      </c>
      <c r="J318" s="58">
        <v>0.12251960104099635</v>
      </c>
    </row>
    <row r="319" spans="1:10" ht="11.25" customHeight="1" x14ac:dyDescent="0.2">
      <c r="A319" s="67">
        <v>44470</v>
      </c>
      <c r="B319" s="57">
        <v>0</v>
      </c>
      <c r="C319" s="57">
        <v>0</v>
      </c>
      <c r="D319" s="57">
        <v>336.22989999999999</v>
      </c>
      <c r="E319" s="57">
        <v>356.46395700233296</v>
      </c>
      <c r="F319" s="57">
        <v>103.32469999999999</v>
      </c>
      <c r="G319" s="57">
        <v>136.94469722540177</v>
      </c>
      <c r="H319" s="58">
        <v>6.0179231538697087E-2</v>
      </c>
      <c r="I319" s="58">
        <v>0.32538199699976644</v>
      </c>
      <c r="J319" s="58">
        <v>0.12251960104099635</v>
      </c>
    </row>
    <row r="320" spans="1:10" ht="11.25" customHeight="1" x14ac:dyDescent="0.2">
      <c r="A320" s="67">
        <v>44501</v>
      </c>
      <c r="B320" s="57">
        <v>0</v>
      </c>
      <c r="C320" s="57">
        <v>0</v>
      </c>
      <c r="D320" s="57">
        <v>173.58846</v>
      </c>
      <c r="E320" s="57">
        <v>184.03488012678588</v>
      </c>
      <c r="F320" s="57">
        <v>53.344380000000001</v>
      </c>
      <c r="G320" s="57">
        <v>70.7016808931144</v>
      </c>
      <c r="H320" s="58">
        <v>6.0179231538697309E-2</v>
      </c>
      <c r="I320" s="58">
        <v>0.32538199699976644</v>
      </c>
      <c r="J320" s="58">
        <v>0.12251960104099635</v>
      </c>
    </row>
    <row r="321" spans="1:10" ht="11.25" customHeight="1" x14ac:dyDescent="0.2">
      <c r="A321" s="67">
        <v>44531</v>
      </c>
      <c r="B321" s="57">
        <v>0</v>
      </c>
      <c r="C321" s="57">
        <v>0</v>
      </c>
      <c r="D321" s="57">
        <v>286.18637999999999</v>
      </c>
      <c r="E321" s="57">
        <v>303.40885642524154</v>
      </c>
      <c r="F321" s="57">
        <v>87.94614</v>
      </c>
      <c r="G321" s="57">
        <v>116.56223066162103</v>
      </c>
      <c r="H321" s="58">
        <v>6.0179231538697087E-2</v>
      </c>
      <c r="I321" s="58">
        <v>0.32538199699976644</v>
      </c>
      <c r="J321" s="58">
        <v>0.12251960104099635</v>
      </c>
    </row>
    <row r="322" spans="1:10" ht="11.25" customHeight="1" x14ac:dyDescent="0.2">
      <c r="A322" s="67">
        <v>44562</v>
      </c>
      <c r="B322" s="57">
        <v>0</v>
      </c>
      <c r="C322" s="57">
        <v>0</v>
      </c>
      <c r="D322" s="57">
        <v>359.68779999999998</v>
      </c>
      <c r="E322" s="57">
        <v>381.33353539784457</v>
      </c>
      <c r="F322" s="57">
        <v>110.5334</v>
      </c>
      <c r="G322" s="57">
        <v>146.49897842717397</v>
      </c>
      <c r="H322" s="58">
        <v>6.0179231538697087E-2</v>
      </c>
      <c r="I322" s="58">
        <v>0.32538199699976622</v>
      </c>
      <c r="J322" s="58">
        <v>0.12251960104099635</v>
      </c>
    </row>
    <row r="323" spans="1:10" ht="11.25" customHeight="1" x14ac:dyDescent="0.2">
      <c r="A323" s="67">
        <v>44593</v>
      </c>
      <c r="B323" s="57">
        <v>0</v>
      </c>
      <c r="C323" s="57">
        <v>0</v>
      </c>
      <c r="D323" s="57">
        <v>831.19158999999991</v>
      </c>
      <c r="E323" s="57">
        <v>881.21206114762776</v>
      </c>
      <c r="F323" s="57">
        <v>255.42826999999997</v>
      </c>
      <c r="G323" s="57">
        <v>338.54003058279551</v>
      </c>
      <c r="H323" s="58">
        <v>6.0179231538697087E-2</v>
      </c>
      <c r="I323" s="58">
        <v>0.32538199699976644</v>
      </c>
      <c r="J323" s="58">
        <v>0.12251960104099657</v>
      </c>
    </row>
    <row r="324" spans="1:10" ht="11.25" customHeight="1" x14ac:dyDescent="0.2">
      <c r="A324" s="67">
        <v>44621</v>
      </c>
      <c r="B324" s="57">
        <v>0</v>
      </c>
      <c r="C324" s="57">
        <v>0</v>
      </c>
      <c r="D324" s="57">
        <v>3600.0057199999997</v>
      </c>
      <c r="E324" s="57">
        <v>3816.6512977645143</v>
      </c>
      <c r="F324" s="57">
        <v>1106.2951599999999</v>
      </c>
      <c r="G324" s="57">
        <v>1466.2636884319761</v>
      </c>
      <c r="H324" s="58">
        <v>6.0179231538697309E-2</v>
      </c>
      <c r="I324" s="58">
        <v>0.32538199699976644</v>
      </c>
      <c r="J324" s="58">
        <v>0.12251960104099657</v>
      </c>
    </row>
    <row r="325" spans="1:10" ht="11.25" customHeight="1" x14ac:dyDescent="0.2">
      <c r="A325" s="60" t="s">
        <v>43</v>
      </c>
      <c r="B325" s="57">
        <v>0</v>
      </c>
      <c r="C325" s="57">
        <v>0</v>
      </c>
      <c r="D325" s="57">
        <v>454182.43325399992</v>
      </c>
      <c r="E325" s="57">
        <v>531590.1073559674</v>
      </c>
      <c r="F325" s="57">
        <v>125825.59359599999</v>
      </c>
      <c r="G325" s="57">
        <v>178133.40858481155</v>
      </c>
      <c r="H325" s="58">
        <v>0.17043299880045648</v>
      </c>
      <c r="I325" s="58">
        <v>0.4157168147901702</v>
      </c>
      <c r="J325" s="58">
        <v>0.22364429988194878</v>
      </c>
    </row>
    <row r="326" spans="1:10" ht="11.25" customHeight="1" x14ac:dyDescent="0.2">
      <c r="A326" s="61" t="s">
        <v>23</v>
      </c>
      <c r="B326" s="57">
        <v>0</v>
      </c>
      <c r="C326" s="57">
        <v>0</v>
      </c>
      <c r="D326" s="57">
        <v>454182.43325399992</v>
      </c>
      <c r="E326" s="57">
        <v>531590.1073559674</v>
      </c>
      <c r="F326" s="57">
        <v>125825.59359599999</v>
      </c>
      <c r="G326" s="57">
        <v>178133.40858481155</v>
      </c>
      <c r="H326" s="58">
        <v>0.17043299880045648</v>
      </c>
      <c r="I326" s="58">
        <v>0.4157168147901702</v>
      </c>
      <c r="J326" s="58">
        <v>0.22364429988194878</v>
      </c>
    </row>
    <row r="327" spans="1:10" ht="11.25" customHeight="1" x14ac:dyDescent="0.2">
      <c r="A327" s="62" t="s">
        <v>44</v>
      </c>
      <c r="B327" s="57">
        <v>0</v>
      </c>
      <c r="C327" s="57">
        <v>0</v>
      </c>
      <c r="D327" s="57">
        <v>454182.43325399992</v>
      </c>
      <c r="E327" s="57">
        <v>531590.1073559674</v>
      </c>
      <c r="F327" s="57">
        <v>125825.59359599999</v>
      </c>
      <c r="G327" s="57">
        <v>178133.40858481155</v>
      </c>
      <c r="H327" s="58">
        <v>0.17043299880045648</v>
      </c>
      <c r="I327" s="58">
        <v>0.4157168147901702</v>
      </c>
      <c r="J327" s="58">
        <v>0.22364429988194878</v>
      </c>
    </row>
    <row r="328" spans="1:10" ht="11.25" customHeight="1" x14ac:dyDescent="0.2">
      <c r="A328" s="63" t="s">
        <v>52</v>
      </c>
      <c r="B328" s="57">
        <v>0</v>
      </c>
      <c r="C328" s="57">
        <v>0</v>
      </c>
      <c r="D328" s="57">
        <v>9301.7572560000026</v>
      </c>
      <c r="E328" s="57">
        <v>10887.083639253982</v>
      </c>
      <c r="F328" s="57">
        <v>2576.9361439999998</v>
      </c>
      <c r="G328" s="57">
        <v>3648.2118297013444</v>
      </c>
      <c r="H328" s="58">
        <v>0.17043299880045581</v>
      </c>
      <c r="I328" s="58">
        <v>0.41571681479017064</v>
      </c>
      <c r="J328" s="58">
        <v>0.22364429988194856</v>
      </c>
    </row>
    <row r="329" spans="1:10" ht="11.25" customHeight="1" x14ac:dyDescent="0.2">
      <c r="A329" s="64" t="s">
        <v>53</v>
      </c>
      <c r="B329" s="57">
        <v>0</v>
      </c>
      <c r="C329" s="57">
        <v>0</v>
      </c>
      <c r="D329" s="57">
        <v>8165.6764200000007</v>
      </c>
      <c r="E329" s="57">
        <v>9557.3771394947744</v>
      </c>
      <c r="F329" s="57">
        <v>2262.1990799999999</v>
      </c>
      <c r="G329" s="57">
        <v>3202.6332759588536</v>
      </c>
      <c r="H329" s="58">
        <v>0.17043299880045626</v>
      </c>
      <c r="I329" s="58">
        <v>0.41571681479017042</v>
      </c>
      <c r="J329" s="58">
        <v>0.22364429988194878</v>
      </c>
    </row>
    <row r="330" spans="1:10" ht="11.25" customHeight="1" x14ac:dyDescent="0.2">
      <c r="A330" s="65" t="s">
        <v>25</v>
      </c>
      <c r="B330" s="57">
        <v>0</v>
      </c>
      <c r="C330" s="57">
        <v>0</v>
      </c>
      <c r="D330" s="57">
        <v>8165.6764200000007</v>
      </c>
      <c r="E330" s="57">
        <v>9557.3771394947744</v>
      </c>
      <c r="F330" s="57">
        <v>2262.1990799999999</v>
      </c>
      <c r="G330" s="57">
        <v>3202.6332759588536</v>
      </c>
      <c r="H330" s="58">
        <v>0.17043299880045626</v>
      </c>
      <c r="I330" s="58">
        <v>0.41571681479017042</v>
      </c>
      <c r="J330" s="58">
        <v>0.22364429988194878</v>
      </c>
    </row>
    <row r="331" spans="1:10" ht="11.25" customHeight="1" x14ac:dyDescent="0.2">
      <c r="A331" s="66" t="s">
        <v>25</v>
      </c>
      <c r="B331" s="57">
        <v>0</v>
      </c>
      <c r="C331" s="57">
        <v>0</v>
      </c>
      <c r="D331" s="57">
        <v>8165.6764200000007</v>
      </c>
      <c r="E331" s="57">
        <v>9557.3771394947744</v>
      </c>
      <c r="F331" s="57">
        <v>2262.1990799999999</v>
      </c>
      <c r="G331" s="57">
        <v>3202.6332759588536</v>
      </c>
      <c r="H331" s="58">
        <v>0.17043299880045626</v>
      </c>
      <c r="I331" s="58">
        <v>0.41571681479017042</v>
      </c>
      <c r="J331" s="58">
        <v>0.22364429988194878</v>
      </c>
    </row>
    <row r="332" spans="1:10" ht="11.25" customHeight="1" x14ac:dyDescent="0.2">
      <c r="A332" s="67">
        <v>44287</v>
      </c>
      <c r="B332" s="57">
        <v>0</v>
      </c>
      <c r="C332" s="57">
        <v>0</v>
      </c>
      <c r="D332" s="57">
        <v>932.74037999999996</v>
      </c>
      <c r="E332" s="57">
        <v>1091.7101200656773</v>
      </c>
      <c r="F332" s="57">
        <v>258.40411999999998</v>
      </c>
      <c r="G332" s="57">
        <v>365.82705769505691</v>
      </c>
      <c r="H332" s="58">
        <v>0.17043299880045648</v>
      </c>
      <c r="I332" s="58">
        <v>0.4157168147901702</v>
      </c>
      <c r="J332" s="58">
        <v>0.22364429988194923</v>
      </c>
    </row>
    <row r="333" spans="1:10" ht="11.25" customHeight="1" x14ac:dyDescent="0.2">
      <c r="A333" s="67">
        <v>44317</v>
      </c>
      <c r="B333" s="57">
        <v>0</v>
      </c>
      <c r="C333" s="57">
        <v>0</v>
      </c>
      <c r="D333" s="57">
        <v>467.13347999999996</v>
      </c>
      <c r="E333" s="57">
        <v>546.74843983649305</v>
      </c>
      <c r="F333" s="57">
        <v>129.41352000000001</v>
      </c>
      <c r="G333" s="57">
        <v>183.21289632518398</v>
      </c>
      <c r="H333" s="58">
        <v>0.17043299880045648</v>
      </c>
      <c r="I333" s="58">
        <v>0.41571681479016998</v>
      </c>
      <c r="J333" s="58">
        <v>0.223644299881949</v>
      </c>
    </row>
    <row r="334" spans="1:10" ht="11.25" customHeight="1" x14ac:dyDescent="0.2">
      <c r="A334" s="67">
        <v>44348</v>
      </c>
      <c r="B334" s="57">
        <v>0</v>
      </c>
      <c r="C334" s="57">
        <v>0</v>
      </c>
      <c r="D334" s="57">
        <v>958.69223999999997</v>
      </c>
      <c r="E334" s="57">
        <v>1122.085033389927</v>
      </c>
      <c r="F334" s="57">
        <v>265.59376000000003</v>
      </c>
      <c r="G334" s="57">
        <v>376.00555193534495</v>
      </c>
      <c r="H334" s="58">
        <v>0.1704329988004567</v>
      </c>
      <c r="I334" s="58">
        <v>0.4157168147901702</v>
      </c>
      <c r="J334" s="58">
        <v>0.22364429988194923</v>
      </c>
    </row>
    <row r="335" spans="1:10" ht="11.25" customHeight="1" x14ac:dyDescent="0.2">
      <c r="A335" s="67">
        <v>44378</v>
      </c>
      <c r="B335" s="57">
        <v>0</v>
      </c>
      <c r="C335" s="57">
        <v>0</v>
      </c>
      <c r="D335" s="57">
        <v>821.30003999999997</v>
      </c>
      <c r="E335" s="57">
        <v>961.27666873213491</v>
      </c>
      <c r="F335" s="57">
        <v>227.53096000000002</v>
      </c>
      <c r="G335" s="57">
        <v>322.11940595734967</v>
      </c>
      <c r="H335" s="58">
        <v>0.17043299880045648</v>
      </c>
      <c r="I335" s="58">
        <v>0.4157168147901702</v>
      </c>
      <c r="J335" s="58">
        <v>0.22364429988194923</v>
      </c>
    </row>
    <row r="336" spans="1:10" ht="11.25" customHeight="1" x14ac:dyDescent="0.2">
      <c r="A336" s="67">
        <v>44409</v>
      </c>
      <c r="B336" s="57">
        <v>0</v>
      </c>
      <c r="C336" s="57">
        <v>0</v>
      </c>
      <c r="D336" s="57">
        <v>785.42540999999994</v>
      </c>
      <c r="E336" s="57">
        <v>919.28781796037799</v>
      </c>
      <c r="F336" s="57">
        <v>217.59233999999998</v>
      </c>
      <c r="G336" s="57">
        <v>308.04913450753975</v>
      </c>
      <c r="H336" s="58">
        <v>0.17043299880045648</v>
      </c>
      <c r="I336" s="58">
        <v>0.41571681479017042</v>
      </c>
      <c r="J336" s="58">
        <v>0.22364429988194923</v>
      </c>
    </row>
    <row r="337" spans="1:10" ht="11.25" customHeight="1" x14ac:dyDescent="0.2">
      <c r="A337" s="67">
        <v>44440</v>
      </c>
      <c r="B337" s="57">
        <v>0</v>
      </c>
      <c r="C337" s="57">
        <v>0</v>
      </c>
      <c r="D337" s="57">
        <v>1042.6541400000001</v>
      </c>
      <c r="E337" s="57">
        <v>1220.356811791911</v>
      </c>
      <c r="F337" s="57">
        <v>288.85436000000004</v>
      </c>
      <c r="G337" s="57">
        <v>408.93597447745321</v>
      </c>
      <c r="H337" s="58">
        <v>0.17043299880045648</v>
      </c>
      <c r="I337" s="58">
        <v>0.4157168147901702</v>
      </c>
      <c r="J337" s="58">
        <v>0.22364429988194878</v>
      </c>
    </row>
    <row r="338" spans="1:10" ht="11.25" customHeight="1" x14ac:dyDescent="0.2">
      <c r="A338" s="67">
        <v>44470</v>
      </c>
      <c r="B338" s="57">
        <v>0</v>
      </c>
      <c r="C338" s="57">
        <v>0</v>
      </c>
      <c r="D338" s="57">
        <v>1294.5398399999999</v>
      </c>
      <c r="E338" s="57">
        <v>1515.1721469978631</v>
      </c>
      <c r="F338" s="57">
        <v>358.63616000000002</v>
      </c>
      <c r="G338" s="57">
        <v>507.72724210377783</v>
      </c>
      <c r="H338" s="58">
        <v>0.17043299880045648</v>
      </c>
      <c r="I338" s="58">
        <v>0.41571681479016998</v>
      </c>
      <c r="J338" s="58">
        <v>0.223644299881949</v>
      </c>
    </row>
    <row r="339" spans="1:10" ht="11.25" customHeight="1" x14ac:dyDescent="0.2">
      <c r="A339" s="67">
        <v>44501</v>
      </c>
      <c r="B339" s="57">
        <v>0</v>
      </c>
      <c r="C339" s="57">
        <v>0</v>
      </c>
      <c r="D339" s="57">
        <v>381.64499999999998</v>
      </c>
      <c r="E339" s="57">
        <v>446.68990182720023</v>
      </c>
      <c r="F339" s="57">
        <v>105.73</v>
      </c>
      <c r="G339" s="57">
        <v>149.6837388277647</v>
      </c>
      <c r="H339" s="58">
        <v>0.17043299880045648</v>
      </c>
      <c r="I339" s="58">
        <v>0.4157168147901702</v>
      </c>
      <c r="J339" s="58">
        <v>0.223644299881949</v>
      </c>
    </row>
    <row r="340" spans="1:10" ht="11.25" customHeight="1" x14ac:dyDescent="0.2">
      <c r="A340" s="67">
        <v>44531</v>
      </c>
      <c r="B340" s="57">
        <v>0</v>
      </c>
      <c r="C340" s="57">
        <v>0</v>
      </c>
      <c r="D340" s="57">
        <v>284.70716999999996</v>
      </c>
      <c r="E340" s="57">
        <v>333.23066676309139</v>
      </c>
      <c r="F340" s="57">
        <v>78.874580000000009</v>
      </c>
      <c r="G340" s="57">
        <v>111.66406916551246</v>
      </c>
      <c r="H340" s="58">
        <v>0.1704329988004567</v>
      </c>
      <c r="I340" s="58">
        <v>0.41571681479016998</v>
      </c>
      <c r="J340" s="58">
        <v>0.22364429988194923</v>
      </c>
    </row>
    <row r="341" spans="1:10" ht="11.25" customHeight="1" x14ac:dyDescent="0.2">
      <c r="A341" s="67">
        <v>44562</v>
      </c>
      <c r="B341" s="57">
        <v>0</v>
      </c>
      <c r="C341" s="57">
        <v>0</v>
      </c>
      <c r="D341" s="57">
        <v>397.67408999999998</v>
      </c>
      <c r="E341" s="57">
        <v>465.45087770394264</v>
      </c>
      <c r="F341" s="57">
        <v>110.17066000000001</v>
      </c>
      <c r="G341" s="57">
        <v>155.97045585853081</v>
      </c>
      <c r="H341" s="58">
        <v>0.17043299880045648</v>
      </c>
      <c r="I341" s="58">
        <v>0.41571681479016998</v>
      </c>
      <c r="J341" s="58">
        <v>0.22364429988194923</v>
      </c>
    </row>
    <row r="342" spans="1:10" ht="11.25" customHeight="1" x14ac:dyDescent="0.2">
      <c r="A342" s="67">
        <v>44593</v>
      </c>
      <c r="B342" s="57">
        <v>0</v>
      </c>
      <c r="C342" s="57">
        <v>0</v>
      </c>
      <c r="D342" s="57">
        <v>345.00707999999997</v>
      </c>
      <c r="E342" s="57">
        <v>403.80767125178903</v>
      </c>
      <c r="F342" s="57">
        <v>95.579920000000001</v>
      </c>
      <c r="G342" s="57">
        <v>135.31409990029928</v>
      </c>
      <c r="H342" s="58">
        <v>0.1704329988004567</v>
      </c>
      <c r="I342" s="58">
        <v>0.4157168147901702</v>
      </c>
      <c r="J342" s="58">
        <v>0.223644299881949</v>
      </c>
    </row>
    <row r="343" spans="1:10" ht="11.25" customHeight="1" x14ac:dyDescent="0.2">
      <c r="A343" s="67">
        <v>44621</v>
      </c>
      <c r="B343" s="57">
        <v>0</v>
      </c>
      <c r="C343" s="57">
        <v>0</v>
      </c>
      <c r="D343" s="57">
        <v>454.15754999999996</v>
      </c>
      <c r="E343" s="57">
        <v>531.56098317436829</v>
      </c>
      <c r="F343" s="57">
        <v>125.81869999999999</v>
      </c>
      <c r="G343" s="57">
        <v>178.12364920503998</v>
      </c>
      <c r="H343" s="58">
        <v>0.1704329988004567</v>
      </c>
      <c r="I343" s="58">
        <v>0.4157168147901702</v>
      </c>
      <c r="J343" s="58">
        <v>0.22364429988194923</v>
      </c>
    </row>
    <row r="344" spans="1:10" ht="11.25" customHeight="1" x14ac:dyDescent="0.2">
      <c r="A344" s="64" t="s">
        <v>54</v>
      </c>
      <c r="B344" s="57">
        <v>0</v>
      </c>
      <c r="C344" s="57">
        <v>0</v>
      </c>
      <c r="D344" s="57">
        <v>1136.0808360000001</v>
      </c>
      <c r="E344" s="57">
        <v>1329.7064997592097</v>
      </c>
      <c r="F344" s="57">
        <v>314.73706400000003</v>
      </c>
      <c r="G344" s="57">
        <v>445.57855374248999</v>
      </c>
      <c r="H344" s="58">
        <v>0.17043299880045648</v>
      </c>
      <c r="I344" s="58">
        <v>0.4157168147901702</v>
      </c>
      <c r="J344" s="58">
        <v>0.223644299881949</v>
      </c>
    </row>
    <row r="345" spans="1:10" ht="11.25" customHeight="1" x14ac:dyDescent="0.2">
      <c r="A345" s="65" t="s">
        <v>25</v>
      </c>
      <c r="B345" s="57">
        <v>0</v>
      </c>
      <c r="C345" s="57">
        <v>0</v>
      </c>
      <c r="D345" s="57">
        <v>1136.0808360000001</v>
      </c>
      <c r="E345" s="57">
        <v>1329.7064997592097</v>
      </c>
      <c r="F345" s="57">
        <v>314.73706400000003</v>
      </c>
      <c r="G345" s="57">
        <v>445.57855374248999</v>
      </c>
      <c r="H345" s="58">
        <v>0.17043299880045648</v>
      </c>
      <c r="I345" s="58">
        <v>0.4157168147901702</v>
      </c>
      <c r="J345" s="58">
        <v>0.223644299881949</v>
      </c>
    </row>
    <row r="346" spans="1:10" ht="11.25" customHeight="1" x14ac:dyDescent="0.2">
      <c r="A346" s="66" t="s">
        <v>25</v>
      </c>
      <c r="B346" s="57">
        <v>0</v>
      </c>
      <c r="C346" s="57">
        <v>0</v>
      </c>
      <c r="D346" s="57">
        <v>1136.0808360000001</v>
      </c>
      <c r="E346" s="57">
        <v>1329.7064997592097</v>
      </c>
      <c r="F346" s="57">
        <v>314.73706400000003</v>
      </c>
      <c r="G346" s="57">
        <v>445.57855374248999</v>
      </c>
      <c r="H346" s="58">
        <v>0.17043299880045648</v>
      </c>
      <c r="I346" s="58">
        <v>0.4157168147901702</v>
      </c>
      <c r="J346" s="58">
        <v>0.223644299881949</v>
      </c>
    </row>
    <row r="347" spans="1:10" ht="11.25" customHeight="1" x14ac:dyDescent="0.2">
      <c r="A347" s="67">
        <v>44287</v>
      </c>
      <c r="B347" s="57">
        <v>0</v>
      </c>
      <c r="C347" s="57">
        <v>0</v>
      </c>
      <c r="D347" s="57">
        <v>38.164499999999997</v>
      </c>
      <c r="E347" s="57">
        <v>44.668990182720023</v>
      </c>
      <c r="F347" s="57">
        <v>10.573</v>
      </c>
      <c r="G347" s="57">
        <v>14.96837388277647</v>
      </c>
      <c r="H347" s="58">
        <v>0.1704329988004567</v>
      </c>
      <c r="I347" s="58">
        <v>0.4157168147901702</v>
      </c>
      <c r="J347" s="58">
        <v>0.22364429988194923</v>
      </c>
    </row>
    <row r="348" spans="1:10" ht="11.25" customHeight="1" x14ac:dyDescent="0.2">
      <c r="A348" s="67">
        <v>44317</v>
      </c>
      <c r="B348" s="57">
        <v>0</v>
      </c>
      <c r="C348" s="57">
        <v>0</v>
      </c>
      <c r="D348" s="57">
        <v>46.408031999999999</v>
      </c>
      <c r="E348" s="57">
        <v>54.317492062187547</v>
      </c>
      <c r="F348" s="57">
        <v>12.856768000000001</v>
      </c>
      <c r="G348" s="57">
        <v>18.201542641456186</v>
      </c>
      <c r="H348" s="58">
        <v>0.17043299880045648</v>
      </c>
      <c r="I348" s="58">
        <v>0.41571681479016998</v>
      </c>
      <c r="J348" s="58">
        <v>0.22364429988194923</v>
      </c>
    </row>
    <row r="349" spans="1:10" ht="11.25" customHeight="1" x14ac:dyDescent="0.2">
      <c r="A349" s="67">
        <v>44348</v>
      </c>
      <c r="B349" s="57">
        <v>0</v>
      </c>
      <c r="C349" s="57">
        <v>0</v>
      </c>
      <c r="D349" s="57">
        <v>1.2212639999999999</v>
      </c>
      <c r="E349" s="57">
        <v>1.4294076858470408</v>
      </c>
      <c r="F349" s="57">
        <v>0.33833600000000003</v>
      </c>
      <c r="G349" s="57">
        <v>0.47898796424884704</v>
      </c>
      <c r="H349" s="58">
        <v>0.1704329988004567</v>
      </c>
      <c r="I349" s="58">
        <v>0.4157168147901702</v>
      </c>
      <c r="J349" s="58">
        <v>0.22364429988194923</v>
      </c>
    </row>
    <row r="350" spans="1:10" ht="11.25" customHeight="1" x14ac:dyDescent="0.2">
      <c r="A350" s="67">
        <v>44378</v>
      </c>
      <c r="B350" s="57">
        <v>0</v>
      </c>
      <c r="C350" s="57">
        <v>0</v>
      </c>
      <c r="D350" s="57">
        <v>0.91594799999999987</v>
      </c>
      <c r="E350" s="57">
        <v>1.0720557643852804</v>
      </c>
      <c r="F350" s="57">
        <v>0.25375199999999998</v>
      </c>
      <c r="G350" s="57">
        <v>0.35924097318663523</v>
      </c>
      <c r="H350" s="58">
        <v>0.17043299880045648</v>
      </c>
      <c r="I350" s="58">
        <v>0.4157168147901702</v>
      </c>
      <c r="J350" s="58">
        <v>0.22364429988194923</v>
      </c>
    </row>
    <row r="351" spans="1:10" ht="11.25" customHeight="1" x14ac:dyDescent="0.2">
      <c r="A351" s="67">
        <v>44409</v>
      </c>
      <c r="B351" s="57">
        <v>0</v>
      </c>
      <c r="C351" s="57">
        <v>0</v>
      </c>
      <c r="D351" s="57">
        <v>72.665208000000007</v>
      </c>
      <c r="E351" s="57">
        <v>85.049757307898929</v>
      </c>
      <c r="F351" s="57">
        <v>20.130992000000003</v>
      </c>
      <c r="G351" s="57">
        <v>28.4997838728064</v>
      </c>
      <c r="H351" s="58">
        <v>0.17043299880045648</v>
      </c>
      <c r="I351" s="58">
        <v>0.4157168147901702</v>
      </c>
      <c r="J351" s="58">
        <v>0.223644299881949</v>
      </c>
    </row>
    <row r="352" spans="1:10" ht="11.25" customHeight="1" x14ac:dyDescent="0.2">
      <c r="A352" s="67">
        <v>44440</v>
      </c>
      <c r="B352" s="57">
        <v>0</v>
      </c>
      <c r="C352" s="57">
        <v>0</v>
      </c>
      <c r="D352" s="57">
        <v>8.854163999999999</v>
      </c>
      <c r="E352" s="57">
        <v>10.363205722391045</v>
      </c>
      <c r="F352" s="57">
        <v>2.4529359999999998</v>
      </c>
      <c r="G352" s="57">
        <v>3.4726627408041408</v>
      </c>
      <c r="H352" s="58">
        <v>0.1704329988004567</v>
      </c>
      <c r="I352" s="58">
        <v>0.4157168147901702</v>
      </c>
      <c r="J352" s="58">
        <v>0.22364429988194923</v>
      </c>
    </row>
    <row r="353" spans="1:10" ht="11.25" customHeight="1" x14ac:dyDescent="0.2">
      <c r="A353" s="67">
        <v>44470</v>
      </c>
      <c r="B353" s="57">
        <v>0</v>
      </c>
      <c r="C353" s="57">
        <v>0</v>
      </c>
      <c r="D353" s="57">
        <v>18.013643999999999</v>
      </c>
      <c r="E353" s="57">
        <v>21.083763366243851</v>
      </c>
      <c r="F353" s="57">
        <v>4.990456</v>
      </c>
      <c r="G353" s="57">
        <v>7.0650724726704937</v>
      </c>
      <c r="H353" s="58">
        <v>0.17043299880045648</v>
      </c>
      <c r="I353" s="58">
        <v>0.4157168147901702</v>
      </c>
      <c r="J353" s="58">
        <v>0.223644299881949</v>
      </c>
    </row>
    <row r="354" spans="1:10" ht="11.25" customHeight="1" x14ac:dyDescent="0.2">
      <c r="A354" s="67">
        <v>44531</v>
      </c>
      <c r="B354" s="57">
        <v>0</v>
      </c>
      <c r="C354" s="57">
        <v>0</v>
      </c>
      <c r="D354" s="57">
        <v>189.601236</v>
      </c>
      <c r="E354" s="57">
        <v>221.91554322775309</v>
      </c>
      <c r="F354" s="57">
        <v>52.526664000000004</v>
      </c>
      <c r="G354" s="57">
        <v>74.362881449633505</v>
      </c>
      <c r="H354" s="58">
        <v>0.1704329988004567</v>
      </c>
      <c r="I354" s="58">
        <v>0.4157168147901702</v>
      </c>
      <c r="J354" s="58">
        <v>0.22364429988194923</v>
      </c>
    </row>
    <row r="355" spans="1:10" ht="11.25" customHeight="1" x14ac:dyDescent="0.2">
      <c r="A355" s="67">
        <v>44562</v>
      </c>
      <c r="B355" s="57">
        <v>0</v>
      </c>
      <c r="C355" s="57">
        <v>0</v>
      </c>
      <c r="D355" s="57">
        <v>16.181747999999999</v>
      </c>
      <c r="E355" s="57">
        <v>18.939651837473289</v>
      </c>
      <c r="F355" s="57">
        <v>4.482952</v>
      </c>
      <c r="G355" s="57">
        <v>6.3465905262972235</v>
      </c>
      <c r="H355" s="58">
        <v>0.17043299880045648</v>
      </c>
      <c r="I355" s="58">
        <v>0.4157168147901702</v>
      </c>
      <c r="J355" s="58">
        <v>0.223644299881949</v>
      </c>
    </row>
    <row r="356" spans="1:10" ht="11.25" customHeight="1" x14ac:dyDescent="0.2">
      <c r="A356" s="67">
        <v>44593</v>
      </c>
      <c r="B356" s="57">
        <v>0</v>
      </c>
      <c r="C356" s="57">
        <v>0</v>
      </c>
      <c r="D356" s="57">
        <v>246.39001199999996</v>
      </c>
      <c r="E356" s="57">
        <v>288.38300061964043</v>
      </c>
      <c r="F356" s="57">
        <v>68.259287999999998</v>
      </c>
      <c r="G356" s="57">
        <v>96.63582178720489</v>
      </c>
      <c r="H356" s="58">
        <v>0.17043299880045648</v>
      </c>
      <c r="I356" s="58">
        <v>0.4157168147901702</v>
      </c>
      <c r="J356" s="58">
        <v>0.22364429988194923</v>
      </c>
    </row>
    <row r="357" spans="1:10" ht="11.25" customHeight="1" x14ac:dyDescent="0.2">
      <c r="A357" s="67">
        <v>44621</v>
      </c>
      <c r="B357" s="57">
        <v>0</v>
      </c>
      <c r="C357" s="57">
        <v>0</v>
      </c>
      <c r="D357" s="57">
        <v>497.66507999999999</v>
      </c>
      <c r="E357" s="57">
        <v>582.48363198266907</v>
      </c>
      <c r="F357" s="57">
        <v>137.87192000000002</v>
      </c>
      <c r="G357" s="57">
        <v>195.18759543140519</v>
      </c>
      <c r="H357" s="58">
        <v>0.17043299880045648</v>
      </c>
      <c r="I357" s="58">
        <v>0.4157168147901702</v>
      </c>
      <c r="J357" s="58">
        <v>0.223644299881949</v>
      </c>
    </row>
    <row r="358" spans="1:10" ht="11.25" customHeight="1" x14ac:dyDescent="0.2">
      <c r="A358" s="63" t="s">
        <v>55</v>
      </c>
      <c r="B358" s="57">
        <v>0</v>
      </c>
      <c r="C358" s="57">
        <v>0</v>
      </c>
      <c r="D358" s="57">
        <v>27026.724978000002</v>
      </c>
      <c r="E358" s="57">
        <v>31632.970763755737</v>
      </c>
      <c r="F358" s="57">
        <v>7487.4179720000011</v>
      </c>
      <c r="G358" s="57">
        <v>10600.063522322516</v>
      </c>
      <c r="H358" s="58">
        <v>0.17043299880045626</v>
      </c>
      <c r="I358" s="58">
        <v>0.41571681479016998</v>
      </c>
      <c r="J358" s="58">
        <v>0.223644299881949</v>
      </c>
    </row>
    <row r="359" spans="1:10" ht="11.25" customHeight="1" x14ac:dyDescent="0.2">
      <c r="A359" s="64" t="s">
        <v>53</v>
      </c>
      <c r="B359" s="57">
        <v>0</v>
      </c>
      <c r="C359" s="57">
        <v>0</v>
      </c>
      <c r="D359" s="57">
        <v>14587.998479999998</v>
      </c>
      <c r="E359" s="57">
        <v>17074.2748074429</v>
      </c>
      <c r="F359" s="57">
        <v>4041.4235200000003</v>
      </c>
      <c r="G359" s="57">
        <v>5721.5112329524773</v>
      </c>
      <c r="H359" s="58">
        <v>0.17043299880045648</v>
      </c>
      <c r="I359" s="58">
        <v>0.41571681479016998</v>
      </c>
      <c r="J359" s="58">
        <v>0.223644299881949</v>
      </c>
    </row>
    <row r="360" spans="1:10" ht="11.25" customHeight="1" x14ac:dyDescent="0.2">
      <c r="A360" s="65" t="s">
        <v>25</v>
      </c>
      <c r="B360" s="57">
        <v>0</v>
      </c>
      <c r="C360" s="57">
        <v>0</v>
      </c>
      <c r="D360" s="57">
        <v>14587.998479999998</v>
      </c>
      <c r="E360" s="57">
        <v>17074.2748074429</v>
      </c>
      <c r="F360" s="57">
        <v>4041.4235200000003</v>
      </c>
      <c r="G360" s="57">
        <v>5721.5112329524773</v>
      </c>
      <c r="H360" s="58">
        <v>0.17043299880045648</v>
      </c>
      <c r="I360" s="58">
        <v>0.41571681479016998</v>
      </c>
      <c r="J360" s="58">
        <v>0.223644299881949</v>
      </c>
    </row>
    <row r="361" spans="1:10" ht="11.25" customHeight="1" x14ac:dyDescent="0.2">
      <c r="A361" s="66" t="s">
        <v>25</v>
      </c>
      <c r="B361" s="57">
        <v>0</v>
      </c>
      <c r="C361" s="57">
        <v>0</v>
      </c>
      <c r="D361" s="57">
        <v>14587.998479999998</v>
      </c>
      <c r="E361" s="57">
        <v>17074.2748074429</v>
      </c>
      <c r="F361" s="57">
        <v>4041.4235200000003</v>
      </c>
      <c r="G361" s="57">
        <v>5721.5112329524773</v>
      </c>
      <c r="H361" s="58">
        <v>0.17043299880045648</v>
      </c>
      <c r="I361" s="58">
        <v>0.41571681479016998</v>
      </c>
      <c r="J361" s="58">
        <v>0.223644299881949</v>
      </c>
    </row>
    <row r="362" spans="1:10" ht="11.25" customHeight="1" x14ac:dyDescent="0.2">
      <c r="A362" s="67">
        <v>44409</v>
      </c>
      <c r="B362" s="57">
        <v>0</v>
      </c>
      <c r="C362" s="57">
        <v>0</v>
      </c>
      <c r="D362" s="57">
        <v>4501.1211299999995</v>
      </c>
      <c r="E362" s="57">
        <v>5268.2607021499998</v>
      </c>
      <c r="F362" s="57">
        <v>1246.9796200000001</v>
      </c>
      <c r="G362" s="57">
        <v>1765.370015734657</v>
      </c>
      <c r="H362" s="58">
        <v>0.1704329988004567</v>
      </c>
      <c r="I362" s="58">
        <v>0.4157168147901702</v>
      </c>
      <c r="J362" s="58">
        <v>0.22364429988194923</v>
      </c>
    </row>
    <row r="363" spans="1:10" ht="11.25" customHeight="1" x14ac:dyDescent="0.2">
      <c r="A363" s="67">
        <v>44440</v>
      </c>
      <c r="B363" s="57">
        <v>0</v>
      </c>
      <c r="C363" s="57">
        <v>0</v>
      </c>
      <c r="D363" s="57">
        <v>5072.8253399999994</v>
      </c>
      <c r="E363" s="57">
        <v>5937.4021750871452</v>
      </c>
      <c r="F363" s="57">
        <v>1405.3631600000001</v>
      </c>
      <c r="G363" s="57">
        <v>1989.5962564986482</v>
      </c>
      <c r="H363" s="58">
        <v>0.1704329988004567</v>
      </c>
      <c r="I363" s="58">
        <v>0.41571681479016998</v>
      </c>
      <c r="J363" s="58">
        <v>0.22364429988194923</v>
      </c>
    </row>
    <row r="364" spans="1:10" ht="11.25" customHeight="1" x14ac:dyDescent="0.2">
      <c r="A364" s="67">
        <v>44470</v>
      </c>
      <c r="B364" s="57">
        <v>0</v>
      </c>
      <c r="C364" s="57">
        <v>0</v>
      </c>
      <c r="D364" s="57">
        <v>3368.3987700000002</v>
      </c>
      <c r="E364" s="57">
        <v>3942.4850735268697</v>
      </c>
      <c r="F364" s="57">
        <v>933.17298000000005</v>
      </c>
      <c r="G364" s="57">
        <v>1321.1086788938512</v>
      </c>
      <c r="H364" s="58">
        <v>0.17043299880045648</v>
      </c>
      <c r="I364" s="58">
        <v>0.4157168147901702</v>
      </c>
      <c r="J364" s="58">
        <v>0.22364429988194923</v>
      </c>
    </row>
    <row r="365" spans="1:10" ht="11.25" customHeight="1" x14ac:dyDescent="0.2">
      <c r="A365" s="67">
        <v>44501</v>
      </c>
      <c r="B365" s="57">
        <v>0</v>
      </c>
      <c r="C365" s="57">
        <v>0</v>
      </c>
      <c r="D365" s="57">
        <v>714.43943999999999</v>
      </c>
      <c r="E365" s="57">
        <v>836.2034962205189</v>
      </c>
      <c r="F365" s="57">
        <v>197.92656000000002</v>
      </c>
      <c r="G365" s="57">
        <v>280.20795908557551</v>
      </c>
      <c r="H365" s="58">
        <v>0.1704329988004567</v>
      </c>
      <c r="I365" s="58">
        <v>0.41571681479016998</v>
      </c>
      <c r="J365" s="58">
        <v>0.22364429988194923</v>
      </c>
    </row>
    <row r="366" spans="1:10" ht="11.25" customHeight="1" x14ac:dyDescent="0.2">
      <c r="A366" s="67">
        <v>44562</v>
      </c>
      <c r="B366" s="57">
        <v>0</v>
      </c>
      <c r="C366" s="57">
        <v>0</v>
      </c>
      <c r="D366" s="57">
        <v>654.13952999999992</v>
      </c>
      <c r="E366" s="57">
        <v>765.62649173182115</v>
      </c>
      <c r="F366" s="57">
        <v>181.22122000000002</v>
      </c>
      <c r="G366" s="57">
        <v>256.5579283507887</v>
      </c>
      <c r="H366" s="58">
        <v>0.17043299880045648</v>
      </c>
      <c r="I366" s="58">
        <v>0.4157168147901702</v>
      </c>
      <c r="J366" s="58">
        <v>0.22364429988194923</v>
      </c>
    </row>
    <row r="367" spans="1:10" ht="11.25" customHeight="1" x14ac:dyDescent="0.2">
      <c r="A367" s="67">
        <v>44593</v>
      </c>
      <c r="B367" s="57">
        <v>0</v>
      </c>
      <c r="C367" s="57">
        <v>0</v>
      </c>
      <c r="D367" s="57">
        <v>223.64396999999997</v>
      </c>
      <c r="E367" s="57">
        <v>261.7602824707393</v>
      </c>
      <c r="F367" s="57">
        <v>61.95778</v>
      </c>
      <c r="G367" s="57">
        <v>87.714670953070112</v>
      </c>
      <c r="H367" s="58">
        <v>0.17043299880045648</v>
      </c>
      <c r="I367" s="58">
        <v>0.4157168147901702</v>
      </c>
      <c r="J367" s="58">
        <v>0.22364429988194923</v>
      </c>
    </row>
    <row r="368" spans="1:10" ht="11.25" customHeight="1" x14ac:dyDescent="0.2">
      <c r="A368" s="67">
        <v>44621</v>
      </c>
      <c r="B368" s="57">
        <v>0</v>
      </c>
      <c r="C368" s="57">
        <v>0</v>
      </c>
      <c r="D368" s="57">
        <v>53.430300000000003</v>
      </c>
      <c r="E368" s="57">
        <v>62.536586255808039</v>
      </c>
      <c r="F368" s="57">
        <v>14.802200000000003</v>
      </c>
      <c r="G368" s="57">
        <v>20.955723435887059</v>
      </c>
      <c r="H368" s="58">
        <v>0.1704329988004567</v>
      </c>
      <c r="I368" s="58">
        <v>0.41571681479016998</v>
      </c>
      <c r="J368" s="58">
        <v>0.22364429988194923</v>
      </c>
    </row>
    <row r="369" spans="1:10" ht="11.25" customHeight="1" x14ac:dyDescent="0.2">
      <c r="A369" s="64" t="s">
        <v>54</v>
      </c>
      <c r="B369" s="57">
        <v>0</v>
      </c>
      <c r="C369" s="57">
        <v>0</v>
      </c>
      <c r="D369" s="57">
        <v>12438.726498</v>
      </c>
      <c r="E369" s="57">
        <v>14558.695956312842</v>
      </c>
      <c r="F369" s="57">
        <v>3445.9944520000008</v>
      </c>
      <c r="G369" s="57">
        <v>4878.5522893700381</v>
      </c>
      <c r="H369" s="58">
        <v>0.1704329988004567</v>
      </c>
      <c r="I369" s="58">
        <v>0.41571681479016998</v>
      </c>
      <c r="J369" s="58">
        <v>0.223644299881949</v>
      </c>
    </row>
    <row r="370" spans="1:10" ht="11.25" customHeight="1" x14ac:dyDescent="0.2">
      <c r="A370" s="65" t="s">
        <v>25</v>
      </c>
      <c r="B370" s="57">
        <v>0</v>
      </c>
      <c r="C370" s="57">
        <v>0</v>
      </c>
      <c r="D370" s="57">
        <v>12438.726498</v>
      </c>
      <c r="E370" s="57">
        <v>14558.695956312842</v>
      </c>
      <c r="F370" s="57">
        <v>3445.9944520000008</v>
      </c>
      <c r="G370" s="57">
        <v>4878.5522893700381</v>
      </c>
      <c r="H370" s="58">
        <v>0.1704329988004567</v>
      </c>
      <c r="I370" s="58">
        <v>0.41571681479016998</v>
      </c>
      <c r="J370" s="58">
        <v>0.223644299881949</v>
      </c>
    </row>
    <row r="371" spans="1:10" ht="11.25" customHeight="1" x14ac:dyDescent="0.2">
      <c r="A371" s="66" t="s">
        <v>25</v>
      </c>
      <c r="B371" s="57">
        <v>0</v>
      </c>
      <c r="C371" s="57">
        <v>0</v>
      </c>
      <c r="D371" s="57">
        <v>12438.726498</v>
      </c>
      <c r="E371" s="57">
        <v>14558.695956312842</v>
      </c>
      <c r="F371" s="57">
        <v>3445.9944520000008</v>
      </c>
      <c r="G371" s="57">
        <v>4878.5522893700381</v>
      </c>
      <c r="H371" s="58">
        <v>0.1704329988004567</v>
      </c>
      <c r="I371" s="58">
        <v>0.41571681479016998</v>
      </c>
      <c r="J371" s="58">
        <v>0.223644299881949</v>
      </c>
    </row>
    <row r="372" spans="1:10" ht="11.25" customHeight="1" x14ac:dyDescent="0.2">
      <c r="A372" s="67">
        <v>44409</v>
      </c>
      <c r="B372" s="57">
        <v>0</v>
      </c>
      <c r="C372" s="57">
        <v>0</v>
      </c>
      <c r="D372" s="57">
        <v>902.81941200000006</v>
      </c>
      <c r="E372" s="57">
        <v>1056.6896317624248</v>
      </c>
      <c r="F372" s="57">
        <v>250.11488800000004</v>
      </c>
      <c r="G372" s="57">
        <v>354.09185257096021</v>
      </c>
      <c r="H372" s="58">
        <v>0.17043299880045648</v>
      </c>
      <c r="I372" s="58">
        <v>0.4157168147901702</v>
      </c>
      <c r="J372" s="58">
        <v>0.22364429988194878</v>
      </c>
    </row>
    <row r="373" spans="1:10" ht="11.25" customHeight="1" x14ac:dyDescent="0.2">
      <c r="A373" s="67">
        <v>44440</v>
      </c>
      <c r="B373" s="57">
        <v>0</v>
      </c>
      <c r="C373" s="57">
        <v>0</v>
      </c>
      <c r="D373" s="57">
        <v>615.51705600000003</v>
      </c>
      <c r="E373" s="57">
        <v>720.42147366690858</v>
      </c>
      <c r="F373" s="57">
        <v>170.521344</v>
      </c>
      <c r="G373" s="57">
        <v>241.4099339814189</v>
      </c>
      <c r="H373" s="58">
        <v>0.17043299880045648</v>
      </c>
      <c r="I373" s="58">
        <v>0.4157168147901702</v>
      </c>
      <c r="J373" s="58">
        <v>0.22364429988194923</v>
      </c>
    </row>
    <row r="374" spans="1:10" ht="11.25" customHeight="1" x14ac:dyDescent="0.2">
      <c r="A374" s="67">
        <v>44470</v>
      </c>
      <c r="B374" s="57">
        <v>0</v>
      </c>
      <c r="C374" s="57">
        <v>0</v>
      </c>
      <c r="D374" s="57">
        <v>1724.2721099999999</v>
      </c>
      <c r="E374" s="57">
        <v>2018.1449764552906</v>
      </c>
      <c r="F374" s="57">
        <v>477.68813999999998</v>
      </c>
      <c r="G374" s="57">
        <v>676.27113202384089</v>
      </c>
      <c r="H374" s="58">
        <v>0.17043299880045648</v>
      </c>
      <c r="I374" s="58">
        <v>0.4157168147901702</v>
      </c>
      <c r="J374" s="58">
        <v>0.22364429988194878</v>
      </c>
    </row>
    <row r="375" spans="1:10" ht="11.25" customHeight="1" x14ac:dyDescent="0.2">
      <c r="A375" s="67">
        <v>44501</v>
      </c>
      <c r="B375" s="57">
        <v>0</v>
      </c>
      <c r="C375" s="57">
        <v>0</v>
      </c>
      <c r="D375" s="57">
        <v>1667.78865</v>
      </c>
      <c r="E375" s="57">
        <v>1952.0348709848652</v>
      </c>
      <c r="F375" s="57">
        <v>462.04010000000005</v>
      </c>
      <c r="G375" s="57">
        <v>654.11793867733172</v>
      </c>
      <c r="H375" s="58">
        <v>0.1704329988004567</v>
      </c>
      <c r="I375" s="58">
        <v>0.41571681479016998</v>
      </c>
      <c r="J375" s="58">
        <v>0.223644299881949</v>
      </c>
    </row>
    <row r="376" spans="1:10" ht="11.25" customHeight="1" x14ac:dyDescent="0.2">
      <c r="A376" s="67">
        <v>44531</v>
      </c>
      <c r="B376" s="57">
        <v>0</v>
      </c>
      <c r="C376" s="57">
        <v>0</v>
      </c>
      <c r="D376" s="57">
        <v>597.65607</v>
      </c>
      <c r="E376" s="57">
        <v>699.51638626139561</v>
      </c>
      <c r="F376" s="57">
        <v>165.57318000000001</v>
      </c>
      <c r="G376" s="57">
        <v>234.40473500427953</v>
      </c>
      <c r="H376" s="58">
        <v>0.1704329988004567</v>
      </c>
      <c r="I376" s="58">
        <v>0.4157168147901702</v>
      </c>
      <c r="J376" s="58">
        <v>0.223644299881949</v>
      </c>
    </row>
    <row r="377" spans="1:10" ht="11.25" customHeight="1" x14ac:dyDescent="0.2">
      <c r="A377" s="67">
        <v>44562</v>
      </c>
      <c r="B377" s="57">
        <v>0</v>
      </c>
      <c r="C377" s="57">
        <v>0</v>
      </c>
      <c r="D377" s="57">
        <v>2608.9252200000001</v>
      </c>
      <c r="E377" s="57">
        <v>3053.5721688907411</v>
      </c>
      <c r="F377" s="57">
        <v>722.77028000000007</v>
      </c>
      <c r="G377" s="57">
        <v>1023.2380386265995</v>
      </c>
      <c r="H377" s="58">
        <v>0.1704329988004567</v>
      </c>
      <c r="I377" s="58">
        <v>0.4157168147901702</v>
      </c>
      <c r="J377" s="58">
        <v>0.223644299881949</v>
      </c>
    </row>
    <row r="378" spans="1:10" ht="11.25" customHeight="1" x14ac:dyDescent="0.2">
      <c r="A378" s="67">
        <v>44593</v>
      </c>
      <c r="B378" s="57">
        <v>0</v>
      </c>
      <c r="C378" s="57">
        <v>0</v>
      </c>
      <c r="D378" s="57">
        <v>2134.9221299999999</v>
      </c>
      <c r="E378" s="57">
        <v>2498.7833108213581</v>
      </c>
      <c r="F378" s="57">
        <v>591.45362</v>
      </c>
      <c r="G378" s="57">
        <v>837.33083500251576</v>
      </c>
      <c r="H378" s="58">
        <v>0.17043299880045648</v>
      </c>
      <c r="I378" s="58">
        <v>0.4157168147901702</v>
      </c>
      <c r="J378" s="58">
        <v>0.223644299881949</v>
      </c>
    </row>
    <row r="379" spans="1:10" ht="11.25" customHeight="1" x14ac:dyDescent="0.2">
      <c r="A379" s="67">
        <v>44621</v>
      </c>
      <c r="B379" s="57">
        <v>0</v>
      </c>
      <c r="C379" s="57">
        <v>0</v>
      </c>
      <c r="D379" s="57">
        <v>2186.8258500000002</v>
      </c>
      <c r="E379" s="57">
        <v>2559.5331374698576</v>
      </c>
      <c r="F379" s="57">
        <v>605.83290000000011</v>
      </c>
      <c r="G379" s="57">
        <v>857.68782348309185</v>
      </c>
      <c r="H379" s="58">
        <v>0.17043299880045648</v>
      </c>
      <c r="I379" s="58">
        <v>0.4157168147901702</v>
      </c>
      <c r="J379" s="58">
        <v>0.223644299881949</v>
      </c>
    </row>
    <row r="380" spans="1:10" ht="11.25" customHeight="1" x14ac:dyDescent="0.2">
      <c r="A380" s="63" t="s">
        <v>25</v>
      </c>
      <c r="B380" s="57">
        <v>0</v>
      </c>
      <c r="C380" s="57">
        <v>0</v>
      </c>
      <c r="D380" s="57">
        <v>417853.95101999992</v>
      </c>
      <c r="E380" s="57">
        <v>489070.05295295769</v>
      </c>
      <c r="F380" s="57">
        <v>115761.23947999999</v>
      </c>
      <c r="G380" s="57">
        <v>163885.13323278772</v>
      </c>
      <c r="H380" s="58">
        <v>0.17043299880045648</v>
      </c>
      <c r="I380" s="58">
        <v>0.4157168147901702</v>
      </c>
      <c r="J380" s="58">
        <v>0.223644299881949</v>
      </c>
    </row>
    <row r="381" spans="1:10" ht="11.25" customHeight="1" x14ac:dyDescent="0.2">
      <c r="A381" s="64" t="s">
        <v>25</v>
      </c>
      <c r="B381" s="57">
        <v>0</v>
      </c>
      <c r="C381" s="57">
        <v>0</v>
      </c>
      <c r="D381" s="57">
        <v>417853.95101999992</v>
      </c>
      <c r="E381" s="57">
        <v>489070.05295295769</v>
      </c>
      <c r="F381" s="57">
        <v>115761.23947999999</v>
      </c>
      <c r="G381" s="57">
        <v>163885.13323278772</v>
      </c>
      <c r="H381" s="58">
        <v>0.17043299880045648</v>
      </c>
      <c r="I381" s="58">
        <v>0.4157168147901702</v>
      </c>
      <c r="J381" s="58">
        <v>0.223644299881949</v>
      </c>
    </row>
    <row r="382" spans="1:10" ht="11.25" customHeight="1" x14ac:dyDescent="0.2">
      <c r="A382" s="65" t="s">
        <v>25</v>
      </c>
      <c r="B382" s="57">
        <v>0</v>
      </c>
      <c r="C382" s="57">
        <v>0</v>
      </c>
      <c r="D382" s="57">
        <v>417853.95101999992</v>
      </c>
      <c r="E382" s="57">
        <v>489070.05295295769</v>
      </c>
      <c r="F382" s="57">
        <v>115761.23947999999</v>
      </c>
      <c r="G382" s="57">
        <v>163885.13323278772</v>
      </c>
      <c r="H382" s="58">
        <v>0.17043299880045648</v>
      </c>
      <c r="I382" s="58">
        <v>0.4157168147901702</v>
      </c>
      <c r="J382" s="58">
        <v>0.223644299881949</v>
      </c>
    </row>
    <row r="383" spans="1:10" ht="11.25" customHeight="1" x14ac:dyDescent="0.2">
      <c r="A383" s="66" t="s">
        <v>25</v>
      </c>
      <c r="B383" s="57">
        <v>0</v>
      </c>
      <c r="C383" s="57">
        <v>0</v>
      </c>
      <c r="D383" s="57">
        <v>417853.95101999992</v>
      </c>
      <c r="E383" s="57">
        <v>489070.05295295769</v>
      </c>
      <c r="F383" s="57">
        <v>115761.23947999999</v>
      </c>
      <c r="G383" s="57">
        <v>163885.13323278772</v>
      </c>
      <c r="H383" s="58">
        <v>0.17043299880045648</v>
      </c>
      <c r="I383" s="58">
        <v>0.4157168147901702</v>
      </c>
      <c r="J383" s="58">
        <v>0.223644299881949</v>
      </c>
    </row>
    <row r="384" spans="1:10" ht="11.25" customHeight="1" x14ac:dyDescent="0.2">
      <c r="A384" s="67">
        <v>44287</v>
      </c>
      <c r="B384" s="57">
        <v>0</v>
      </c>
      <c r="C384" s="57">
        <v>0</v>
      </c>
      <c r="D384" s="57">
        <v>43223.586119999993</v>
      </c>
      <c r="E384" s="57">
        <v>50590.311521341384</v>
      </c>
      <c r="F384" s="57">
        <v>11974.55688</v>
      </c>
      <c r="G384" s="57">
        <v>16952.58152467732</v>
      </c>
      <c r="H384" s="58">
        <v>0.1704329988004567</v>
      </c>
      <c r="I384" s="58">
        <v>0.41571681479017042</v>
      </c>
      <c r="J384" s="58">
        <v>0.223644299881949</v>
      </c>
    </row>
    <row r="385" spans="1:10" ht="11.25" customHeight="1" x14ac:dyDescent="0.2">
      <c r="A385" s="67">
        <v>44317</v>
      </c>
      <c r="B385" s="57">
        <v>0</v>
      </c>
      <c r="C385" s="57">
        <v>0</v>
      </c>
      <c r="D385" s="57">
        <v>33323.714819999994</v>
      </c>
      <c r="E385" s="57">
        <v>39003.175467943816</v>
      </c>
      <c r="F385" s="57">
        <v>9231.9206799999993</v>
      </c>
      <c r="G385" s="57">
        <v>13069.785339485103</v>
      </c>
      <c r="H385" s="58">
        <v>0.1704329988004567</v>
      </c>
      <c r="I385" s="58">
        <v>0.41571681479017042</v>
      </c>
      <c r="J385" s="58">
        <v>0.22364429988194945</v>
      </c>
    </row>
    <row r="386" spans="1:10" ht="11.25" customHeight="1" x14ac:dyDescent="0.2">
      <c r="A386" s="67">
        <v>44348</v>
      </c>
      <c r="B386" s="57">
        <v>0</v>
      </c>
      <c r="C386" s="57">
        <v>0</v>
      </c>
      <c r="D386" s="57">
        <v>36580.67325</v>
      </c>
      <c r="E386" s="57">
        <v>42815.227090137138</v>
      </c>
      <c r="F386" s="57">
        <v>10134.220500000001</v>
      </c>
      <c r="G386" s="57">
        <v>14347.186366641246</v>
      </c>
      <c r="H386" s="58">
        <v>0.17043299880045648</v>
      </c>
      <c r="I386" s="58">
        <v>0.41571681479016998</v>
      </c>
      <c r="J386" s="58">
        <v>0.223644299881949</v>
      </c>
    </row>
    <row r="387" spans="1:10" ht="11.25" customHeight="1" x14ac:dyDescent="0.2">
      <c r="A387" s="67">
        <v>44378</v>
      </c>
      <c r="B387" s="57">
        <v>0</v>
      </c>
      <c r="C387" s="57">
        <v>0</v>
      </c>
      <c r="D387" s="57">
        <v>49241.364479999989</v>
      </c>
      <c r="E387" s="57">
        <v>57633.717893352681</v>
      </c>
      <c r="F387" s="57">
        <v>13641.70752</v>
      </c>
      <c r="G387" s="57">
        <v>19312.794718513513</v>
      </c>
      <c r="H387" s="58">
        <v>0.1704329988004567</v>
      </c>
      <c r="I387" s="58">
        <v>0.4157168147901702</v>
      </c>
      <c r="J387" s="58">
        <v>0.22364429988194945</v>
      </c>
    </row>
    <row r="388" spans="1:10" ht="11.25" customHeight="1" x14ac:dyDescent="0.2">
      <c r="A388" s="67">
        <v>44409</v>
      </c>
      <c r="B388" s="57">
        <v>0</v>
      </c>
      <c r="C388" s="57">
        <v>0</v>
      </c>
      <c r="D388" s="57">
        <v>30466.720349999996</v>
      </c>
      <c r="E388" s="57">
        <v>35659.254862865397</v>
      </c>
      <c r="F388" s="57">
        <v>8440.425900000002</v>
      </c>
      <c r="G388" s="57">
        <v>11949.252870620454</v>
      </c>
      <c r="H388" s="58">
        <v>0.1704329988004567</v>
      </c>
      <c r="I388" s="58">
        <v>0.41571681479016975</v>
      </c>
      <c r="J388" s="58">
        <v>0.22364429988194923</v>
      </c>
    </row>
    <row r="389" spans="1:10" ht="11.25" customHeight="1" x14ac:dyDescent="0.2">
      <c r="A389" s="67">
        <v>44440</v>
      </c>
      <c r="B389" s="57">
        <v>0</v>
      </c>
      <c r="C389" s="57">
        <v>0</v>
      </c>
      <c r="D389" s="57">
        <v>32531.419799999996</v>
      </c>
      <c r="E389" s="57">
        <v>38075.847231750551</v>
      </c>
      <c r="F389" s="57">
        <v>9012.4251999999997</v>
      </c>
      <c r="G389" s="57">
        <v>12759.041897678662</v>
      </c>
      <c r="H389" s="58">
        <v>0.1704329988004567</v>
      </c>
      <c r="I389" s="58">
        <v>0.4157168147901702</v>
      </c>
      <c r="J389" s="58">
        <v>0.22364429988194923</v>
      </c>
    </row>
    <row r="390" spans="1:10" ht="11.25" customHeight="1" x14ac:dyDescent="0.2">
      <c r="A390" s="67">
        <v>44470</v>
      </c>
      <c r="B390" s="57">
        <v>0</v>
      </c>
      <c r="C390" s="57">
        <v>0</v>
      </c>
      <c r="D390" s="57">
        <v>31049.110619999999</v>
      </c>
      <c r="E390" s="57">
        <v>36340.903653053705</v>
      </c>
      <c r="F390" s="57">
        <v>8601.7698799999998</v>
      </c>
      <c r="G390" s="57">
        <v>12177.670256071626</v>
      </c>
      <c r="H390" s="58">
        <v>0.1704329988004567</v>
      </c>
      <c r="I390" s="58">
        <v>0.41571681479017042</v>
      </c>
      <c r="J390" s="58">
        <v>0.22364429988194923</v>
      </c>
    </row>
    <row r="391" spans="1:10" ht="11.25" customHeight="1" x14ac:dyDescent="0.2">
      <c r="A391" s="67">
        <v>44501</v>
      </c>
      <c r="B391" s="57">
        <v>0</v>
      </c>
      <c r="C391" s="57">
        <v>0</v>
      </c>
      <c r="D391" s="57">
        <v>29714.879699999998</v>
      </c>
      <c r="E391" s="57">
        <v>34779.275756265801</v>
      </c>
      <c r="F391" s="57">
        <v>8232.1377999999986</v>
      </c>
      <c r="G391" s="57">
        <v>11654.375905129758</v>
      </c>
      <c r="H391" s="58">
        <v>0.17043299880045626</v>
      </c>
      <c r="I391" s="58">
        <v>0.41571681479017042</v>
      </c>
      <c r="J391" s="58">
        <v>0.223644299881949</v>
      </c>
    </row>
    <row r="392" spans="1:10" ht="11.25" customHeight="1" x14ac:dyDescent="0.2">
      <c r="A392" s="67">
        <v>44531</v>
      </c>
      <c r="B392" s="57">
        <v>0</v>
      </c>
      <c r="C392" s="57">
        <v>0</v>
      </c>
      <c r="D392" s="57">
        <v>31561.27821</v>
      </c>
      <c r="E392" s="57">
        <v>36940.361501305808</v>
      </c>
      <c r="F392" s="57">
        <v>8743.6595400000006</v>
      </c>
      <c r="G392" s="57">
        <v>12378.545833578486</v>
      </c>
      <c r="H392" s="58">
        <v>0.1704329988004567</v>
      </c>
      <c r="I392" s="58">
        <v>0.4157168147901702</v>
      </c>
      <c r="J392" s="58">
        <v>0.22364429988194923</v>
      </c>
    </row>
    <row r="393" spans="1:10" ht="11.25" customHeight="1" x14ac:dyDescent="0.2">
      <c r="A393" s="67">
        <v>44562</v>
      </c>
      <c r="B393" s="57">
        <v>0</v>
      </c>
      <c r="C393" s="57">
        <v>0</v>
      </c>
      <c r="D393" s="57">
        <v>33674.06493</v>
      </c>
      <c r="E393" s="57">
        <v>39413.236797821184</v>
      </c>
      <c r="F393" s="57">
        <v>9328.9808200000007</v>
      </c>
      <c r="G393" s="57">
        <v>13207.195011728991</v>
      </c>
      <c r="H393" s="58">
        <v>0.17043299880045648</v>
      </c>
      <c r="I393" s="58">
        <v>0.4157168147901702</v>
      </c>
      <c r="J393" s="58">
        <v>0.22364429988194878</v>
      </c>
    </row>
    <row r="394" spans="1:10" ht="11.25" customHeight="1" x14ac:dyDescent="0.2">
      <c r="A394" s="67">
        <v>44593</v>
      </c>
      <c r="B394" s="57">
        <v>0</v>
      </c>
      <c r="C394" s="57">
        <v>0</v>
      </c>
      <c r="D394" s="57">
        <v>33832.06596</v>
      </c>
      <c r="E394" s="57">
        <v>39598.16641717765</v>
      </c>
      <c r="F394" s="57">
        <v>9372.7530400000014</v>
      </c>
      <c r="G394" s="57">
        <v>13269.164079603685</v>
      </c>
      <c r="H394" s="58">
        <v>0.1704329988004567</v>
      </c>
      <c r="I394" s="58">
        <v>0.41571681479016998</v>
      </c>
      <c r="J394" s="58">
        <v>0.223644299881949</v>
      </c>
    </row>
    <row r="395" spans="1:10" ht="11.25" customHeight="1" x14ac:dyDescent="0.2">
      <c r="A395" s="67">
        <v>44621</v>
      </c>
      <c r="B395" s="57">
        <v>0</v>
      </c>
      <c r="C395" s="57">
        <v>0</v>
      </c>
      <c r="D395" s="57">
        <v>32655.072779999999</v>
      </c>
      <c r="E395" s="57">
        <v>38220.574759942567</v>
      </c>
      <c r="F395" s="57">
        <v>9046.6817200000005</v>
      </c>
      <c r="G395" s="57">
        <v>12807.539429058859</v>
      </c>
      <c r="H395" s="58">
        <v>0.1704329988004567</v>
      </c>
      <c r="I395" s="58">
        <v>0.4157168147901702</v>
      </c>
      <c r="J395" s="58">
        <v>0.22364429988194945</v>
      </c>
    </row>
    <row r="396" spans="1:10" ht="11.25" customHeight="1" x14ac:dyDescent="0.2">
      <c r="A396" s="60" t="s">
        <v>35</v>
      </c>
      <c r="B396" s="57">
        <v>0</v>
      </c>
      <c r="C396" s="57">
        <v>0</v>
      </c>
      <c r="D396" s="57">
        <v>1553855.3216288001</v>
      </c>
      <c r="E396" s="57">
        <v>1702588.7507585967</v>
      </c>
      <c r="F396" s="57">
        <v>430486.20545039995</v>
      </c>
      <c r="G396" s="57">
        <v>570558.66666070325</v>
      </c>
      <c r="H396" s="58">
        <v>9.5718968850903252E-2</v>
      </c>
      <c r="I396" s="58">
        <v>0.32538199699976733</v>
      </c>
      <c r="J396" s="58">
        <v>0.14554243127955968</v>
      </c>
    </row>
    <row r="397" spans="1:10" ht="11.25" customHeight="1" x14ac:dyDescent="0.2">
      <c r="A397" s="61" t="s">
        <v>33</v>
      </c>
      <c r="B397" s="57">
        <v>0</v>
      </c>
      <c r="C397" s="57">
        <v>0</v>
      </c>
      <c r="D397" s="57">
        <v>2916.77106</v>
      </c>
      <c r="E397" s="57">
        <v>3197.1643239357245</v>
      </c>
      <c r="F397" s="57">
        <v>830.20194999999967</v>
      </c>
      <c r="G397" s="57">
        <v>1100.3347184041002</v>
      </c>
      <c r="H397" s="58">
        <v>9.6131392614586808E-2</v>
      </c>
      <c r="I397" s="58">
        <v>0.32538199699976689</v>
      </c>
      <c r="J397" s="58">
        <v>0.14692553986126122</v>
      </c>
    </row>
    <row r="398" spans="1:10" ht="11.25" customHeight="1" x14ac:dyDescent="0.2">
      <c r="A398" s="62" t="s">
        <v>40</v>
      </c>
      <c r="B398" s="57">
        <v>0</v>
      </c>
      <c r="C398" s="57">
        <v>0</v>
      </c>
      <c r="D398" s="57">
        <v>2916.77106</v>
      </c>
      <c r="E398" s="57">
        <v>3197.1643239357245</v>
      </c>
      <c r="F398" s="57">
        <v>830.20194999999967</v>
      </c>
      <c r="G398" s="57">
        <v>1100.3347184041002</v>
      </c>
      <c r="H398" s="58">
        <v>9.6131392614586808E-2</v>
      </c>
      <c r="I398" s="58">
        <v>0.32538199699976689</v>
      </c>
      <c r="J398" s="58">
        <v>0.14692553986126122</v>
      </c>
    </row>
    <row r="399" spans="1:10" ht="11.25" customHeight="1" x14ac:dyDescent="0.2">
      <c r="A399" s="63" t="s">
        <v>25</v>
      </c>
      <c r="B399" s="57">
        <v>0</v>
      </c>
      <c r="C399" s="57">
        <v>0</v>
      </c>
      <c r="D399" s="57">
        <v>2916.77106</v>
      </c>
      <c r="E399" s="57">
        <v>3197.1643239357245</v>
      </c>
      <c r="F399" s="57">
        <v>830.20194999999967</v>
      </c>
      <c r="G399" s="57">
        <v>1100.3347184041002</v>
      </c>
      <c r="H399" s="58">
        <v>9.6131392614586808E-2</v>
      </c>
      <c r="I399" s="58">
        <v>0.32538199699976689</v>
      </c>
      <c r="J399" s="58">
        <v>0.14692553986126122</v>
      </c>
    </row>
    <row r="400" spans="1:10" ht="11.25" customHeight="1" x14ac:dyDescent="0.2">
      <c r="A400" s="64" t="s">
        <v>25</v>
      </c>
      <c r="B400" s="57">
        <v>0</v>
      </c>
      <c r="C400" s="57">
        <v>0</v>
      </c>
      <c r="D400" s="57">
        <v>2916.77106</v>
      </c>
      <c r="E400" s="57">
        <v>3197.1643239357245</v>
      </c>
      <c r="F400" s="57">
        <v>830.20194999999967</v>
      </c>
      <c r="G400" s="57">
        <v>1100.3347184041002</v>
      </c>
      <c r="H400" s="58">
        <v>9.6131392614586808E-2</v>
      </c>
      <c r="I400" s="58">
        <v>0.32538199699976689</v>
      </c>
      <c r="J400" s="58">
        <v>0.14692553986126122</v>
      </c>
    </row>
    <row r="401" spans="1:10" ht="11.25" customHeight="1" x14ac:dyDescent="0.2">
      <c r="A401" s="65" t="s">
        <v>25</v>
      </c>
      <c r="B401" s="57">
        <v>0</v>
      </c>
      <c r="C401" s="57">
        <v>0</v>
      </c>
      <c r="D401" s="57">
        <v>2916.77106</v>
      </c>
      <c r="E401" s="57">
        <v>3197.1643239357245</v>
      </c>
      <c r="F401" s="57">
        <v>830.20194999999967</v>
      </c>
      <c r="G401" s="57">
        <v>1100.3347184041002</v>
      </c>
      <c r="H401" s="58">
        <v>9.6131392614586808E-2</v>
      </c>
      <c r="I401" s="58">
        <v>0.32538199699976689</v>
      </c>
      <c r="J401" s="58">
        <v>0.14692553986126122</v>
      </c>
    </row>
    <row r="402" spans="1:10" ht="11.25" customHeight="1" x14ac:dyDescent="0.2">
      <c r="A402" s="66" t="s">
        <v>34</v>
      </c>
      <c r="B402" s="57">
        <v>0</v>
      </c>
      <c r="C402" s="57">
        <v>0</v>
      </c>
      <c r="D402" s="57">
        <v>1635.2909999999999</v>
      </c>
      <c r="E402" s="57">
        <v>1803.9857605514355</v>
      </c>
      <c r="F402" s="57">
        <v>679.54012</v>
      </c>
      <c r="G402" s="57">
        <v>900.65024128706091</v>
      </c>
      <c r="H402" s="58">
        <v>0.10315886319403433</v>
      </c>
      <c r="I402" s="58">
        <v>0.32538199699976644</v>
      </c>
      <c r="J402" s="58">
        <v>0.1683945228101551</v>
      </c>
    </row>
    <row r="403" spans="1:10" ht="11.25" customHeight="1" x14ac:dyDescent="0.2">
      <c r="A403" s="67">
        <v>44287</v>
      </c>
      <c r="B403" s="57">
        <v>0</v>
      </c>
      <c r="C403" s="57">
        <v>0</v>
      </c>
      <c r="D403" s="57">
        <v>130.68450000000001</v>
      </c>
      <c r="E403" s="57">
        <v>144.1657644570808</v>
      </c>
      <c r="F403" s="57">
        <v>54.305540000000001</v>
      </c>
      <c r="G403" s="57">
        <v>71.975585053350699</v>
      </c>
      <c r="H403" s="58">
        <v>0.10315886319403433</v>
      </c>
      <c r="I403" s="58">
        <v>0.32538199699976644</v>
      </c>
      <c r="J403" s="58">
        <v>0.16839452281015488</v>
      </c>
    </row>
    <row r="404" spans="1:10" ht="11.25" customHeight="1" x14ac:dyDescent="0.2">
      <c r="A404" s="67">
        <v>44317</v>
      </c>
      <c r="B404" s="57">
        <v>0</v>
      </c>
      <c r="C404" s="57">
        <v>0</v>
      </c>
      <c r="D404" s="57">
        <v>136.46699999999998</v>
      </c>
      <c r="E404" s="57">
        <v>150.54478058350028</v>
      </c>
      <c r="F404" s="57">
        <v>56.708439999999996</v>
      </c>
      <c r="G404" s="57">
        <v>75.160345453941432</v>
      </c>
      <c r="H404" s="58">
        <v>0.10315886319403456</v>
      </c>
      <c r="I404" s="58">
        <v>0.32538199699976644</v>
      </c>
      <c r="J404" s="58">
        <v>0.1683945228101551</v>
      </c>
    </row>
    <row r="405" spans="1:10" ht="11.25" customHeight="1" x14ac:dyDescent="0.2">
      <c r="A405" s="67">
        <v>44348</v>
      </c>
      <c r="B405" s="57">
        <v>0</v>
      </c>
      <c r="C405" s="57">
        <v>0</v>
      </c>
      <c r="D405" s="57">
        <v>205.27875</v>
      </c>
      <c r="E405" s="57">
        <v>226.45507248789235</v>
      </c>
      <c r="F405" s="57">
        <v>85.302949999999996</v>
      </c>
      <c r="G405" s="57">
        <v>113.05899422097121</v>
      </c>
      <c r="H405" s="58">
        <v>0.10315886319403411</v>
      </c>
      <c r="I405" s="58">
        <v>0.32538199699976644</v>
      </c>
      <c r="J405" s="58">
        <v>0.16839452281015466</v>
      </c>
    </row>
    <row r="406" spans="1:10" ht="11.25" customHeight="1" x14ac:dyDescent="0.2">
      <c r="A406" s="67">
        <v>44378</v>
      </c>
      <c r="B406" s="57">
        <v>0</v>
      </c>
      <c r="C406" s="57">
        <v>0</v>
      </c>
      <c r="D406" s="57">
        <v>92.52</v>
      </c>
      <c r="E406" s="57">
        <v>102.06425802271205</v>
      </c>
      <c r="F406" s="57">
        <v>38.446399999999997</v>
      </c>
      <c r="G406" s="57">
        <v>50.956166409451818</v>
      </c>
      <c r="H406" s="58">
        <v>0.10315886319403433</v>
      </c>
      <c r="I406" s="58">
        <v>0.32538199699976644</v>
      </c>
      <c r="J406" s="58">
        <v>0.1683945228101551</v>
      </c>
    </row>
    <row r="407" spans="1:10" ht="11.25" customHeight="1" x14ac:dyDescent="0.2">
      <c r="A407" s="67">
        <v>44409</v>
      </c>
      <c r="B407" s="57">
        <v>0</v>
      </c>
      <c r="C407" s="57">
        <v>0</v>
      </c>
      <c r="D407" s="57">
        <v>116.22825</v>
      </c>
      <c r="E407" s="57">
        <v>128.21822414103204</v>
      </c>
      <c r="F407" s="57">
        <v>48.298290000000001</v>
      </c>
      <c r="G407" s="57">
        <v>64.013684051873852</v>
      </c>
      <c r="H407" s="58">
        <v>0.10315886319403456</v>
      </c>
      <c r="I407" s="58">
        <v>0.32538199699976644</v>
      </c>
      <c r="J407" s="58">
        <v>0.1683945228101551</v>
      </c>
    </row>
    <row r="408" spans="1:10" ht="11.25" customHeight="1" x14ac:dyDescent="0.2">
      <c r="A408" s="67">
        <v>44440</v>
      </c>
      <c r="B408" s="57">
        <v>0</v>
      </c>
      <c r="C408" s="57">
        <v>0</v>
      </c>
      <c r="D408" s="57">
        <v>117.96299999999999</v>
      </c>
      <c r="E408" s="57">
        <v>130.13192897895786</v>
      </c>
      <c r="F408" s="57">
        <v>49.019159999999992</v>
      </c>
      <c r="G408" s="57">
        <v>64.969112172051055</v>
      </c>
      <c r="H408" s="58">
        <v>0.10315886319403433</v>
      </c>
      <c r="I408" s="58">
        <v>0.32538199699976622</v>
      </c>
      <c r="J408" s="58">
        <v>0.16839452281015488</v>
      </c>
    </row>
    <row r="409" spans="1:10" ht="11.25" customHeight="1" x14ac:dyDescent="0.2">
      <c r="A409" s="67">
        <v>44470</v>
      </c>
      <c r="B409" s="57">
        <v>0</v>
      </c>
      <c r="C409" s="57">
        <v>0</v>
      </c>
      <c r="D409" s="57">
        <v>114.49350000000001</v>
      </c>
      <c r="E409" s="57">
        <v>126.30451930310618</v>
      </c>
      <c r="F409" s="57">
        <v>47.577420000000004</v>
      </c>
      <c r="G409" s="57">
        <v>63.058255931696628</v>
      </c>
      <c r="H409" s="58">
        <v>0.10315886319403433</v>
      </c>
      <c r="I409" s="58">
        <v>0.32538199699976644</v>
      </c>
      <c r="J409" s="58">
        <v>0.16839452281015488</v>
      </c>
    </row>
    <row r="410" spans="1:10" ht="11.25" customHeight="1" x14ac:dyDescent="0.2">
      <c r="A410" s="67">
        <v>44501</v>
      </c>
      <c r="B410" s="57">
        <v>0</v>
      </c>
      <c r="C410" s="57">
        <v>0</v>
      </c>
      <c r="D410" s="57">
        <v>105.2415</v>
      </c>
      <c r="E410" s="57">
        <v>116.09809350083496</v>
      </c>
      <c r="F410" s="57">
        <v>43.732779999999998</v>
      </c>
      <c r="G410" s="57">
        <v>57.96263929075144</v>
      </c>
      <c r="H410" s="58">
        <v>0.10315886319403433</v>
      </c>
      <c r="I410" s="58">
        <v>0.32538199699976644</v>
      </c>
      <c r="J410" s="58">
        <v>0.1683945228101551</v>
      </c>
    </row>
    <row r="411" spans="1:10" ht="11.25" customHeight="1" x14ac:dyDescent="0.2">
      <c r="A411" s="67">
        <v>44531</v>
      </c>
      <c r="B411" s="57">
        <v>0</v>
      </c>
      <c r="C411" s="57">
        <v>0</v>
      </c>
      <c r="D411" s="57">
        <v>123.16725</v>
      </c>
      <c r="E411" s="57">
        <v>135.87304349273543</v>
      </c>
      <c r="F411" s="57">
        <v>51.18177</v>
      </c>
      <c r="G411" s="57">
        <v>67.835396532582735</v>
      </c>
      <c r="H411" s="58">
        <v>0.10315886319403433</v>
      </c>
      <c r="I411" s="58">
        <v>0.32538199699976644</v>
      </c>
      <c r="J411" s="58">
        <v>0.1683945228101551</v>
      </c>
    </row>
    <row r="412" spans="1:10" ht="11.25" customHeight="1" x14ac:dyDescent="0.2">
      <c r="A412" s="67">
        <v>44562</v>
      </c>
      <c r="B412" s="57">
        <v>0</v>
      </c>
      <c r="C412" s="57">
        <v>0</v>
      </c>
      <c r="D412" s="57">
        <v>178.101</v>
      </c>
      <c r="E412" s="57">
        <v>196.47369669372071</v>
      </c>
      <c r="F412" s="57">
        <v>74.009320000000002</v>
      </c>
      <c r="G412" s="57">
        <v>98.090620338194739</v>
      </c>
      <c r="H412" s="58">
        <v>0.10315886319403433</v>
      </c>
      <c r="I412" s="58">
        <v>0.32538199699976622</v>
      </c>
      <c r="J412" s="58">
        <v>0.16839452281015488</v>
      </c>
    </row>
    <row r="413" spans="1:10" ht="11.25" customHeight="1" x14ac:dyDescent="0.2">
      <c r="A413" s="67">
        <v>44593</v>
      </c>
      <c r="B413" s="57">
        <v>0</v>
      </c>
      <c r="C413" s="57">
        <v>0</v>
      </c>
      <c r="D413" s="57">
        <v>156.1275</v>
      </c>
      <c r="E413" s="57">
        <v>172.23343541332662</v>
      </c>
      <c r="F413" s="57">
        <v>64.878299999999996</v>
      </c>
      <c r="G413" s="57">
        <v>85.988530815949943</v>
      </c>
      <c r="H413" s="58">
        <v>0.10315886319403456</v>
      </c>
      <c r="I413" s="58">
        <v>0.32538199699976644</v>
      </c>
      <c r="J413" s="58">
        <v>0.1683945228101551</v>
      </c>
    </row>
    <row r="414" spans="1:10" ht="11.25" customHeight="1" x14ac:dyDescent="0.2">
      <c r="A414" s="67">
        <v>44621</v>
      </c>
      <c r="B414" s="57">
        <v>0</v>
      </c>
      <c r="C414" s="57">
        <v>0</v>
      </c>
      <c r="D414" s="57">
        <v>159.01875000000001</v>
      </c>
      <c r="E414" s="57">
        <v>175.42294347653635</v>
      </c>
      <c r="F414" s="57">
        <v>66.079750000000004</v>
      </c>
      <c r="G414" s="57">
        <v>87.580911016245309</v>
      </c>
      <c r="H414" s="58">
        <v>0.10315886319403433</v>
      </c>
      <c r="I414" s="58">
        <v>0.32538199699976622</v>
      </c>
      <c r="J414" s="58">
        <v>0.16839452281015488</v>
      </c>
    </row>
    <row r="415" spans="1:10" ht="11.25" customHeight="1" x14ac:dyDescent="0.2">
      <c r="A415" s="66" t="s">
        <v>42</v>
      </c>
      <c r="B415" s="57">
        <v>0</v>
      </c>
      <c r="C415" s="57">
        <v>0</v>
      </c>
      <c r="D415" s="57">
        <v>352.88259999999997</v>
      </c>
      <c r="E415" s="57">
        <v>384.48299752831446</v>
      </c>
      <c r="F415" s="57">
        <v>57.189019999999999</v>
      </c>
      <c r="G415" s="57">
        <v>75.797297534059567</v>
      </c>
      <c r="H415" s="58">
        <v>8.9549321866010168E-2</v>
      </c>
      <c r="I415" s="58">
        <v>0.32538199699976622</v>
      </c>
      <c r="J415" s="58">
        <v>0.1224387951118735</v>
      </c>
    </row>
    <row r="416" spans="1:10" ht="11.25" customHeight="1" x14ac:dyDescent="0.2">
      <c r="A416" s="67">
        <v>44287</v>
      </c>
      <c r="B416" s="57">
        <v>0</v>
      </c>
      <c r="C416" s="57">
        <v>0</v>
      </c>
      <c r="D416" s="57">
        <v>20.7578</v>
      </c>
      <c r="E416" s="57">
        <v>22.616646913430262</v>
      </c>
      <c r="F416" s="57">
        <v>3.3640599999999998</v>
      </c>
      <c r="G416" s="57">
        <v>4.4586645608270343</v>
      </c>
      <c r="H416" s="58">
        <v>8.9549321866009945E-2</v>
      </c>
      <c r="I416" s="58">
        <v>0.32538199699976644</v>
      </c>
      <c r="J416" s="58">
        <v>0.12243879511187372</v>
      </c>
    </row>
    <row r="417" spans="1:10" ht="11.25" customHeight="1" x14ac:dyDescent="0.2">
      <c r="A417" s="67">
        <v>44317</v>
      </c>
      <c r="B417" s="57">
        <v>0</v>
      </c>
      <c r="C417" s="57">
        <v>0</v>
      </c>
      <c r="D417" s="57">
        <v>26.688599999999997</v>
      </c>
      <c r="E417" s="57">
        <v>29.078546031553191</v>
      </c>
      <c r="F417" s="57">
        <v>4.3252199999999998</v>
      </c>
      <c r="G417" s="57">
        <v>5.7325687210633287</v>
      </c>
      <c r="H417" s="58">
        <v>8.9549321866009945E-2</v>
      </c>
      <c r="I417" s="58">
        <v>0.32538199699976622</v>
      </c>
      <c r="J417" s="58">
        <v>0.1224387951118735</v>
      </c>
    </row>
    <row r="418" spans="1:10" ht="11.25" customHeight="1" x14ac:dyDescent="0.2">
      <c r="A418" s="67">
        <v>44348</v>
      </c>
      <c r="B418" s="57">
        <v>0</v>
      </c>
      <c r="C418" s="57">
        <v>0</v>
      </c>
      <c r="D418" s="57">
        <v>54.859899999999996</v>
      </c>
      <c r="E418" s="57">
        <v>59.772566842637119</v>
      </c>
      <c r="F418" s="57">
        <v>8.8907299999999996</v>
      </c>
      <c r="G418" s="57">
        <v>11.783613482185732</v>
      </c>
      <c r="H418" s="58">
        <v>8.9549321866009945E-2</v>
      </c>
      <c r="I418" s="58">
        <v>0.32538199699976644</v>
      </c>
      <c r="J418" s="58">
        <v>0.1224387951118735</v>
      </c>
    </row>
    <row r="419" spans="1:10" ht="11.25" customHeight="1" x14ac:dyDescent="0.2">
      <c r="A419" s="67">
        <v>44378</v>
      </c>
      <c r="B419" s="57">
        <v>0</v>
      </c>
      <c r="C419" s="57">
        <v>0</v>
      </c>
      <c r="D419" s="57">
        <v>22.240500000000001</v>
      </c>
      <c r="E419" s="57">
        <v>24.232121692960995</v>
      </c>
      <c r="F419" s="57">
        <v>3.6043499999999997</v>
      </c>
      <c r="G419" s="57">
        <v>4.7771406008861073</v>
      </c>
      <c r="H419" s="58">
        <v>8.9549321866009945E-2</v>
      </c>
      <c r="I419" s="58">
        <v>0.32538199699976622</v>
      </c>
      <c r="J419" s="58">
        <v>0.12243879511187328</v>
      </c>
    </row>
    <row r="420" spans="1:10" ht="11.25" customHeight="1" x14ac:dyDescent="0.2">
      <c r="A420" s="67">
        <v>44409</v>
      </c>
      <c r="B420" s="57">
        <v>0</v>
      </c>
      <c r="C420" s="57">
        <v>0</v>
      </c>
      <c r="D420" s="57">
        <v>29.654</v>
      </c>
      <c r="E420" s="57">
        <v>32.309495590614659</v>
      </c>
      <c r="F420" s="57">
        <v>4.8057999999999996</v>
      </c>
      <c r="G420" s="57">
        <v>6.3695208011814772</v>
      </c>
      <c r="H420" s="58">
        <v>8.9549321866009945E-2</v>
      </c>
      <c r="I420" s="58">
        <v>0.32538199699976644</v>
      </c>
      <c r="J420" s="58">
        <v>0.1224387951118735</v>
      </c>
    </row>
    <row r="421" spans="1:10" ht="11.25" customHeight="1" x14ac:dyDescent="0.2">
      <c r="A421" s="67">
        <v>44440</v>
      </c>
      <c r="B421" s="57">
        <v>0</v>
      </c>
      <c r="C421" s="57">
        <v>0</v>
      </c>
      <c r="D421" s="57">
        <v>28.171299999999999</v>
      </c>
      <c r="E421" s="57">
        <v>30.694020811083927</v>
      </c>
      <c r="F421" s="57">
        <v>4.5655099999999997</v>
      </c>
      <c r="G421" s="57">
        <v>6.0510447611224034</v>
      </c>
      <c r="H421" s="58">
        <v>8.9549321866009945E-2</v>
      </c>
      <c r="I421" s="58">
        <v>0.32538199699976644</v>
      </c>
      <c r="J421" s="58">
        <v>0.1224387951118735</v>
      </c>
    </row>
    <row r="422" spans="1:10" ht="11.25" customHeight="1" x14ac:dyDescent="0.2">
      <c r="A422" s="67">
        <v>44470</v>
      </c>
      <c r="B422" s="57">
        <v>0</v>
      </c>
      <c r="C422" s="57">
        <v>0</v>
      </c>
      <c r="D422" s="57">
        <v>25.205900000000003</v>
      </c>
      <c r="E422" s="57">
        <v>27.463071252022463</v>
      </c>
      <c r="F422" s="57">
        <v>4.0849299999999999</v>
      </c>
      <c r="G422" s="57">
        <v>5.4140926810042558</v>
      </c>
      <c r="H422" s="58">
        <v>8.9549321866009945E-2</v>
      </c>
      <c r="I422" s="58">
        <v>0.32538199699976644</v>
      </c>
      <c r="J422" s="58">
        <v>0.1224387951118735</v>
      </c>
    </row>
    <row r="423" spans="1:10" ht="11.25" customHeight="1" x14ac:dyDescent="0.2">
      <c r="A423" s="67">
        <v>44501</v>
      </c>
      <c r="B423" s="57">
        <v>0</v>
      </c>
      <c r="C423" s="57">
        <v>0</v>
      </c>
      <c r="D423" s="57">
        <v>23.723200000000002</v>
      </c>
      <c r="E423" s="57">
        <v>25.84759647249173</v>
      </c>
      <c r="F423" s="57">
        <v>3.8446400000000001</v>
      </c>
      <c r="G423" s="57">
        <v>5.095616640945182</v>
      </c>
      <c r="H423" s="58">
        <v>8.9549321866009945E-2</v>
      </c>
      <c r="I423" s="58">
        <v>0.32538199699976644</v>
      </c>
      <c r="J423" s="58">
        <v>0.12243879511187328</v>
      </c>
    </row>
    <row r="424" spans="1:10" ht="11.25" customHeight="1" x14ac:dyDescent="0.2">
      <c r="A424" s="67">
        <v>44531</v>
      </c>
      <c r="B424" s="57">
        <v>0</v>
      </c>
      <c r="C424" s="57">
        <v>0</v>
      </c>
      <c r="D424" s="57">
        <v>26.688599999999997</v>
      </c>
      <c r="E424" s="57">
        <v>29.078546031553191</v>
      </c>
      <c r="F424" s="57">
        <v>4.3252199999999998</v>
      </c>
      <c r="G424" s="57">
        <v>5.7325687210633287</v>
      </c>
      <c r="H424" s="58">
        <v>8.9549321866009945E-2</v>
      </c>
      <c r="I424" s="58">
        <v>0.32538199699976622</v>
      </c>
      <c r="J424" s="58">
        <v>0.1224387951118735</v>
      </c>
    </row>
    <row r="425" spans="1:10" ht="11.25" customHeight="1" x14ac:dyDescent="0.2">
      <c r="A425" s="67">
        <v>44562</v>
      </c>
      <c r="B425" s="57">
        <v>0</v>
      </c>
      <c r="C425" s="57">
        <v>0</v>
      </c>
      <c r="D425" s="57">
        <v>37.067500000000003</v>
      </c>
      <c r="E425" s="57">
        <v>40.386869488268331</v>
      </c>
      <c r="F425" s="57">
        <v>6.00725</v>
      </c>
      <c r="G425" s="57">
        <v>7.9619010014768463</v>
      </c>
      <c r="H425" s="58">
        <v>8.9549321866010168E-2</v>
      </c>
      <c r="I425" s="58">
        <v>0.32538199699976644</v>
      </c>
      <c r="J425" s="58">
        <v>0.1224387951118735</v>
      </c>
    </row>
    <row r="426" spans="1:10" ht="11.25" customHeight="1" x14ac:dyDescent="0.2">
      <c r="A426" s="67">
        <v>44593</v>
      </c>
      <c r="B426" s="57">
        <v>0</v>
      </c>
      <c r="C426" s="57">
        <v>0</v>
      </c>
      <c r="D426" s="57">
        <v>29.654</v>
      </c>
      <c r="E426" s="57">
        <v>32.309495590614659</v>
      </c>
      <c r="F426" s="57">
        <v>4.8057999999999996</v>
      </c>
      <c r="G426" s="57">
        <v>6.3695208011814772</v>
      </c>
      <c r="H426" s="58">
        <v>8.9549321866009945E-2</v>
      </c>
      <c r="I426" s="58">
        <v>0.32538199699976644</v>
      </c>
      <c r="J426" s="58">
        <v>0.1224387951118735</v>
      </c>
    </row>
    <row r="427" spans="1:10" ht="11.25" customHeight="1" x14ac:dyDescent="0.2">
      <c r="A427" s="67">
        <v>44621</v>
      </c>
      <c r="B427" s="57">
        <v>0</v>
      </c>
      <c r="C427" s="57">
        <v>0</v>
      </c>
      <c r="D427" s="57">
        <v>28.171299999999999</v>
      </c>
      <c r="E427" s="57">
        <v>30.694020811083927</v>
      </c>
      <c r="F427" s="57">
        <v>4.5655099999999997</v>
      </c>
      <c r="G427" s="57">
        <v>6.0510447611224034</v>
      </c>
      <c r="H427" s="58">
        <v>8.9549321866009945E-2</v>
      </c>
      <c r="I427" s="58">
        <v>0.32538199699976644</v>
      </c>
      <c r="J427" s="58">
        <v>0.1224387951118735</v>
      </c>
    </row>
    <row r="428" spans="1:10" ht="11.25" customHeight="1" x14ac:dyDescent="0.2">
      <c r="A428" s="66" t="s">
        <v>39</v>
      </c>
      <c r="B428" s="57">
        <v>0</v>
      </c>
      <c r="C428" s="57">
        <v>0</v>
      </c>
      <c r="D428" s="57">
        <v>928.59745999999996</v>
      </c>
      <c r="E428" s="57">
        <v>1008.6955658559742</v>
      </c>
      <c r="F428" s="57">
        <v>93.47281000000001</v>
      </c>
      <c r="G428" s="57">
        <v>123.88717958297974</v>
      </c>
      <c r="H428" s="58">
        <v>8.6257080496401795E-2</v>
      </c>
      <c r="I428" s="58">
        <v>0.32538199699976622</v>
      </c>
      <c r="J428" s="58">
        <v>0.10812610314842042</v>
      </c>
    </row>
    <row r="429" spans="1:10" ht="11.25" customHeight="1" x14ac:dyDescent="0.2">
      <c r="A429" s="67">
        <v>44287</v>
      </c>
      <c r="B429" s="57">
        <v>0</v>
      </c>
      <c r="C429" s="57">
        <v>0</v>
      </c>
      <c r="D429" s="57">
        <v>52.517079999999993</v>
      </c>
      <c r="E429" s="57">
        <v>57.047049996995966</v>
      </c>
      <c r="F429" s="57">
        <v>5.2863799999999994</v>
      </c>
      <c r="G429" s="57">
        <v>7.006472881299624</v>
      </c>
      <c r="H429" s="58">
        <v>8.6257080496401795E-2</v>
      </c>
      <c r="I429" s="58">
        <v>0.32538199699976644</v>
      </c>
      <c r="J429" s="58">
        <v>0.10812610314842064</v>
      </c>
    </row>
    <row r="430" spans="1:10" ht="11.25" customHeight="1" x14ac:dyDescent="0.2">
      <c r="A430" s="67">
        <v>44317</v>
      </c>
      <c r="B430" s="57">
        <v>0</v>
      </c>
      <c r="C430" s="57">
        <v>0</v>
      </c>
      <c r="D430" s="57">
        <v>64.45277999999999</v>
      </c>
      <c r="E430" s="57">
        <v>70.012288632676871</v>
      </c>
      <c r="F430" s="57">
        <v>6.4878299999999998</v>
      </c>
      <c r="G430" s="57">
        <v>8.598853081594994</v>
      </c>
      <c r="H430" s="58">
        <v>8.6257080496401795E-2</v>
      </c>
      <c r="I430" s="58">
        <v>0.32538199699976644</v>
      </c>
      <c r="J430" s="58">
        <v>0.10812610314842064</v>
      </c>
    </row>
    <row r="431" spans="1:10" ht="11.25" customHeight="1" x14ac:dyDescent="0.2">
      <c r="A431" s="67">
        <v>44348</v>
      </c>
      <c r="B431" s="57">
        <v>0</v>
      </c>
      <c r="C431" s="57">
        <v>0</v>
      </c>
      <c r="D431" s="57">
        <v>128.90555999999998</v>
      </c>
      <c r="E431" s="57">
        <v>140.02457726535374</v>
      </c>
      <c r="F431" s="57">
        <v>12.97566</v>
      </c>
      <c r="G431" s="57">
        <v>17.197706163189988</v>
      </c>
      <c r="H431" s="58">
        <v>8.6257080496401795E-2</v>
      </c>
      <c r="I431" s="58">
        <v>0.32538199699976644</v>
      </c>
      <c r="J431" s="58">
        <v>0.10812610314842064</v>
      </c>
    </row>
    <row r="432" spans="1:10" ht="11.25" customHeight="1" x14ac:dyDescent="0.2">
      <c r="A432" s="67">
        <v>44378</v>
      </c>
      <c r="B432" s="57">
        <v>0</v>
      </c>
      <c r="C432" s="57">
        <v>0</v>
      </c>
      <c r="D432" s="57">
        <v>47.742799999999995</v>
      </c>
      <c r="E432" s="57">
        <v>51.860954542723611</v>
      </c>
      <c r="F432" s="57">
        <v>4.8057999999999996</v>
      </c>
      <c r="G432" s="57">
        <v>6.3695208011814772</v>
      </c>
      <c r="H432" s="58">
        <v>8.6257080496401795E-2</v>
      </c>
      <c r="I432" s="58">
        <v>0.32538199699976644</v>
      </c>
      <c r="J432" s="58">
        <v>0.10812610314842064</v>
      </c>
    </row>
    <row r="433" spans="1:10" ht="11.25" customHeight="1" x14ac:dyDescent="0.2">
      <c r="A433" s="67">
        <v>44409</v>
      </c>
      <c r="B433" s="57">
        <v>0</v>
      </c>
      <c r="C433" s="57">
        <v>0</v>
      </c>
      <c r="D433" s="57">
        <v>81.162760000000006</v>
      </c>
      <c r="E433" s="57">
        <v>88.163622722630151</v>
      </c>
      <c r="F433" s="57">
        <v>8.1698599999999999</v>
      </c>
      <c r="G433" s="57">
        <v>10.828185362008512</v>
      </c>
      <c r="H433" s="58">
        <v>8.6257080496401795E-2</v>
      </c>
      <c r="I433" s="58">
        <v>0.32538199699976644</v>
      </c>
      <c r="J433" s="58">
        <v>0.10812610314842064</v>
      </c>
    </row>
    <row r="434" spans="1:10" ht="11.25" customHeight="1" x14ac:dyDescent="0.2">
      <c r="A434" s="67">
        <v>44440</v>
      </c>
      <c r="B434" s="57">
        <v>0</v>
      </c>
      <c r="C434" s="57">
        <v>0</v>
      </c>
      <c r="D434" s="57">
        <v>88.324179999999984</v>
      </c>
      <c r="E434" s="57">
        <v>95.94276590403868</v>
      </c>
      <c r="F434" s="57">
        <v>8.8907299999999996</v>
      </c>
      <c r="G434" s="57">
        <v>11.783613482185732</v>
      </c>
      <c r="H434" s="58">
        <v>8.6257080496402017E-2</v>
      </c>
      <c r="I434" s="58">
        <v>0.32538199699976644</v>
      </c>
      <c r="J434" s="58">
        <v>0.10812610314842064</v>
      </c>
    </row>
    <row r="435" spans="1:10" ht="11.25" customHeight="1" x14ac:dyDescent="0.2">
      <c r="A435" s="67">
        <v>44470</v>
      </c>
      <c r="B435" s="57">
        <v>0</v>
      </c>
      <c r="C435" s="57">
        <v>0</v>
      </c>
      <c r="D435" s="57">
        <v>74.001339999999999</v>
      </c>
      <c r="E435" s="57">
        <v>80.384479541221594</v>
      </c>
      <c r="F435" s="57">
        <v>7.4489899999999993</v>
      </c>
      <c r="G435" s="57">
        <v>9.8727572418312892</v>
      </c>
      <c r="H435" s="58">
        <v>8.6257080496401795E-2</v>
      </c>
      <c r="I435" s="58">
        <v>0.32538199699976644</v>
      </c>
      <c r="J435" s="58">
        <v>0.10812610314842064</v>
      </c>
    </row>
    <row r="436" spans="1:10" ht="11.25" customHeight="1" x14ac:dyDescent="0.2">
      <c r="A436" s="67">
        <v>44501</v>
      </c>
      <c r="B436" s="57">
        <v>0</v>
      </c>
      <c r="C436" s="57">
        <v>0</v>
      </c>
      <c r="D436" s="57">
        <v>64.45277999999999</v>
      </c>
      <c r="E436" s="57">
        <v>70.012288632676871</v>
      </c>
      <c r="F436" s="57">
        <v>6.4878299999999998</v>
      </c>
      <c r="G436" s="57">
        <v>8.598853081594994</v>
      </c>
      <c r="H436" s="58">
        <v>8.6257080496401795E-2</v>
      </c>
      <c r="I436" s="58">
        <v>0.32538199699976644</v>
      </c>
      <c r="J436" s="58">
        <v>0.10812610314842064</v>
      </c>
    </row>
    <row r="437" spans="1:10" ht="11.25" customHeight="1" x14ac:dyDescent="0.2">
      <c r="A437" s="67">
        <v>44531</v>
      </c>
      <c r="B437" s="57">
        <v>0</v>
      </c>
      <c r="C437" s="57">
        <v>0</v>
      </c>
      <c r="D437" s="57">
        <v>78.775620000000004</v>
      </c>
      <c r="E437" s="57">
        <v>85.570574995493956</v>
      </c>
      <c r="F437" s="57">
        <v>7.92957</v>
      </c>
      <c r="G437" s="57">
        <v>10.509709321949437</v>
      </c>
      <c r="H437" s="58">
        <v>8.6257080496401795E-2</v>
      </c>
      <c r="I437" s="58">
        <v>0.32538199699976622</v>
      </c>
      <c r="J437" s="58">
        <v>0.10812610314842042</v>
      </c>
    </row>
    <row r="438" spans="1:10" ht="11.25" customHeight="1" x14ac:dyDescent="0.2">
      <c r="A438" s="67">
        <v>44562</v>
      </c>
      <c r="B438" s="57">
        <v>0</v>
      </c>
      <c r="C438" s="57">
        <v>0</v>
      </c>
      <c r="D438" s="57">
        <v>107.42129999999999</v>
      </c>
      <c r="E438" s="57">
        <v>116.68714772112813</v>
      </c>
      <c r="F438" s="57">
        <v>10.813049999999999</v>
      </c>
      <c r="G438" s="57">
        <v>14.331421802658323</v>
      </c>
      <c r="H438" s="58">
        <v>8.6257080496402017E-2</v>
      </c>
      <c r="I438" s="58">
        <v>0.32538199699976644</v>
      </c>
      <c r="J438" s="58">
        <v>0.10812610314842064</v>
      </c>
    </row>
    <row r="439" spans="1:10" ht="11.25" customHeight="1" x14ac:dyDescent="0.2">
      <c r="A439" s="67">
        <v>44593</v>
      </c>
      <c r="B439" s="57">
        <v>0</v>
      </c>
      <c r="C439" s="57">
        <v>0</v>
      </c>
      <c r="D439" s="57">
        <v>71.614199999999997</v>
      </c>
      <c r="E439" s="57">
        <v>77.791431814085414</v>
      </c>
      <c r="F439" s="57">
        <v>7.2086999999999994</v>
      </c>
      <c r="G439" s="57">
        <v>9.5542812017722145</v>
      </c>
      <c r="H439" s="58">
        <v>8.6257080496401795E-2</v>
      </c>
      <c r="I439" s="58">
        <v>0.32538199699976622</v>
      </c>
      <c r="J439" s="58">
        <v>0.10812610314842064</v>
      </c>
    </row>
    <row r="440" spans="1:10" ht="11.25" customHeight="1" x14ac:dyDescent="0.2">
      <c r="A440" s="67">
        <v>44621</v>
      </c>
      <c r="B440" s="57">
        <v>0</v>
      </c>
      <c r="C440" s="57">
        <v>0</v>
      </c>
      <c r="D440" s="57">
        <v>69.227059999999994</v>
      </c>
      <c r="E440" s="57">
        <v>75.198384086949247</v>
      </c>
      <c r="F440" s="57">
        <v>6.9684100000000004</v>
      </c>
      <c r="G440" s="57">
        <v>9.2358051617131416</v>
      </c>
      <c r="H440" s="58">
        <v>8.6257080496402017E-2</v>
      </c>
      <c r="I440" s="58">
        <v>0.32538199699976622</v>
      </c>
      <c r="J440" s="58">
        <v>0.10812610314842064</v>
      </c>
    </row>
    <row r="441" spans="1:10" ht="11.25" customHeight="1" x14ac:dyDescent="0.2">
      <c r="A441" s="61" t="s">
        <v>23</v>
      </c>
      <c r="B441" s="57">
        <v>0</v>
      </c>
      <c r="C441" s="57">
        <v>0</v>
      </c>
      <c r="D441" s="57">
        <v>1550938.5505688002</v>
      </c>
      <c r="E441" s="57">
        <v>1699391.5864346609</v>
      </c>
      <c r="F441" s="57">
        <v>429656.00350039994</v>
      </c>
      <c r="G441" s="57">
        <v>569458.33194229915</v>
      </c>
      <c r="H441" s="58">
        <v>9.5718193226557613E-2</v>
      </c>
      <c r="I441" s="58">
        <v>0.32538199699976733</v>
      </c>
      <c r="J441" s="58">
        <v>0.14553981465592236</v>
      </c>
    </row>
    <row r="442" spans="1:10" ht="11.25" customHeight="1" x14ac:dyDescent="0.2">
      <c r="A442" s="62" t="s">
        <v>40</v>
      </c>
      <c r="B442" s="57">
        <v>0</v>
      </c>
      <c r="C442" s="57">
        <v>0</v>
      </c>
      <c r="D442" s="57">
        <v>1120700.0637600003</v>
      </c>
      <c r="E442" s="57">
        <v>1227971.4490119952</v>
      </c>
      <c r="F442" s="57">
        <v>310467.17508000002</v>
      </c>
      <c r="G442" s="57">
        <v>411487.60451040656</v>
      </c>
      <c r="H442" s="58">
        <v>9.5718193226557835E-2</v>
      </c>
      <c r="I442" s="58">
        <v>0.325381996999766</v>
      </c>
      <c r="J442" s="58">
        <v>0.14553981465592258</v>
      </c>
    </row>
    <row r="443" spans="1:10" ht="11.25" customHeight="1" x14ac:dyDescent="0.2">
      <c r="A443" s="63" t="s">
        <v>25</v>
      </c>
      <c r="B443" s="57">
        <v>0</v>
      </c>
      <c r="C443" s="57">
        <v>0</v>
      </c>
      <c r="D443" s="57">
        <v>1120700.0637600003</v>
      </c>
      <c r="E443" s="57">
        <v>1227971.4490119952</v>
      </c>
      <c r="F443" s="57">
        <v>310467.17508000002</v>
      </c>
      <c r="G443" s="57">
        <v>411487.60451040656</v>
      </c>
      <c r="H443" s="58">
        <v>9.5718193226557835E-2</v>
      </c>
      <c r="I443" s="58">
        <v>0.325381996999766</v>
      </c>
      <c r="J443" s="58">
        <v>0.14553981465592258</v>
      </c>
    </row>
    <row r="444" spans="1:10" ht="11.25" customHeight="1" x14ac:dyDescent="0.2">
      <c r="A444" s="64" t="s">
        <v>25</v>
      </c>
      <c r="B444" s="57">
        <v>0</v>
      </c>
      <c r="C444" s="57">
        <v>0</v>
      </c>
      <c r="D444" s="57">
        <v>1120700.0637600003</v>
      </c>
      <c r="E444" s="57">
        <v>1227971.4490119952</v>
      </c>
      <c r="F444" s="57">
        <v>310467.17508000002</v>
      </c>
      <c r="G444" s="57">
        <v>411487.60451040656</v>
      </c>
      <c r="H444" s="58">
        <v>9.5718193226557835E-2</v>
      </c>
      <c r="I444" s="58">
        <v>0.325381996999766</v>
      </c>
      <c r="J444" s="58">
        <v>0.14553981465592258</v>
      </c>
    </row>
    <row r="445" spans="1:10" ht="11.25" customHeight="1" x14ac:dyDescent="0.2">
      <c r="A445" s="65" t="s">
        <v>25</v>
      </c>
      <c r="B445" s="57">
        <v>0</v>
      </c>
      <c r="C445" s="57">
        <v>0</v>
      </c>
      <c r="D445" s="57">
        <v>1120700.0637600003</v>
      </c>
      <c r="E445" s="57">
        <v>1227971.4490119952</v>
      </c>
      <c r="F445" s="57">
        <v>310467.17508000002</v>
      </c>
      <c r="G445" s="57">
        <v>411487.60451040656</v>
      </c>
      <c r="H445" s="58">
        <v>9.5718193226557835E-2</v>
      </c>
      <c r="I445" s="58">
        <v>0.325381996999766</v>
      </c>
      <c r="J445" s="58">
        <v>0.14553981465592258</v>
      </c>
    </row>
    <row r="446" spans="1:10" ht="11.25" customHeight="1" x14ac:dyDescent="0.2">
      <c r="A446" s="66" t="s">
        <v>25</v>
      </c>
      <c r="B446" s="57">
        <v>0</v>
      </c>
      <c r="C446" s="57">
        <v>0</v>
      </c>
      <c r="D446" s="57">
        <v>1120700.0637600003</v>
      </c>
      <c r="E446" s="57">
        <v>1227971.4490119952</v>
      </c>
      <c r="F446" s="57">
        <v>310467.17508000002</v>
      </c>
      <c r="G446" s="57">
        <v>411487.60451040656</v>
      </c>
      <c r="H446" s="58">
        <v>9.5718193226557835E-2</v>
      </c>
      <c r="I446" s="58">
        <v>0.325381996999766</v>
      </c>
      <c r="J446" s="58">
        <v>0.14553981465592258</v>
      </c>
    </row>
    <row r="447" spans="1:10" ht="11.25" customHeight="1" x14ac:dyDescent="0.2">
      <c r="A447" s="67">
        <v>44287</v>
      </c>
      <c r="B447" s="57">
        <v>0</v>
      </c>
      <c r="C447" s="57">
        <v>0</v>
      </c>
      <c r="D447" s="57">
        <v>99396.543719999987</v>
      </c>
      <c r="E447" s="57">
        <v>108910.60129784295</v>
      </c>
      <c r="F447" s="57">
        <v>27535.792259999998</v>
      </c>
      <c r="G447" s="57">
        <v>36495.443334529504</v>
      </c>
      <c r="H447" s="58">
        <v>9.5718193226557835E-2</v>
      </c>
      <c r="I447" s="58">
        <v>0.32538199699976622</v>
      </c>
      <c r="J447" s="58">
        <v>0.14553981465592236</v>
      </c>
    </row>
    <row r="448" spans="1:10" ht="11.25" customHeight="1" x14ac:dyDescent="0.2">
      <c r="A448" s="67">
        <v>44317</v>
      </c>
      <c r="B448" s="57">
        <v>0</v>
      </c>
      <c r="C448" s="57">
        <v>0</v>
      </c>
      <c r="D448" s="57">
        <v>77312.18153999999</v>
      </c>
      <c r="E448" s="57">
        <v>84712.363871412424</v>
      </c>
      <c r="F448" s="57">
        <v>21417.76857</v>
      </c>
      <c r="G448" s="57">
        <v>28386.724878585432</v>
      </c>
      <c r="H448" s="58">
        <v>9.5718193226557835E-2</v>
      </c>
      <c r="I448" s="58">
        <v>0.32538199699976644</v>
      </c>
      <c r="J448" s="58">
        <v>0.14553981465592236</v>
      </c>
    </row>
    <row r="449" spans="1:10" ht="11.25" customHeight="1" x14ac:dyDescent="0.2">
      <c r="A449" s="67">
        <v>44348</v>
      </c>
      <c r="B449" s="57">
        <v>0</v>
      </c>
      <c r="C449" s="57">
        <v>0</v>
      </c>
      <c r="D449" s="57">
        <v>92755.882440000001</v>
      </c>
      <c r="E449" s="57">
        <v>101634.30791829179</v>
      </c>
      <c r="F449" s="57">
        <v>25696.132019999997</v>
      </c>
      <c r="G449" s="57">
        <v>34057.190771837239</v>
      </c>
      <c r="H449" s="58">
        <v>9.5718193226557613E-2</v>
      </c>
      <c r="I449" s="58">
        <v>0.32538199699976644</v>
      </c>
      <c r="J449" s="58">
        <v>0.14553981465592214</v>
      </c>
    </row>
    <row r="450" spans="1:10" ht="11.25" customHeight="1" x14ac:dyDescent="0.2">
      <c r="A450" s="67">
        <v>44378</v>
      </c>
      <c r="B450" s="57">
        <v>0</v>
      </c>
      <c r="C450" s="57">
        <v>0</v>
      </c>
      <c r="D450" s="57">
        <v>82719.42846000001</v>
      </c>
      <c r="E450" s="57">
        <v>90637.182696924705</v>
      </c>
      <c r="F450" s="57">
        <v>22915.736430000001</v>
      </c>
      <c r="G450" s="57">
        <v>30372.104512313697</v>
      </c>
      <c r="H450" s="58">
        <v>9.5718193226557613E-2</v>
      </c>
      <c r="I450" s="58">
        <v>0.32538199699976644</v>
      </c>
      <c r="J450" s="58">
        <v>0.14553981465592236</v>
      </c>
    </row>
    <row r="451" spans="1:10" ht="11.25" customHeight="1" x14ac:dyDescent="0.2">
      <c r="A451" s="67">
        <v>44409</v>
      </c>
      <c r="B451" s="57">
        <v>0</v>
      </c>
      <c r="C451" s="57">
        <v>0</v>
      </c>
      <c r="D451" s="57">
        <v>81215.391539999997</v>
      </c>
      <c r="E451" s="57">
        <v>88989.182080396262</v>
      </c>
      <c r="F451" s="57">
        <v>22499.07357</v>
      </c>
      <c r="G451" s="57">
        <v>29819.867058851261</v>
      </c>
      <c r="H451" s="58">
        <v>9.5718193226557835E-2</v>
      </c>
      <c r="I451" s="58">
        <v>0.32538199699976622</v>
      </c>
      <c r="J451" s="58">
        <v>0.14553981465592236</v>
      </c>
    </row>
    <row r="452" spans="1:10" ht="11.25" customHeight="1" x14ac:dyDescent="0.2">
      <c r="A452" s="67">
        <v>44440</v>
      </c>
      <c r="B452" s="57">
        <v>0</v>
      </c>
      <c r="C452" s="57">
        <v>0</v>
      </c>
      <c r="D452" s="57">
        <v>85410.041219999999</v>
      </c>
      <c r="E452" s="57">
        <v>93585.336048984216</v>
      </c>
      <c r="F452" s="57">
        <v>23661.116010000002</v>
      </c>
      <c r="G452" s="57">
        <v>31360.017188576945</v>
      </c>
      <c r="H452" s="58">
        <v>9.5718193226557613E-2</v>
      </c>
      <c r="I452" s="58">
        <v>0.32538199699976622</v>
      </c>
      <c r="J452" s="58">
        <v>0.14553981465592236</v>
      </c>
    </row>
    <row r="453" spans="1:10" ht="11.25" customHeight="1" x14ac:dyDescent="0.2">
      <c r="A453" s="67">
        <v>44470</v>
      </c>
      <c r="B453" s="57">
        <v>0</v>
      </c>
      <c r="C453" s="57">
        <v>0</v>
      </c>
      <c r="D453" s="57">
        <v>89384.376380000002</v>
      </c>
      <c r="E453" s="57">
        <v>97940.087389776207</v>
      </c>
      <c r="F453" s="57">
        <v>24762.124790000002</v>
      </c>
      <c r="G453" s="57">
        <v>32819.274404127624</v>
      </c>
      <c r="H453" s="58">
        <v>9.5718193226557835E-2</v>
      </c>
      <c r="I453" s="58">
        <v>0.32538199699976644</v>
      </c>
      <c r="J453" s="58">
        <v>0.14553981465592236</v>
      </c>
    </row>
    <row r="454" spans="1:10" ht="11.25" customHeight="1" x14ac:dyDescent="0.2">
      <c r="A454" s="67">
        <v>44501</v>
      </c>
      <c r="B454" s="57">
        <v>0</v>
      </c>
      <c r="C454" s="57">
        <v>0</v>
      </c>
      <c r="D454" s="57">
        <v>86016.339840000001</v>
      </c>
      <c r="E454" s="57">
        <v>94249.668477446365</v>
      </c>
      <c r="F454" s="57">
        <v>23829.078719999998</v>
      </c>
      <c r="G454" s="57">
        <v>31582.631940578234</v>
      </c>
      <c r="H454" s="58">
        <v>9.5718193226557613E-2</v>
      </c>
      <c r="I454" s="58">
        <v>0.32538199699976644</v>
      </c>
      <c r="J454" s="58">
        <v>0.14553981465592214</v>
      </c>
    </row>
    <row r="455" spans="1:10" ht="11.25" customHeight="1" x14ac:dyDescent="0.2">
      <c r="A455" s="67">
        <v>44531</v>
      </c>
      <c r="B455" s="57">
        <v>0</v>
      </c>
      <c r="C455" s="57">
        <v>0</v>
      </c>
      <c r="D455" s="57">
        <v>95004.998780000009</v>
      </c>
      <c r="E455" s="57">
        <v>104098.70561071292</v>
      </c>
      <c r="F455" s="57">
        <v>26319.203989999998</v>
      </c>
      <c r="G455" s="57">
        <v>34882.999143710418</v>
      </c>
      <c r="H455" s="58">
        <v>9.5718193226557613E-2</v>
      </c>
      <c r="I455" s="58">
        <v>0.32538199699976644</v>
      </c>
      <c r="J455" s="58">
        <v>0.14553981465592236</v>
      </c>
    </row>
    <row r="456" spans="1:10" ht="11.25" customHeight="1" x14ac:dyDescent="0.2">
      <c r="A456" s="67">
        <v>44562</v>
      </c>
      <c r="B456" s="57">
        <v>0</v>
      </c>
      <c r="C456" s="57">
        <v>0</v>
      </c>
      <c r="D456" s="57">
        <v>114099.50210000001</v>
      </c>
      <c r="E456" s="57">
        <v>125020.90028906184</v>
      </c>
      <c r="F456" s="57">
        <v>31608.948050000003</v>
      </c>
      <c r="G456" s="57">
        <v>41893.93068957088</v>
      </c>
      <c r="H456" s="58">
        <v>9.5718193226557835E-2</v>
      </c>
      <c r="I456" s="58">
        <v>0.32538199699976644</v>
      </c>
      <c r="J456" s="58">
        <v>0.14553981465592236</v>
      </c>
    </row>
    <row r="457" spans="1:10" ht="11.25" customHeight="1" x14ac:dyDescent="0.2">
      <c r="A457" s="67">
        <v>44593</v>
      </c>
      <c r="B457" s="57">
        <v>0</v>
      </c>
      <c r="C457" s="57">
        <v>0</v>
      </c>
      <c r="D457" s="57">
        <v>105619.99522</v>
      </c>
      <c r="E457" s="57">
        <v>115729.75033105606</v>
      </c>
      <c r="F457" s="57">
        <v>29259.873009999996</v>
      </c>
      <c r="G457" s="57">
        <v>38780.508921953362</v>
      </c>
      <c r="H457" s="58">
        <v>9.5718193226557613E-2</v>
      </c>
      <c r="I457" s="58">
        <v>0.32538199699976644</v>
      </c>
      <c r="J457" s="58">
        <v>0.14553981465592236</v>
      </c>
    </row>
    <row r="458" spans="1:10" ht="11.25" customHeight="1" x14ac:dyDescent="0.2">
      <c r="A458" s="67">
        <v>44621</v>
      </c>
      <c r="B458" s="57">
        <v>0</v>
      </c>
      <c r="C458" s="57">
        <v>0</v>
      </c>
      <c r="D458" s="57">
        <v>111765.38252</v>
      </c>
      <c r="E458" s="57">
        <v>122463.36300008949</v>
      </c>
      <c r="F458" s="57">
        <v>30962.327659999999</v>
      </c>
      <c r="G458" s="57">
        <v>41036.911665771899</v>
      </c>
      <c r="H458" s="58">
        <v>9.5718193226557613E-2</v>
      </c>
      <c r="I458" s="58">
        <v>0.32538199699976622</v>
      </c>
      <c r="J458" s="58">
        <v>0.14553981465592236</v>
      </c>
    </row>
    <row r="459" spans="1:10" ht="11.25" customHeight="1" x14ac:dyDescent="0.2">
      <c r="A459" s="62" t="s">
        <v>51</v>
      </c>
      <c r="B459" s="57">
        <v>0</v>
      </c>
      <c r="C459" s="57">
        <v>0</v>
      </c>
      <c r="D459" s="57">
        <v>327.86963999999989</v>
      </c>
      <c r="E459" s="57">
        <v>359.25272955464186</v>
      </c>
      <c r="F459" s="57">
        <v>90.829619999999977</v>
      </c>
      <c r="G459" s="57">
        <v>120.3839431423299</v>
      </c>
      <c r="H459" s="58">
        <v>9.5718193226557835E-2</v>
      </c>
      <c r="I459" s="58">
        <v>0.32538199699976644</v>
      </c>
      <c r="J459" s="58">
        <v>0.14553981465592258</v>
      </c>
    </row>
    <row r="460" spans="1:10" ht="11.25" customHeight="1" x14ac:dyDescent="0.2">
      <c r="A460" s="63" t="s">
        <v>25</v>
      </c>
      <c r="B460" s="57">
        <v>0</v>
      </c>
      <c r="C460" s="57">
        <v>0</v>
      </c>
      <c r="D460" s="57">
        <v>327.86963999999989</v>
      </c>
      <c r="E460" s="57">
        <v>359.25272955464186</v>
      </c>
      <c r="F460" s="57">
        <v>90.829619999999977</v>
      </c>
      <c r="G460" s="57">
        <v>120.3839431423299</v>
      </c>
      <c r="H460" s="58">
        <v>9.5718193226557835E-2</v>
      </c>
      <c r="I460" s="58">
        <v>0.32538199699976644</v>
      </c>
      <c r="J460" s="58">
        <v>0.14553981465592258</v>
      </c>
    </row>
    <row r="461" spans="1:10" ht="11.25" customHeight="1" x14ac:dyDescent="0.2">
      <c r="A461" s="64" t="s">
        <v>25</v>
      </c>
      <c r="B461" s="57">
        <v>0</v>
      </c>
      <c r="C461" s="57">
        <v>0</v>
      </c>
      <c r="D461" s="57">
        <v>327.86963999999989</v>
      </c>
      <c r="E461" s="57">
        <v>359.25272955464186</v>
      </c>
      <c r="F461" s="57">
        <v>90.829619999999977</v>
      </c>
      <c r="G461" s="57">
        <v>120.3839431423299</v>
      </c>
      <c r="H461" s="58">
        <v>9.5718193226557835E-2</v>
      </c>
      <c r="I461" s="58">
        <v>0.32538199699976644</v>
      </c>
      <c r="J461" s="58">
        <v>0.14553981465592258</v>
      </c>
    </row>
    <row r="462" spans="1:10" ht="11.25" customHeight="1" x14ac:dyDescent="0.2">
      <c r="A462" s="65" t="s">
        <v>25</v>
      </c>
      <c r="B462" s="57">
        <v>0</v>
      </c>
      <c r="C462" s="57">
        <v>0</v>
      </c>
      <c r="D462" s="57">
        <v>327.86963999999989</v>
      </c>
      <c r="E462" s="57">
        <v>359.25272955464186</v>
      </c>
      <c r="F462" s="57">
        <v>90.829619999999977</v>
      </c>
      <c r="G462" s="57">
        <v>120.3839431423299</v>
      </c>
      <c r="H462" s="58">
        <v>9.5718193226557835E-2</v>
      </c>
      <c r="I462" s="58">
        <v>0.32538199699976644</v>
      </c>
      <c r="J462" s="58">
        <v>0.14553981465592258</v>
      </c>
    </row>
    <row r="463" spans="1:10" ht="11.25" customHeight="1" x14ac:dyDescent="0.2">
      <c r="A463" s="66" t="s">
        <v>25</v>
      </c>
      <c r="B463" s="57">
        <v>0</v>
      </c>
      <c r="C463" s="57">
        <v>0</v>
      </c>
      <c r="D463" s="57">
        <v>327.86963999999989</v>
      </c>
      <c r="E463" s="57">
        <v>359.25272955464186</v>
      </c>
      <c r="F463" s="57">
        <v>90.829619999999977</v>
      </c>
      <c r="G463" s="57">
        <v>120.3839431423299</v>
      </c>
      <c r="H463" s="58">
        <v>9.5718193226557835E-2</v>
      </c>
      <c r="I463" s="58">
        <v>0.32538199699976644</v>
      </c>
      <c r="J463" s="58">
        <v>0.14553981465592258</v>
      </c>
    </row>
    <row r="464" spans="1:10" ht="11.25" customHeight="1" x14ac:dyDescent="0.2">
      <c r="A464" s="67">
        <v>44287</v>
      </c>
      <c r="B464" s="57">
        <v>0</v>
      </c>
      <c r="C464" s="57">
        <v>0</v>
      </c>
      <c r="D464" s="57">
        <v>31.225679999999997</v>
      </c>
      <c r="E464" s="57">
        <v>34.214545671870653</v>
      </c>
      <c r="F464" s="57">
        <v>8.6504399999999997</v>
      </c>
      <c r="G464" s="57">
        <v>11.465137442126657</v>
      </c>
      <c r="H464" s="58">
        <v>9.5718193226557613E-2</v>
      </c>
      <c r="I464" s="58">
        <v>0.32538199699976622</v>
      </c>
      <c r="J464" s="58">
        <v>0.14553981465592214</v>
      </c>
    </row>
    <row r="465" spans="1:10" ht="11.25" customHeight="1" x14ac:dyDescent="0.2">
      <c r="A465" s="67">
        <v>44317</v>
      </c>
      <c r="B465" s="57">
        <v>0</v>
      </c>
      <c r="C465" s="57">
        <v>0</v>
      </c>
      <c r="D465" s="57">
        <v>26.888780000000001</v>
      </c>
      <c r="E465" s="57">
        <v>29.4625254396664</v>
      </c>
      <c r="F465" s="57">
        <v>7.4489899999999993</v>
      </c>
      <c r="G465" s="57">
        <v>9.8727572418312892</v>
      </c>
      <c r="H465" s="58">
        <v>9.5718193226557613E-2</v>
      </c>
      <c r="I465" s="58">
        <v>0.32538199699976644</v>
      </c>
      <c r="J465" s="58">
        <v>0.14553981465592236</v>
      </c>
    </row>
    <row r="466" spans="1:10" ht="11.25" customHeight="1" x14ac:dyDescent="0.2">
      <c r="A466" s="67">
        <v>44348</v>
      </c>
      <c r="B466" s="57">
        <v>0</v>
      </c>
      <c r="C466" s="57">
        <v>0</v>
      </c>
      <c r="D466" s="57">
        <v>30.358300000000003</v>
      </c>
      <c r="E466" s="57">
        <v>33.264141625429808</v>
      </c>
      <c r="F466" s="57">
        <v>8.4101499999999998</v>
      </c>
      <c r="G466" s="57">
        <v>11.146661402067586</v>
      </c>
      <c r="H466" s="58">
        <v>9.5718193226557613E-2</v>
      </c>
      <c r="I466" s="58">
        <v>0.32538199699976644</v>
      </c>
      <c r="J466" s="58">
        <v>0.14553981465592236</v>
      </c>
    </row>
    <row r="467" spans="1:10" ht="11.25" customHeight="1" x14ac:dyDescent="0.2">
      <c r="A467" s="67">
        <v>44378</v>
      </c>
      <c r="B467" s="57">
        <v>0</v>
      </c>
      <c r="C467" s="57">
        <v>0</v>
      </c>
      <c r="D467" s="57">
        <v>26.0214</v>
      </c>
      <c r="E467" s="57">
        <v>28.512121393225549</v>
      </c>
      <c r="F467" s="57">
        <v>7.2086999999999994</v>
      </c>
      <c r="G467" s="57">
        <v>9.5542812017722145</v>
      </c>
      <c r="H467" s="58">
        <v>9.5718193226557613E-2</v>
      </c>
      <c r="I467" s="58">
        <v>0.32538199699976622</v>
      </c>
      <c r="J467" s="58">
        <v>0.14553981465592214</v>
      </c>
    </row>
    <row r="468" spans="1:10" ht="11.25" customHeight="1" x14ac:dyDescent="0.2">
      <c r="A468" s="67">
        <v>44409</v>
      </c>
      <c r="B468" s="57">
        <v>0</v>
      </c>
      <c r="C468" s="57">
        <v>0</v>
      </c>
      <c r="D468" s="57">
        <v>27.756160000000001</v>
      </c>
      <c r="E468" s="57">
        <v>30.412929486107252</v>
      </c>
      <c r="F468" s="57">
        <v>7.6892800000000001</v>
      </c>
      <c r="G468" s="57">
        <v>10.191233281890364</v>
      </c>
      <c r="H468" s="58">
        <v>9.5718193226557613E-2</v>
      </c>
      <c r="I468" s="58">
        <v>0.32538199699976644</v>
      </c>
      <c r="J468" s="58">
        <v>0.14553981465592214</v>
      </c>
    </row>
    <row r="469" spans="1:10" ht="11.25" customHeight="1" x14ac:dyDescent="0.2">
      <c r="A469" s="67">
        <v>44440</v>
      </c>
      <c r="B469" s="57">
        <v>0</v>
      </c>
      <c r="C469" s="57">
        <v>0</v>
      </c>
      <c r="D469" s="57">
        <v>28.623540000000002</v>
      </c>
      <c r="E469" s="57">
        <v>31.363333532548104</v>
      </c>
      <c r="F469" s="57">
        <v>7.92957</v>
      </c>
      <c r="G469" s="57">
        <v>10.509709321949437</v>
      </c>
      <c r="H469" s="58">
        <v>9.5718193226557613E-2</v>
      </c>
      <c r="I469" s="58">
        <v>0.32538199699976622</v>
      </c>
      <c r="J469" s="58">
        <v>0.14553981465592214</v>
      </c>
    </row>
    <row r="470" spans="1:10" ht="11.25" customHeight="1" x14ac:dyDescent="0.2">
      <c r="A470" s="67">
        <v>44470</v>
      </c>
      <c r="B470" s="57">
        <v>0</v>
      </c>
      <c r="C470" s="57">
        <v>0</v>
      </c>
      <c r="D470" s="57">
        <v>26.888780000000001</v>
      </c>
      <c r="E470" s="57">
        <v>29.4625254396664</v>
      </c>
      <c r="F470" s="57">
        <v>7.4489899999999993</v>
      </c>
      <c r="G470" s="57">
        <v>9.8727572418312892</v>
      </c>
      <c r="H470" s="58">
        <v>9.5718193226557613E-2</v>
      </c>
      <c r="I470" s="58">
        <v>0.32538199699976644</v>
      </c>
      <c r="J470" s="58">
        <v>0.14553981465592236</v>
      </c>
    </row>
    <row r="471" spans="1:10" ht="11.25" customHeight="1" x14ac:dyDescent="0.2">
      <c r="A471" s="67">
        <v>44501</v>
      </c>
      <c r="B471" s="57">
        <v>0</v>
      </c>
      <c r="C471" s="57">
        <v>0</v>
      </c>
      <c r="D471" s="57">
        <v>26.0214</v>
      </c>
      <c r="E471" s="57">
        <v>28.512121393225549</v>
      </c>
      <c r="F471" s="57">
        <v>7.2086999999999994</v>
      </c>
      <c r="G471" s="57">
        <v>9.5542812017722145</v>
      </c>
      <c r="H471" s="58">
        <v>9.5718193226557613E-2</v>
      </c>
      <c r="I471" s="58">
        <v>0.32538199699976622</v>
      </c>
      <c r="J471" s="58">
        <v>0.14553981465592214</v>
      </c>
    </row>
    <row r="472" spans="1:10" ht="11.25" customHeight="1" x14ac:dyDescent="0.2">
      <c r="A472" s="67">
        <v>44531</v>
      </c>
      <c r="B472" s="57">
        <v>0</v>
      </c>
      <c r="C472" s="57">
        <v>0</v>
      </c>
      <c r="D472" s="57">
        <v>26.0214</v>
      </c>
      <c r="E472" s="57">
        <v>28.512121393225549</v>
      </c>
      <c r="F472" s="57">
        <v>7.2086999999999994</v>
      </c>
      <c r="G472" s="57">
        <v>9.5542812017722145</v>
      </c>
      <c r="H472" s="58">
        <v>9.5718193226557613E-2</v>
      </c>
      <c r="I472" s="58">
        <v>0.32538199699976622</v>
      </c>
      <c r="J472" s="58">
        <v>0.14553981465592214</v>
      </c>
    </row>
    <row r="473" spans="1:10" ht="11.25" customHeight="1" x14ac:dyDescent="0.2">
      <c r="A473" s="67">
        <v>44562</v>
      </c>
      <c r="B473" s="57">
        <v>0</v>
      </c>
      <c r="C473" s="57">
        <v>0</v>
      </c>
      <c r="D473" s="57">
        <v>26.0214</v>
      </c>
      <c r="E473" s="57">
        <v>28.512121393225549</v>
      </c>
      <c r="F473" s="57">
        <v>7.2086999999999994</v>
      </c>
      <c r="G473" s="57">
        <v>9.5542812017722145</v>
      </c>
      <c r="H473" s="58">
        <v>9.5718193226557613E-2</v>
      </c>
      <c r="I473" s="58">
        <v>0.32538199699976622</v>
      </c>
      <c r="J473" s="58">
        <v>0.14553981465592214</v>
      </c>
    </row>
    <row r="474" spans="1:10" ht="11.25" customHeight="1" x14ac:dyDescent="0.2">
      <c r="A474" s="67">
        <v>44593</v>
      </c>
      <c r="B474" s="57">
        <v>0</v>
      </c>
      <c r="C474" s="57">
        <v>0</v>
      </c>
      <c r="D474" s="57">
        <v>26.0214</v>
      </c>
      <c r="E474" s="57">
        <v>28.512121393225549</v>
      </c>
      <c r="F474" s="57">
        <v>7.2086999999999994</v>
      </c>
      <c r="G474" s="57">
        <v>9.5542812017722145</v>
      </c>
      <c r="H474" s="58">
        <v>9.5718193226557613E-2</v>
      </c>
      <c r="I474" s="58">
        <v>0.32538199699976622</v>
      </c>
      <c r="J474" s="58">
        <v>0.14553981465592214</v>
      </c>
    </row>
    <row r="475" spans="1:10" ht="11.25" customHeight="1" x14ac:dyDescent="0.2">
      <c r="A475" s="67">
        <v>44621</v>
      </c>
      <c r="B475" s="57">
        <v>0</v>
      </c>
      <c r="C475" s="57">
        <v>0</v>
      </c>
      <c r="D475" s="57">
        <v>26.0214</v>
      </c>
      <c r="E475" s="57">
        <v>28.512121393225549</v>
      </c>
      <c r="F475" s="57">
        <v>7.2086999999999994</v>
      </c>
      <c r="G475" s="57">
        <v>9.5542812017722145</v>
      </c>
      <c r="H475" s="58">
        <v>9.5718193226557613E-2</v>
      </c>
      <c r="I475" s="58">
        <v>0.32538199699976622</v>
      </c>
      <c r="J475" s="58">
        <v>0.14553981465592214</v>
      </c>
    </row>
    <row r="476" spans="1:10" ht="11.25" customHeight="1" x14ac:dyDescent="0.2">
      <c r="A476" s="62" t="s">
        <v>36</v>
      </c>
      <c r="B476" s="57">
        <v>0</v>
      </c>
      <c r="C476" s="57">
        <v>0</v>
      </c>
      <c r="D476" s="57">
        <v>69273.303700000004</v>
      </c>
      <c r="E476" s="57">
        <v>75904.01916899861</v>
      </c>
      <c r="F476" s="57">
        <v>19190.760849999999</v>
      </c>
      <c r="G476" s="57">
        <v>25435.088939317931</v>
      </c>
      <c r="H476" s="58">
        <v>9.5718193226557835E-2</v>
      </c>
      <c r="I476" s="58">
        <v>0.32538199699976578</v>
      </c>
      <c r="J476" s="58">
        <v>0.14553981465592214</v>
      </c>
    </row>
    <row r="477" spans="1:10" ht="11.25" customHeight="1" x14ac:dyDescent="0.2">
      <c r="A477" s="63" t="s">
        <v>25</v>
      </c>
      <c r="B477" s="57">
        <v>0</v>
      </c>
      <c r="C477" s="57">
        <v>0</v>
      </c>
      <c r="D477" s="57">
        <v>69273.303700000004</v>
      </c>
      <c r="E477" s="57">
        <v>75904.01916899861</v>
      </c>
      <c r="F477" s="57">
        <v>19190.760849999999</v>
      </c>
      <c r="G477" s="57">
        <v>25435.088939317931</v>
      </c>
      <c r="H477" s="58">
        <v>9.5718193226557835E-2</v>
      </c>
      <c r="I477" s="58">
        <v>0.32538199699976578</v>
      </c>
      <c r="J477" s="58">
        <v>0.14553981465592214</v>
      </c>
    </row>
    <row r="478" spans="1:10" ht="11.25" customHeight="1" x14ac:dyDescent="0.2">
      <c r="A478" s="64" t="s">
        <v>25</v>
      </c>
      <c r="B478" s="57">
        <v>0</v>
      </c>
      <c r="C478" s="57">
        <v>0</v>
      </c>
      <c r="D478" s="57">
        <v>69273.303700000004</v>
      </c>
      <c r="E478" s="57">
        <v>75904.01916899861</v>
      </c>
      <c r="F478" s="57">
        <v>19190.760849999999</v>
      </c>
      <c r="G478" s="57">
        <v>25435.088939317931</v>
      </c>
      <c r="H478" s="58">
        <v>9.5718193226557835E-2</v>
      </c>
      <c r="I478" s="58">
        <v>0.32538199699976578</v>
      </c>
      <c r="J478" s="58">
        <v>0.14553981465592214</v>
      </c>
    </row>
    <row r="479" spans="1:10" ht="11.25" customHeight="1" x14ac:dyDescent="0.2">
      <c r="A479" s="65" t="s">
        <v>25</v>
      </c>
      <c r="B479" s="57">
        <v>0</v>
      </c>
      <c r="C479" s="57">
        <v>0</v>
      </c>
      <c r="D479" s="57">
        <v>69273.303700000004</v>
      </c>
      <c r="E479" s="57">
        <v>75904.01916899861</v>
      </c>
      <c r="F479" s="57">
        <v>19190.760849999999</v>
      </c>
      <c r="G479" s="57">
        <v>25435.088939317931</v>
      </c>
      <c r="H479" s="58">
        <v>9.5718193226557835E-2</v>
      </c>
      <c r="I479" s="58">
        <v>0.32538199699976578</v>
      </c>
      <c r="J479" s="58">
        <v>0.14553981465592214</v>
      </c>
    </row>
    <row r="480" spans="1:10" ht="11.25" customHeight="1" x14ac:dyDescent="0.2">
      <c r="A480" s="66" t="s">
        <v>25</v>
      </c>
      <c r="B480" s="57">
        <v>0</v>
      </c>
      <c r="C480" s="57">
        <v>0</v>
      </c>
      <c r="D480" s="57">
        <v>69273.303700000004</v>
      </c>
      <c r="E480" s="57">
        <v>75904.01916899861</v>
      </c>
      <c r="F480" s="57">
        <v>19190.760849999999</v>
      </c>
      <c r="G480" s="57">
        <v>25435.088939317931</v>
      </c>
      <c r="H480" s="58">
        <v>9.5718193226557835E-2</v>
      </c>
      <c r="I480" s="58">
        <v>0.32538199699976578</v>
      </c>
      <c r="J480" s="58">
        <v>0.14553981465592214</v>
      </c>
    </row>
    <row r="481" spans="1:10" ht="11.25" customHeight="1" x14ac:dyDescent="0.2">
      <c r="A481" s="67">
        <v>44287</v>
      </c>
      <c r="B481" s="57">
        <v>0</v>
      </c>
      <c r="C481" s="57">
        <v>0</v>
      </c>
      <c r="D481" s="57">
        <v>5776.7507999999998</v>
      </c>
      <c r="E481" s="57">
        <v>6329.6909492960713</v>
      </c>
      <c r="F481" s="57">
        <v>1600.3313999999998</v>
      </c>
      <c r="G481" s="57">
        <v>2121.0504267934316</v>
      </c>
      <c r="H481" s="58">
        <v>9.5718193226557613E-2</v>
      </c>
      <c r="I481" s="58">
        <v>0.32538199699976644</v>
      </c>
      <c r="J481" s="58">
        <v>0.14553981465592236</v>
      </c>
    </row>
    <row r="482" spans="1:10" ht="11.25" customHeight="1" x14ac:dyDescent="0.2">
      <c r="A482" s="67">
        <v>44317</v>
      </c>
      <c r="B482" s="57">
        <v>0</v>
      </c>
      <c r="C482" s="57">
        <v>0</v>
      </c>
      <c r="D482" s="57">
        <v>4641.3503799999999</v>
      </c>
      <c r="E482" s="57">
        <v>5085.6120525049973</v>
      </c>
      <c r="F482" s="57">
        <v>1285.7917900000002</v>
      </c>
      <c r="G482" s="57">
        <v>1704.1652903561044</v>
      </c>
      <c r="H482" s="58">
        <v>9.5718193226557835E-2</v>
      </c>
      <c r="I482" s="58">
        <v>0.32538199699976622</v>
      </c>
      <c r="J482" s="58">
        <v>0.14553981465592236</v>
      </c>
    </row>
    <row r="483" spans="1:10" ht="11.25" customHeight="1" x14ac:dyDescent="0.2">
      <c r="A483" s="67">
        <v>44348</v>
      </c>
      <c r="B483" s="57">
        <v>0</v>
      </c>
      <c r="C483" s="57">
        <v>0</v>
      </c>
      <c r="D483" s="57">
        <v>4184.2411200000006</v>
      </c>
      <c r="E483" s="57">
        <v>4584.7491200306686</v>
      </c>
      <c r="F483" s="57">
        <v>1159.15896</v>
      </c>
      <c r="G483" s="57">
        <v>1536.3284172449723</v>
      </c>
      <c r="H483" s="58">
        <v>9.5718193226557613E-2</v>
      </c>
      <c r="I483" s="58">
        <v>0.32538199699976644</v>
      </c>
      <c r="J483" s="58">
        <v>0.14553981465592236</v>
      </c>
    </row>
    <row r="484" spans="1:10" ht="11.25" customHeight="1" x14ac:dyDescent="0.2">
      <c r="A484" s="67">
        <v>44378</v>
      </c>
      <c r="B484" s="57">
        <v>0</v>
      </c>
      <c r="C484" s="57">
        <v>0</v>
      </c>
      <c r="D484" s="57">
        <v>3517.2258999999999</v>
      </c>
      <c r="E484" s="57">
        <v>3853.8884083176531</v>
      </c>
      <c r="F484" s="57">
        <v>974.37594999999999</v>
      </c>
      <c r="G484" s="57">
        <v>1291.4203424395444</v>
      </c>
      <c r="H484" s="58">
        <v>9.5718193226557613E-2</v>
      </c>
      <c r="I484" s="58">
        <v>0.32538199699976622</v>
      </c>
      <c r="J484" s="58">
        <v>0.14553981465592214</v>
      </c>
    </row>
    <row r="485" spans="1:10" ht="11.25" customHeight="1" x14ac:dyDescent="0.2">
      <c r="A485" s="67">
        <v>44409</v>
      </c>
      <c r="B485" s="57">
        <v>0</v>
      </c>
      <c r="C485" s="57">
        <v>0</v>
      </c>
      <c r="D485" s="57">
        <v>4334.2978600000006</v>
      </c>
      <c r="E485" s="57">
        <v>4749.1690200649355</v>
      </c>
      <c r="F485" s="57">
        <v>1200.7291300000002</v>
      </c>
      <c r="G485" s="57">
        <v>1591.4247721751922</v>
      </c>
      <c r="H485" s="58">
        <v>9.5718193226557613E-2</v>
      </c>
      <c r="I485" s="58">
        <v>0.32538199699976622</v>
      </c>
      <c r="J485" s="58">
        <v>0.14553981465592236</v>
      </c>
    </row>
    <row r="486" spans="1:10" ht="11.25" customHeight="1" x14ac:dyDescent="0.2">
      <c r="A486" s="67">
        <v>44440</v>
      </c>
      <c r="B486" s="57">
        <v>0</v>
      </c>
      <c r="C486" s="57">
        <v>0</v>
      </c>
      <c r="D486" s="57">
        <v>5278.8746799999999</v>
      </c>
      <c r="E486" s="57">
        <v>5784.1590266390231</v>
      </c>
      <c r="F486" s="57">
        <v>1462.4049399999999</v>
      </c>
      <c r="G486" s="57">
        <v>1938.2451797995234</v>
      </c>
      <c r="H486" s="58">
        <v>9.5718193226557835E-2</v>
      </c>
      <c r="I486" s="58">
        <v>0.32538199699976644</v>
      </c>
      <c r="J486" s="58">
        <v>0.14553981465592236</v>
      </c>
    </row>
    <row r="487" spans="1:10" ht="11.25" customHeight="1" x14ac:dyDescent="0.2">
      <c r="A487" s="67">
        <v>44470</v>
      </c>
      <c r="B487" s="57">
        <v>0</v>
      </c>
      <c r="C487" s="57">
        <v>0</v>
      </c>
      <c r="D487" s="57">
        <v>5271.9356399999997</v>
      </c>
      <c r="E487" s="57">
        <v>5776.5557942674968</v>
      </c>
      <c r="F487" s="57">
        <v>1460.48262</v>
      </c>
      <c r="G487" s="57">
        <v>1935.6973714790511</v>
      </c>
      <c r="H487" s="58">
        <v>9.5718193226557835E-2</v>
      </c>
      <c r="I487" s="58">
        <v>0.32538199699976644</v>
      </c>
      <c r="J487" s="58">
        <v>0.14553981465592258</v>
      </c>
    </row>
    <row r="488" spans="1:10" ht="11.25" customHeight="1" x14ac:dyDescent="0.2">
      <c r="A488" s="67">
        <v>44501</v>
      </c>
      <c r="B488" s="57">
        <v>0</v>
      </c>
      <c r="C488" s="57">
        <v>0</v>
      </c>
      <c r="D488" s="57">
        <v>5527.8127400000003</v>
      </c>
      <c r="E488" s="57">
        <v>6056.9249879675472</v>
      </c>
      <c r="F488" s="57">
        <v>1531.3681699999997</v>
      </c>
      <c r="G488" s="57">
        <v>2029.6478032964776</v>
      </c>
      <c r="H488" s="58">
        <v>9.5718193226557613E-2</v>
      </c>
      <c r="I488" s="58">
        <v>0.32538199699976644</v>
      </c>
      <c r="J488" s="58">
        <v>0.14553981465592236</v>
      </c>
    </row>
    <row r="489" spans="1:10" ht="11.25" customHeight="1" x14ac:dyDescent="0.2">
      <c r="A489" s="67">
        <v>44531</v>
      </c>
      <c r="B489" s="57">
        <v>0</v>
      </c>
      <c r="C489" s="57">
        <v>0</v>
      </c>
      <c r="D489" s="57">
        <v>6159.2653800000007</v>
      </c>
      <c r="E489" s="57">
        <v>6748.8191337764883</v>
      </c>
      <c r="F489" s="57">
        <v>1706.2992899999999</v>
      </c>
      <c r="G489" s="57">
        <v>2261.4983604594831</v>
      </c>
      <c r="H489" s="58">
        <v>9.5718193226557835E-2</v>
      </c>
      <c r="I489" s="58">
        <v>0.32538199699976622</v>
      </c>
      <c r="J489" s="58">
        <v>0.14553981465592236</v>
      </c>
    </row>
    <row r="490" spans="1:10" ht="11.25" customHeight="1" x14ac:dyDescent="0.2">
      <c r="A490" s="67">
        <v>44562</v>
      </c>
      <c r="B490" s="57">
        <v>0</v>
      </c>
      <c r="C490" s="57">
        <v>0</v>
      </c>
      <c r="D490" s="57">
        <v>7158.4871400000011</v>
      </c>
      <c r="E490" s="57">
        <v>7843.6845952763488</v>
      </c>
      <c r="F490" s="57">
        <v>1983.11337</v>
      </c>
      <c r="G490" s="57">
        <v>2628.3827586075363</v>
      </c>
      <c r="H490" s="58">
        <v>9.5718193226557613E-2</v>
      </c>
      <c r="I490" s="58">
        <v>0.32538199699976622</v>
      </c>
      <c r="J490" s="58">
        <v>0.14553981465592236</v>
      </c>
    </row>
    <row r="491" spans="1:10" ht="11.25" customHeight="1" x14ac:dyDescent="0.2">
      <c r="A491" s="67">
        <v>44593</v>
      </c>
      <c r="B491" s="57">
        <v>0</v>
      </c>
      <c r="C491" s="57">
        <v>0</v>
      </c>
      <c r="D491" s="57">
        <v>8174.18912</v>
      </c>
      <c r="E491" s="57">
        <v>8956.6077336585859</v>
      </c>
      <c r="F491" s="57">
        <v>2264.49296</v>
      </c>
      <c r="G491" s="57">
        <v>3001.3182015167117</v>
      </c>
      <c r="H491" s="58">
        <v>9.5718193226557835E-2</v>
      </c>
      <c r="I491" s="58">
        <v>0.32538199699976622</v>
      </c>
      <c r="J491" s="58">
        <v>0.14553981465592214</v>
      </c>
    </row>
    <row r="492" spans="1:10" ht="11.25" customHeight="1" x14ac:dyDescent="0.2">
      <c r="A492" s="67">
        <v>44621</v>
      </c>
      <c r="B492" s="57">
        <v>0</v>
      </c>
      <c r="C492" s="57">
        <v>0</v>
      </c>
      <c r="D492" s="57">
        <v>9248.8729399999993</v>
      </c>
      <c r="E492" s="57">
        <v>10134.158347198801</v>
      </c>
      <c r="F492" s="57">
        <v>2562.21227</v>
      </c>
      <c r="G492" s="57">
        <v>3395.9100151499047</v>
      </c>
      <c r="H492" s="58">
        <v>9.5718193226557835E-2</v>
      </c>
      <c r="I492" s="58">
        <v>0.32538199699976644</v>
      </c>
      <c r="J492" s="58">
        <v>0.14553981465592236</v>
      </c>
    </row>
    <row r="493" spans="1:10" ht="11.25" customHeight="1" x14ac:dyDescent="0.2">
      <c r="A493" s="62" t="s">
        <v>45</v>
      </c>
      <c r="B493" s="57">
        <v>0</v>
      </c>
      <c r="C493" s="57">
        <v>0</v>
      </c>
      <c r="D493" s="57">
        <v>212201.91485999999</v>
      </c>
      <c r="E493" s="57">
        <v>232513.49874961504</v>
      </c>
      <c r="F493" s="57">
        <v>58786.227629999994</v>
      </c>
      <c r="G493" s="57">
        <v>77914.207772332244</v>
      </c>
      <c r="H493" s="58">
        <v>9.5718193226557835E-2</v>
      </c>
      <c r="I493" s="58">
        <v>0.32538199699976644</v>
      </c>
      <c r="J493" s="58">
        <v>0.14553981465592236</v>
      </c>
    </row>
    <row r="494" spans="1:10" ht="11.25" customHeight="1" x14ac:dyDescent="0.2">
      <c r="A494" s="63" t="s">
        <v>25</v>
      </c>
      <c r="B494" s="57">
        <v>0</v>
      </c>
      <c r="C494" s="57">
        <v>0</v>
      </c>
      <c r="D494" s="57">
        <v>212201.91485999999</v>
      </c>
      <c r="E494" s="57">
        <v>232513.49874961504</v>
      </c>
      <c r="F494" s="57">
        <v>58786.227629999994</v>
      </c>
      <c r="G494" s="57">
        <v>77914.207772332244</v>
      </c>
      <c r="H494" s="58">
        <v>9.5718193226557835E-2</v>
      </c>
      <c r="I494" s="58">
        <v>0.32538199699976644</v>
      </c>
      <c r="J494" s="58">
        <v>0.14553981465592236</v>
      </c>
    </row>
    <row r="495" spans="1:10" ht="11.25" customHeight="1" x14ac:dyDescent="0.2">
      <c r="A495" s="64" t="s">
        <v>25</v>
      </c>
      <c r="B495" s="57">
        <v>0</v>
      </c>
      <c r="C495" s="57">
        <v>0</v>
      </c>
      <c r="D495" s="57">
        <v>212201.91485999999</v>
      </c>
      <c r="E495" s="57">
        <v>232513.49874961504</v>
      </c>
      <c r="F495" s="57">
        <v>58786.227629999994</v>
      </c>
      <c r="G495" s="57">
        <v>77914.207772332244</v>
      </c>
      <c r="H495" s="58">
        <v>9.5718193226557835E-2</v>
      </c>
      <c r="I495" s="58">
        <v>0.32538199699976644</v>
      </c>
      <c r="J495" s="58">
        <v>0.14553981465592236</v>
      </c>
    </row>
    <row r="496" spans="1:10" ht="11.25" customHeight="1" x14ac:dyDescent="0.2">
      <c r="A496" s="65" t="s">
        <v>25</v>
      </c>
      <c r="B496" s="57">
        <v>0</v>
      </c>
      <c r="C496" s="57">
        <v>0</v>
      </c>
      <c r="D496" s="57">
        <v>212201.91485999999</v>
      </c>
      <c r="E496" s="57">
        <v>232513.49874961504</v>
      </c>
      <c r="F496" s="57">
        <v>58786.227629999994</v>
      </c>
      <c r="G496" s="57">
        <v>77914.207772332244</v>
      </c>
      <c r="H496" s="58">
        <v>9.5718193226557835E-2</v>
      </c>
      <c r="I496" s="58">
        <v>0.32538199699976644</v>
      </c>
      <c r="J496" s="58">
        <v>0.14553981465592236</v>
      </c>
    </row>
    <row r="497" spans="1:10" ht="11.25" customHeight="1" x14ac:dyDescent="0.2">
      <c r="A497" s="66" t="s">
        <v>25</v>
      </c>
      <c r="B497" s="57">
        <v>0</v>
      </c>
      <c r="C497" s="57">
        <v>0</v>
      </c>
      <c r="D497" s="57">
        <v>212201.91485999999</v>
      </c>
      <c r="E497" s="57">
        <v>232513.49874961504</v>
      </c>
      <c r="F497" s="57">
        <v>58786.227629999994</v>
      </c>
      <c r="G497" s="57">
        <v>77914.207772332244</v>
      </c>
      <c r="H497" s="58">
        <v>9.5718193226557835E-2</v>
      </c>
      <c r="I497" s="58">
        <v>0.32538199699976644</v>
      </c>
      <c r="J497" s="58">
        <v>0.14553981465592236</v>
      </c>
    </row>
    <row r="498" spans="1:10" ht="11.25" customHeight="1" x14ac:dyDescent="0.2">
      <c r="A498" s="67">
        <v>44287</v>
      </c>
      <c r="B498" s="57">
        <v>0</v>
      </c>
      <c r="C498" s="57">
        <v>0</v>
      </c>
      <c r="D498" s="57">
        <v>18321.667740000001</v>
      </c>
      <c r="E498" s="57">
        <v>20075.384672970111</v>
      </c>
      <c r="F498" s="57">
        <v>5075.6456699999999</v>
      </c>
      <c r="G498" s="57">
        <v>6727.1693941678177</v>
      </c>
      <c r="H498" s="58">
        <v>9.5718193226557835E-2</v>
      </c>
      <c r="I498" s="58">
        <v>0.32538199699976644</v>
      </c>
      <c r="J498" s="58">
        <v>0.14553981465592236</v>
      </c>
    </row>
    <row r="499" spans="1:10" ht="11.25" customHeight="1" x14ac:dyDescent="0.2">
      <c r="A499" s="67">
        <v>44317</v>
      </c>
      <c r="B499" s="57">
        <v>0</v>
      </c>
      <c r="C499" s="57">
        <v>0</v>
      </c>
      <c r="D499" s="57">
        <v>13878.08</v>
      </c>
      <c r="E499" s="57">
        <v>15206.464743053626</v>
      </c>
      <c r="F499" s="57">
        <v>3844.64</v>
      </c>
      <c r="G499" s="57">
        <v>5095.6166409451816</v>
      </c>
      <c r="H499" s="58">
        <v>9.5718193226557613E-2</v>
      </c>
      <c r="I499" s="58">
        <v>0.32538199699976644</v>
      </c>
      <c r="J499" s="58">
        <v>0.14553981465592236</v>
      </c>
    </row>
    <row r="500" spans="1:10" ht="11.25" customHeight="1" x14ac:dyDescent="0.2">
      <c r="A500" s="67">
        <v>44348</v>
      </c>
      <c r="B500" s="57">
        <v>0</v>
      </c>
      <c r="C500" s="57">
        <v>0</v>
      </c>
      <c r="D500" s="57">
        <v>15668.35232</v>
      </c>
      <c r="E500" s="57">
        <v>17168.098694907545</v>
      </c>
      <c r="F500" s="57">
        <v>4340.5985599999995</v>
      </c>
      <c r="G500" s="57">
        <v>5752.9511876271099</v>
      </c>
      <c r="H500" s="58">
        <v>9.5718193226557835E-2</v>
      </c>
      <c r="I500" s="58">
        <v>0.32538199699976644</v>
      </c>
      <c r="J500" s="58">
        <v>0.14553981465592236</v>
      </c>
    </row>
    <row r="501" spans="1:10" ht="11.25" customHeight="1" x14ac:dyDescent="0.2">
      <c r="A501" s="67">
        <v>44378</v>
      </c>
      <c r="B501" s="57">
        <v>0</v>
      </c>
      <c r="C501" s="57">
        <v>0</v>
      </c>
      <c r="D501" s="57">
        <v>13902.366639999998</v>
      </c>
      <c r="E501" s="57">
        <v>15233.076056353968</v>
      </c>
      <c r="F501" s="57">
        <v>3851.3681199999996</v>
      </c>
      <c r="G501" s="57">
        <v>5104.5339700668355</v>
      </c>
      <c r="H501" s="58">
        <v>9.5718193226557613E-2</v>
      </c>
      <c r="I501" s="58">
        <v>0.32538199699976644</v>
      </c>
      <c r="J501" s="58">
        <v>0.14553981465592214</v>
      </c>
    </row>
    <row r="502" spans="1:10" ht="11.25" customHeight="1" x14ac:dyDescent="0.2">
      <c r="A502" s="67">
        <v>44409</v>
      </c>
      <c r="B502" s="57">
        <v>0</v>
      </c>
      <c r="C502" s="57">
        <v>0</v>
      </c>
      <c r="D502" s="57">
        <v>13970.022280000001</v>
      </c>
      <c r="E502" s="57">
        <v>15307.207571976358</v>
      </c>
      <c r="F502" s="57">
        <v>3870.1107400000001</v>
      </c>
      <c r="G502" s="57">
        <v>5129.3751011914437</v>
      </c>
      <c r="H502" s="58">
        <v>9.5718193226557835E-2</v>
      </c>
      <c r="I502" s="58">
        <v>0.32538199699976644</v>
      </c>
      <c r="J502" s="58">
        <v>0.14553981465592236</v>
      </c>
    </row>
    <row r="503" spans="1:10" ht="11.25" customHeight="1" x14ac:dyDescent="0.2">
      <c r="A503" s="67">
        <v>44440</v>
      </c>
      <c r="B503" s="57">
        <v>0</v>
      </c>
      <c r="C503" s="57">
        <v>0</v>
      </c>
      <c r="D503" s="57">
        <v>17542.7605</v>
      </c>
      <c r="E503" s="57">
        <v>19221.921839266226</v>
      </c>
      <c r="F503" s="57">
        <v>4859.8652499999998</v>
      </c>
      <c r="G503" s="57">
        <v>6441.1779101947695</v>
      </c>
      <c r="H503" s="58">
        <v>9.5718193226557835E-2</v>
      </c>
      <c r="I503" s="58">
        <v>0.32538199699976667</v>
      </c>
      <c r="J503" s="58">
        <v>0.14553981465592236</v>
      </c>
    </row>
    <row r="504" spans="1:10" ht="11.25" customHeight="1" x14ac:dyDescent="0.2">
      <c r="A504" s="67">
        <v>44470</v>
      </c>
      <c r="B504" s="57">
        <v>0</v>
      </c>
      <c r="C504" s="57">
        <v>0</v>
      </c>
      <c r="D504" s="57">
        <v>17942.62268</v>
      </c>
      <c r="E504" s="57">
        <v>19660.058104675456</v>
      </c>
      <c r="F504" s="57">
        <v>4970.6389399999998</v>
      </c>
      <c r="G504" s="57">
        <v>6587.9953646620015</v>
      </c>
      <c r="H504" s="58">
        <v>9.5718193226557613E-2</v>
      </c>
      <c r="I504" s="58">
        <v>0.32538199699976644</v>
      </c>
      <c r="J504" s="58">
        <v>0.14553981465592214</v>
      </c>
    </row>
    <row r="505" spans="1:10" ht="11.25" customHeight="1" x14ac:dyDescent="0.2">
      <c r="A505" s="67">
        <v>44501</v>
      </c>
      <c r="B505" s="57">
        <v>0</v>
      </c>
      <c r="C505" s="57">
        <v>0</v>
      </c>
      <c r="D505" s="57">
        <v>17549.699540000001</v>
      </c>
      <c r="E505" s="57">
        <v>19229.525071637752</v>
      </c>
      <c r="F505" s="57">
        <v>4861.7875700000004</v>
      </c>
      <c r="G505" s="57">
        <v>6443.7257185152412</v>
      </c>
      <c r="H505" s="58">
        <v>9.5718193226557613E-2</v>
      </c>
      <c r="I505" s="58">
        <v>0.32538199699976622</v>
      </c>
      <c r="J505" s="58">
        <v>0.14553981465592236</v>
      </c>
    </row>
    <row r="506" spans="1:10" ht="11.25" customHeight="1" x14ac:dyDescent="0.2">
      <c r="A506" s="67">
        <v>44531</v>
      </c>
      <c r="B506" s="57">
        <v>0</v>
      </c>
      <c r="C506" s="57">
        <v>0</v>
      </c>
      <c r="D506" s="57">
        <v>19787.539939999999</v>
      </c>
      <c r="E506" s="57">
        <v>21681.567511455149</v>
      </c>
      <c r="F506" s="57">
        <v>5481.7357699999993</v>
      </c>
      <c r="G506" s="57">
        <v>7265.393901867651</v>
      </c>
      <c r="H506" s="58">
        <v>9.5718193226557835E-2</v>
      </c>
      <c r="I506" s="58">
        <v>0.32538199699976644</v>
      </c>
      <c r="J506" s="58">
        <v>0.14553981465592236</v>
      </c>
    </row>
    <row r="507" spans="1:10" ht="11.25" customHeight="1" x14ac:dyDescent="0.2">
      <c r="A507" s="67">
        <v>44562</v>
      </c>
      <c r="B507" s="57">
        <v>0</v>
      </c>
      <c r="C507" s="57">
        <v>0</v>
      </c>
      <c r="D507" s="57">
        <v>18608.770520000002</v>
      </c>
      <c r="E507" s="57">
        <v>20389.96841234203</v>
      </c>
      <c r="F507" s="57">
        <v>5155.1816600000002</v>
      </c>
      <c r="G507" s="57">
        <v>6832.5849634273709</v>
      </c>
      <c r="H507" s="58">
        <v>9.5718193226557613E-2</v>
      </c>
      <c r="I507" s="58">
        <v>0.32538199699976644</v>
      </c>
      <c r="J507" s="58">
        <v>0.14553981465592214</v>
      </c>
    </row>
    <row r="508" spans="1:10" ht="11.25" customHeight="1" x14ac:dyDescent="0.2">
      <c r="A508" s="67">
        <v>44593</v>
      </c>
      <c r="B508" s="57">
        <v>0</v>
      </c>
      <c r="C508" s="57">
        <v>0</v>
      </c>
      <c r="D508" s="57">
        <v>19138.739700000002</v>
      </c>
      <c r="E508" s="57">
        <v>20970.665284717394</v>
      </c>
      <c r="F508" s="57">
        <v>5301.9988499999999</v>
      </c>
      <c r="G508" s="57">
        <v>7027.1738239034648</v>
      </c>
      <c r="H508" s="58">
        <v>9.5718193226557835E-2</v>
      </c>
      <c r="I508" s="58">
        <v>0.32538199699976644</v>
      </c>
      <c r="J508" s="58">
        <v>0.14553981465592236</v>
      </c>
    </row>
    <row r="509" spans="1:10" ht="11.25" customHeight="1" x14ac:dyDescent="0.2">
      <c r="A509" s="67">
        <v>44621</v>
      </c>
      <c r="B509" s="57">
        <v>0</v>
      </c>
      <c r="C509" s="57">
        <v>0</v>
      </c>
      <c r="D509" s="57">
        <v>25891.293000000001</v>
      </c>
      <c r="E509" s="57">
        <v>28369.560786259422</v>
      </c>
      <c r="F509" s="57">
        <v>7172.6565000000001</v>
      </c>
      <c r="G509" s="57">
        <v>9506.5097957633552</v>
      </c>
      <c r="H509" s="58">
        <v>9.5718193226557613E-2</v>
      </c>
      <c r="I509" s="58">
        <v>0.32538199699976644</v>
      </c>
      <c r="J509" s="58">
        <v>0.14553981465592214</v>
      </c>
    </row>
    <row r="510" spans="1:10" ht="11.25" customHeight="1" x14ac:dyDescent="0.2">
      <c r="A510" s="62" t="s">
        <v>49</v>
      </c>
      <c r="B510" s="57">
        <v>0</v>
      </c>
      <c r="C510" s="57">
        <v>0</v>
      </c>
      <c r="D510" s="57">
        <v>148435.39860879999</v>
      </c>
      <c r="E510" s="57">
        <v>162643.36677449822</v>
      </c>
      <c r="F510" s="57">
        <v>41121.010320400004</v>
      </c>
      <c r="G510" s="57">
        <v>54501.046777099749</v>
      </c>
      <c r="H510" s="58">
        <v>9.5718193226557613E-2</v>
      </c>
      <c r="I510" s="58">
        <v>0.325381996999766</v>
      </c>
      <c r="J510" s="58">
        <v>0.14553981465592236</v>
      </c>
    </row>
    <row r="511" spans="1:10" ht="11.25" customHeight="1" x14ac:dyDescent="0.2">
      <c r="A511" s="63" t="s">
        <v>50</v>
      </c>
      <c r="B511" s="57">
        <v>0</v>
      </c>
      <c r="C511" s="57">
        <v>0</v>
      </c>
      <c r="D511" s="57">
        <v>148435.39860879999</v>
      </c>
      <c r="E511" s="57">
        <v>162643.36677449822</v>
      </c>
      <c r="F511" s="57">
        <v>41121.010320400004</v>
      </c>
      <c r="G511" s="57">
        <v>54501.046777099749</v>
      </c>
      <c r="H511" s="58">
        <v>9.5718193226557613E-2</v>
      </c>
      <c r="I511" s="58">
        <v>0.325381996999766</v>
      </c>
      <c r="J511" s="58">
        <v>0.14553981465592236</v>
      </c>
    </row>
    <row r="512" spans="1:10" ht="11.25" customHeight="1" x14ac:dyDescent="0.2">
      <c r="A512" s="64" t="s">
        <v>25</v>
      </c>
      <c r="B512" s="57">
        <v>0</v>
      </c>
      <c r="C512" s="57">
        <v>0</v>
      </c>
      <c r="D512" s="57">
        <v>148435.39860879999</v>
      </c>
      <c r="E512" s="57">
        <v>162643.36677449822</v>
      </c>
      <c r="F512" s="57">
        <v>41121.010320400004</v>
      </c>
      <c r="G512" s="57">
        <v>54501.046777099749</v>
      </c>
      <c r="H512" s="58">
        <v>9.5718193226557613E-2</v>
      </c>
      <c r="I512" s="58">
        <v>0.325381996999766</v>
      </c>
      <c r="J512" s="58">
        <v>0.14553981465592236</v>
      </c>
    </row>
    <row r="513" spans="1:10" ht="11.25" customHeight="1" x14ac:dyDescent="0.2">
      <c r="A513" s="65" t="s">
        <v>25</v>
      </c>
      <c r="B513" s="57">
        <v>0</v>
      </c>
      <c r="C513" s="57">
        <v>0</v>
      </c>
      <c r="D513" s="57">
        <v>148435.39860879999</v>
      </c>
      <c r="E513" s="57">
        <v>162643.36677449822</v>
      </c>
      <c r="F513" s="57">
        <v>41121.010320400004</v>
      </c>
      <c r="G513" s="57">
        <v>54501.046777099749</v>
      </c>
      <c r="H513" s="58">
        <v>9.5718193226557613E-2</v>
      </c>
      <c r="I513" s="58">
        <v>0.325381996999766</v>
      </c>
      <c r="J513" s="58">
        <v>0.14553981465592236</v>
      </c>
    </row>
    <row r="514" spans="1:10" ht="11.25" customHeight="1" x14ac:dyDescent="0.2">
      <c r="A514" s="66" t="s">
        <v>25</v>
      </c>
      <c r="B514" s="57">
        <v>0</v>
      </c>
      <c r="C514" s="57">
        <v>0</v>
      </c>
      <c r="D514" s="57">
        <v>148435.39860879999</v>
      </c>
      <c r="E514" s="57">
        <v>162643.36677449822</v>
      </c>
      <c r="F514" s="57">
        <v>41121.010320400004</v>
      </c>
      <c r="G514" s="57">
        <v>54501.046777099749</v>
      </c>
      <c r="H514" s="58">
        <v>9.5718193226557613E-2</v>
      </c>
      <c r="I514" s="58">
        <v>0.325381996999766</v>
      </c>
      <c r="J514" s="58">
        <v>0.14553981465592236</v>
      </c>
    </row>
    <row r="515" spans="1:10" ht="11.25" customHeight="1" x14ac:dyDescent="0.2">
      <c r="A515" s="67">
        <v>44287</v>
      </c>
      <c r="B515" s="57">
        <v>0</v>
      </c>
      <c r="C515" s="57">
        <v>0</v>
      </c>
      <c r="D515" s="57">
        <v>11455.487660000001</v>
      </c>
      <c r="E515" s="57">
        <v>12551.986241344328</v>
      </c>
      <c r="F515" s="57">
        <v>3173.5100299999999</v>
      </c>
      <c r="G515" s="57">
        <v>4206.1130610601886</v>
      </c>
      <c r="H515" s="58">
        <v>9.5718193226557613E-2</v>
      </c>
      <c r="I515" s="58">
        <v>0.32538199699976644</v>
      </c>
      <c r="J515" s="58">
        <v>0.14553981465592236</v>
      </c>
    </row>
    <row r="516" spans="1:10" ht="11.25" customHeight="1" x14ac:dyDescent="0.2">
      <c r="A516" s="67">
        <v>44317</v>
      </c>
      <c r="B516" s="57">
        <v>0</v>
      </c>
      <c r="C516" s="57">
        <v>0</v>
      </c>
      <c r="D516" s="57">
        <v>18034.443526799998</v>
      </c>
      <c r="E516" s="57">
        <v>19760.667877031687</v>
      </c>
      <c r="F516" s="57">
        <v>4996.0760393999999</v>
      </c>
      <c r="G516" s="57">
        <v>6621.7092382626552</v>
      </c>
      <c r="H516" s="58">
        <v>9.5718193226557835E-2</v>
      </c>
      <c r="I516" s="58">
        <v>0.32538199699976644</v>
      </c>
      <c r="J516" s="58">
        <v>0.14553981465592258</v>
      </c>
    </row>
    <row r="517" spans="1:10" ht="11.25" customHeight="1" x14ac:dyDescent="0.2">
      <c r="A517" s="67">
        <v>44348</v>
      </c>
      <c r="B517" s="57">
        <v>0</v>
      </c>
      <c r="C517" s="57">
        <v>0</v>
      </c>
      <c r="D517" s="57">
        <v>17741.737472000001</v>
      </c>
      <c r="E517" s="57">
        <v>19439.944527519754</v>
      </c>
      <c r="F517" s="57">
        <v>4914.9877759999999</v>
      </c>
      <c r="G517" s="57">
        <v>6514.2363137843204</v>
      </c>
      <c r="H517" s="58">
        <v>9.5718193226557613E-2</v>
      </c>
      <c r="I517" s="58">
        <v>0.32538199699976644</v>
      </c>
      <c r="J517" s="58">
        <v>0.14553981465592214</v>
      </c>
    </row>
    <row r="518" spans="1:10" ht="11.25" customHeight="1" x14ac:dyDescent="0.2">
      <c r="A518" s="67">
        <v>44378</v>
      </c>
      <c r="B518" s="57">
        <v>0</v>
      </c>
      <c r="C518" s="57">
        <v>0</v>
      </c>
      <c r="D518" s="57">
        <v>7646.2322616000001</v>
      </c>
      <c r="E518" s="57">
        <v>8378.1157986709677</v>
      </c>
      <c r="F518" s="57">
        <v>2118.2332428</v>
      </c>
      <c r="G518" s="57">
        <v>2807.4682054535547</v>
      </c>
      <c r="H518" s="58">
        <v>9.5718193226557613E-2</v>
      </c>
      <c r="I518" s="58">
        <v>0.32538199699976622</v>
      </c>
      <c r="J518" s="58">
        <v>0.14553981465592236</v>
      </c>
    </row>
    <row r="519" spans="1:10" ht="11.25" customHeight="1" x14ac:dyDescent="0.2">
      <c r="A519" s="67">
        <v>44409</v>
      </c>
      <c r="B519" s="57">
        <v>0</v>
      </c>
      <c r="C519" s="57">
        <v>0</v>
      </c>
      <c r="D519" s="57">
        <v>11576.1575656</v>
      </c>
      <c r="E519" s="57">
        <v>12684.20645228518</v>
      </c>
      <c r="F519" s="57">
        <v>3206.9391748000003</v>
      </c>
      <c r="G519" s="57">
        <v>4250.4194477532074</v>
      </c>
      <c r="H519" s="58">
        <v>9.5718193226557835E-2</v>
      </c>
      <c r="I519" s="58">
        <v>0.32538199699976644</v>
      </c>
      <c r="J519" s="58">
        <v>0.14553981465592236</v>
      </c>
    </row>
    <row r="520" spans="1:10" ht="11.25" customHeight="1" x14ac:dyDescent="0.2">
      <c r="A520" s="67">
        <v>44440</v>
      </c>
      <c r="B520" s="57">
        <v>0</v>
      </c>
      <c r="C520" s="57">
        <v>0</v>
      </c>
      <c r="D520" s="57">
        <v>10663.795238799999</v>
      </c>
      <c r="E520" s="57">
        <v>11684.514451995905</v>
      </c>
      <c r="F520" s="57">
        <v>2954.1877353999998</v>
      </c>
      <c r="G520" s="57">
        <v>3915.4272402566689</v>
      </c>
      <c r="H520" s="58">
        <v>9.5718193226557835E-2</v>
      </c>
      <c r="I520" s="58">
        <v>0.32538199699976622</v>
      </c>
      <c r="J520" s="58">
        <v>0.14553981465592236</v>
      </c>
    </row>
    <row r="521" spans="1:10" ht="11.25" customHeight="1" x14ac:dyDescent="0.2">
      <c r="A521" s="67">
        <v>44470</v>
      </c>
      <c r="B521" s="57">
        <v>0</v>
      </c>
      <c r="C521" s="57">
        <v>0</v>
      </c>
      <c r="D521" s="57">
        <v>9985.4346884000006</v>
      </c>
      <c r="E521" s="57">
        <v>10941.222455355444</v>
      </c>
      <c r="F521" s="57">
        <v>2766.2617322000001</v>
      </c>
      <c r="G521" s="57">
        <v>3666.3534988472688</v>
      </c>
      <c r="H521" s="58">
        <v>9.5718193226557835E-2</v>
      </c>
      <c r="I521" s="58">
        <v>0.32538199699976622</v>
      </c>
      <c r="J521" s="58">
        <v>0.14553981465592236</v>
      </c>
    </row>
    <row r="522" spans="1:10" ht="11.25" customHeight="1" x14ac:dyDescent="0.2">
      <c r="A522" s="67">
        <v>44501</v>
      </c>
      <c r="B522" s="57">
        <v>0</v>
      </c>
      <c r="C522" s="57">
        <v>0</v>
      </c>
      <c r="D522" s="57">
        <v>10021.3095252</v>
      </c>
      <c r="E522" s="57">
        <v>10980.531166716237</v>
      </c>
      <c r="F522" s="57">
        <v>2776.2001265999997</v>
      </c>
      <c r="G522" s="57">
        <v>3679.5256678641122</v>
      </c>
      <c r="H522" s="58">
        <v>9.5718193226557613E-2</v>
      </c>
      <c r="I522" s="58">
        <v>0.32538199699976644</v>
      </c>
      <c r="J522" s="58">
        <v>0.14553981465592236</v>
      </c>
    </row>
    <row r="523" spans="1:10" ht="11.25" customHeight="1" x14ac:dyDescent="0.2">
      <c r="A523" s="67">
        <v>44531</v>
      </c>
      <c r="B523" s="57">
        <v>0</v>
      </c>
      <c r="C523" s="57">
        <v>0</v>
      </c>
      <c r="D523" s="57">
        <v>11795.483272399999</v>
      </c>
      <c r="E523" s="57">
        <v>12924.525619468212</v>
      </c>
      <c r="F523" s="57">
        <v>3267.6989041999996</v>
      </c>
      <c r="G523" s="57">
        <v>4330.9492992425439</v>
      </c>
      <c r="H523" s="58">
        <v>9.5718193226557835E-2</v>
      </c>
      <c r="I523" s="58">
        <v>0.32538199699976644</v>
      </c>
      <c r="J523" s="58">
        <v>0.14553981465592236</v>
      </c>
    </row>
    <row r="524" spans="1:10" ht="11.25" customHeight="1" x14ac:dyDescent="0.2">
      <c r="A524" s="67">
        <v>44562</v>
      </c>
      <c r="B524" s="57">
        <v>0</v>
      </c>
      <c r="C524" s="57">
        <v>0</v>
      </c>
      <c r="D524" s="57">
        <v>12168.907709999999</v>
      </c>
      <c r="E524" s="57">
        <v>13333.693569541929</v>
      </c>
      <c r="F524" s="57">
        <v>3371.1485550000002</v>
      </c>
      <c r="G524" s="57">
        <v>4468.0596040087767</v>
      </c>
      <c r="H524" s="58">
        <v>9.5718193226557835E-2</v>
      </c>
      <c r="I524" s="58">
        <v>0.32538199699976622</v>
      </c>
      <c r="J524" s="58">
        <v>0.14553981465592258</v>
      </c>
    </row>
    <row r="525" spans="1:10" ht="11.25" customHeight="1" x14ac:dyDescent="0.2">
      <c r="A525" s="67">
        <v>44593</v>
      </c>
      <c r="B525" s="57">
        <v>0</v>
      </c>
      <c r="C525" s="57">
        <v>0</v>
      </c>
      <c r="D525" s="57">
        <v>14711.129099599999</v>
      </c>
      <c r="E525" s="57">
        <v>16119.251797336348</v>
      </c>
      <c r="F525" s="57">
        <v>4075.4193217999996</v>
      </c>
      <c r="G525" s="57">
        <v>5401.4873993387173</v>
      </c>
      <c r="H525" s="58">
        <v>9.5718193226557835E-2</v>
      </c>
      <c r="I525" s="58">
        <v>0.32538199699976644</v>
      </c>
      <c r="J525" s="58">
        <v>0.14553981465592236</v>
      </c>
    </row>
    <row r="526" spans="1:10" ht="11.25" customHeight="1" x14ac:dyDescent="0.2">
      <c r="A526" s="67">
        <v>44621</v>
      </c>
      <c r="B526" s="57">
        <v>0</v>
      </c>
      <c r="C526" s="57">
        <v>0</v>
      </c>
      <c r="D526" s="57">
        <v>12635.280588400001</v>
      </c>
      <c r="E526" s="57">
        <v>13844.706817232245</v>
      </c>
      <c r="F526" s="57">
        <v>3500.3476821999998</v>
      </c>
      <c r="G526" s="57">
        <v>4639.2978012277399</v>
      </c>
      <c r="H526" s="58">
        <v>9.5718193226557613E-2</v>
      </c>
      <c r="I526" s="58">
        <v>0.32538199699976644</v>
      </c>
      <c r="J526" s="58">
        <v>0.14553981465592236</v>
      </c>
    </row>
    <row r="527" spans="1:10" ht="11.25" customHeight="1" x14ac:dyDescent="0.2">
      <c r="A527" s="60" t="s">
        <v>46</v>
      </c>
      <c r="B527" s="57">
        <v>0</v>
      </c>
      <c r="C527" s="57">
        <v>0</v>
      </c>
      <c r="D527" s="57">
        <v>1509616.2969599999</v>
      </c>
      <c r="E527" s="57">
        <v>1654110.5740621958</v>
      </c>
      <c r="F527" s="57">
        <v>418209.21856000001</v>
      </c>
      <c r="G527" s="57">
        <v>554284.87222876586</v>
      </c>
      <c r="H527" s="58">
        <v>9.57158964123348E-2</v>
      </c>
      <c r="I527" s="58">
        <v>0.32537698269136373</v>
      </c>
      <c r="J527" s="58">
        <v>0.14553699414818788</v>
      </c>
    </row>
    <row r="528" spans="1:10" ht="11.25" customHeight="1" x14ac:dyDescent="0.2">
      <c r="A528" s="61" t="s">
        <v>23</v>
      </c>
      <c r="B528" s="57">
        <v>0</v>
      </c>
      <c r="C528" s="57">
        <v>0</v>
      </c>
      <c r="D528" s="57">
        <v>1509616.2969599999</v>
      </c>
      <c r="E528" s="57">
        <v>1654110.5740621958</v>
      </c>
      <c r="F528" s="57">
        <v>418209.21856000001</v>
      </c>
      <c r="G528" s="57">
        <v>554284.87222876586</v>
      </c>
      <c r="H528" s="58">
        <v>9.57158964123348E-2</v>
      </c>
      <c r="I528" s="58">
        <v>0.32537698269136373</v>
      </c>
      <c r="J528" s="58">
        <v>0.14553699414818788</v>
      </c>
    </row>
    <row r="529" spans="1:10" ht="11.25" customHeight="1" x14ac:dyDescent="0.2">
      <c r="A529" s="62" t="s">
        <v>47</v>
      </c>
      <c r="B529" s="57">
        <v>0</v>
      </c>
      <c r="C529" s="57">
        <v>0</v>
      </c>
      <c r="D529" s="57">
        <v>1509616.2969599999</v>
      </c>
      <c r="E529" s="57">
        <v>1654110.5740621958</v>
      </c>
      <c r="F529" s="57">
        <v>418209.21856000001</v>
      </c>
      <c r="G529" s="57">
        <v>554284.87222876586</v>
      </c>
      <c r="H529" s="58">
        <v>9.57158964123348E-2</v>
      </c>
      <c r="I529" s="58">
        <v>0.32537698269136373</v>
      </c>
      <c r="J529" s="58">
        <v>0.14553699414818788</v>
      </c>
    </row>
    <row r="530" spans="1:10" ht="11.25" customHeight="1" x14ac:dyDescent="0.2">
      <c r="A530" s="63" t="s">
        <v>48</v>
      </c>
      <c r="B530" s="57">
        <v>0</v>
      </c>
      <c r="C530" s="57">
        <v>0</v>
      </c>
      <c r="D530" s="57">
        <v>1509616.2969599999</v>
      </c>
      <c r="E530" s="57">
        <v>1654110.5740621958</v>
      </c>
      <c r="F530" s="57">
        <v>418209.21856000001</v>
      </c>
      <c r="G530" s="57">
        <v>554284.87222876586</v>
      </c>
      <c r="H530" s="58">
        <v>9.57158964123348E-2</v>
      </c>
      <c r="I530" s="58">
        <v>0.32537698269136373</v>
      </c>
      <c r="J530" s="58">
        <v>0.14553699414818788</v>
      </c>
    </row>
    <row r="531" spans="1:10" ht="11.25" customHeight="1" x14ac:dyDescent="0.2">
      <c r="A531" s="64" t="s">
        <v>25</v>
      </c>
      <c r="B531" s="57">
        <v>0</v>
      </c>
      <c r="C531" s="57">
        <v>0</v>
      </c>
      <c r="D531" s="57">
        <v>1509616.2969599999</v>
      </c>
      <c r="E531" s="57">
        <v>1654110.5740621958</v>
      </c>
      <c r="F531" s="57">
        <v>418209.21856000001</v>
      </c>
      <c r="G531" s="57">
        <v>554284.87222876586</v>
      </c>
      <c r="H531" s="58">
        <v>9.57158964123348E-2</v>
      </c>
      <c r="I531" s="58">
        <v>0.32537698269136373</v>
      </c>
      <c r="J531" s="58">
        <v>0.14553699414818788</v>
      </c>
    </row>
    <row r="532" spans="1:10" ht="11.25" customHeight="1" x14ac:dyDescent="0.2">
      <c r="A532" s="65" t="s">
        <v>25</v>
      </c>
      <c r="B532" s="57">
        <v>0</v>
      </c>
      <c r="C532" s="57">
        <v>0</v>
      </c>
      <c r="D532" s="57">
        <v>1509616.2969599999</v>
      </c>
      <c r="E532" s="57">
        <v>1654110.5740621958</v>
      </c>
      <c r="F532" s="57">
        <v>418209.21856000001</v>
      </c>
      <c r="G532" s="57">
        <v>554284.87222876586</v>
      </c>
      <c r="H532" s="58">
        <v>9.57158964123348E-2</v>
      </c>
      <c r="I532" s="58">
        <v>0.32537698269136373</v>
      </c>
      <c r="J532" s="58">
        <v>0.14553699414818788</v>
      </c>
    </row>
    <row r="533" spans="1:10" ht="11.25" customHeight="1" x14ac:dyDescent="0.2">
      <c r="A533" s="66" t="s">
        <v>25</v>
      </c>
      <c r="B533" s="57">
        <v>0</v>
      </c>
      <c r="C533" s="57">
        <v>0</v>
      </c>
      <c r="D533" s="57">
        <v>1509616.2969599999</v>
      </c>
      <c r="E533" s="57">
        <v>1654110.5740621958</v>
      </c>
      <c r="F533" s="57">
        <v>418209.21856000001</v>
      </c>
      <c r="G533" s="57">
        <v>554284.87222876586</v>
      </c>
      <c r="H533" s="58">
        <v>9.57158964123348E-2</v>
      </c>
      <c r="I533" s="58">
        <v>0.32537698269136373</v>
      </c>
      <c r="J533" s="58">
        <v>0.14553699414818788</v>
      </c>
    </row>
    <row r="534" spans="1:10" ht="11.25" customHeight="1" x14ac:dyDescent="0.2">
      <c r="A534" s="67">
        <v>44287</v>
      </c>
      <c r="B534" s="57">
        <v>0</v>
      </c>
      <c r="C534" s="57">
        <v>0</v>
      </c>
      <c r="D534" s="57">
        <v>127572.99990000001</v>
      </c>
      <c r="E534" s="57">
        <v>139783.7639434392</v>
      </c>
      <c r="F534" s="57">
        <v>35341.566400000003</v>
      </c>
      <c r="G534" s="57">
        <v>46840.898638818486</v>
      </c>
      <c r="H534" s="58">
        <v>9.57158964123348E-2</v>
      </c>
      <c r="I534" s="58">
        <v>0.32537698269136373</v>
      </c>
      <c r="J534" s="58">
        <v>0.1455369941481881</v>
      </c>
    </row>
    <row r="535" spans="1:10" ht="11.25" customHeight="1" x14ac:dyDescent="0.2">
      <c r="A535" s="67">
        <v>44317</v>
      </c>
      <c r="B535" s="57">
        <v>0</v>
      </c>
      <c r="C535" s="57">
        <v>0</v>
      </c>
      <c r="D535" s="57">
        <v>139207.53917999999</v>
      </c>
      <c r="E535" s="57">
        <v>152531.91357996891</v>
      </c>
      <c r="F535" s="57">
        <v>38564.684479999996</v>
      </c>
      <c r="G535" s="57">
        <v>51112.745154546858</v>
      </c>
      <c r="H535" s="58">
        <v>9.57158964123348E-2</v>
      </c>
      <c r="I535" s="58">
        <v>0.32537698269136373</v>
      </c>
      <c r="J535" s="58">
        <v>0.1455369941481881</v>
      </c>
    </row>
    <row r="536" spans="1:10" ht="11.25" customHeight="1" x14ac:dyDescent="0.2">
      <c r="A536" s="67">
        <v>44348</v>
      </c>
      <c r="B536" s="57">
        <v>0</v>
      </c>
      <c r="C536" s="57">
        <v>0</v>
      </c>
      <c r="D536" s="57">
        <v>137558.81982</v>
      </c>
      <c r="E536" s="57">
        <v>150725.38556849412</v>
      </c>
      <c r="F536" s="57">
        <v>38107.93952</v>
      </c>
      <c r="G536" s="57">
        <v>50507.385897602566</v>
      </c>
      <c r="H536" s="58">
        <v>9.5715896412334578E-2</v>
      </c>
      <c r="I536" s="58">
        <v>0.3253769826913635</v>
      </c>
      <c r="J536" s="58">
        <v>0.14553699414818788</v>
      </c>
    </row>
    <row r="537" spans="1:10" ht="11.25" customHeight="1" x14ac:dyDescent="0.2">
      <c r="A537" s="67">
        <v>44378</v>
      </c>
      <c r="B537" s="57">
        <v>0</v>
      </c>
      <c r="C537" s="57">
        <v>0</v>
      </c>
      <c r="D537" s="57">
        <v>140676.40692000001</v>
      </c>
      <c r="E537" s="57">
        <v>154141.37531241417</v>
      </c>
      <c r="F537" s="57">
        <v>38971.60512</v>
      </c>
      <c r="G537" s="57">
        <v>51652.068404584898</v>
      </c>
      <c r="H537" s="58">
        <v>9.5715896412334578E-2</v>
      </c>
      <c r="I537" s="58">
        <v>0.3253769826913635</v>
      </c>
      <c r="J537" s="58">
        <v>0.14553699414818788</v>
      </c>
    </row>
    <row r="538" spans="1:10" ht="11.25" customHeight="1" x14ac:dyDescent="0.2">
      <c r="A538" s="67">
        <v>44409</v>
      </c>
      <c r="B538" s="57">
        <v>0</v>
      </c>
      <c r="C538" s="57">
        <v>0</v>
      </c>
      <c r="D538" s="57">
        <v>135720.23058</v>
      </c>
      <c r="E538" s="57">
        <v>148710.81411125348</v>
      </c>
      <c r="F538" s="57">
        <v>37598.594879999997</v>
      </c>
      <c r="G538" s="57">
        <v>49832.312235489349</v>
      </c>
      <c r="H538" s="58">
        <v>9.57158964123348E-2</v>
      </c>
      <c r="I538" s="58">
        <v>0.32537698269136373</v>
      </c>
      <c r="J538" s="58">
        <v>0.14553699414818788</v>
      </c>
    </row>
    <row r="539" spans="1:10" ht="11.25" customHeight="1" x14ac:dyDescent="0.2">
      <c r="A539" s="67">
        <v>44440</v>
      </c>
      <c r="B539" s="57">
        <v>0</v>
      </c>
      <c r="C539" s="57">
        <v>0</v>
      </c>
      <c r="D539" s="57">
        <v>124486.89876000001</v>
      </c>
      <c r="E539" s="57">
        <v>136402.27386640498</v>
      </c>
      <c r="F539" s="57">
        <v>34486.623360000005</v>
      </c>
      <c r="G539" s="57">
        <v>45707.776812090298</v>
      </c>
      <c r="H539" s="58">
        <v>9.57158964123348E-2</v>
      </c>
      <c r="I539" s="58">
        <v>0.3253769826913635</v>
      </c>
      <c r="J539" s="58">
        <v>0.1455369941481881</v>
      </c>
    </row>
    <row r="540" spans="1:10" ht="11.25" customHeight="1" x14ac:dyDescent="0.2">
      <c r="A540" s="67">
        <v>44470</v>
      </c>
      <c r="B540" s="57">
        <v>0</v>
      </c>
      <c r="C540" s="57">
        <v>0</v>
      </c>
      <c r="D540" s="57">
        <v>121106.4516</v>
      </c>
      <c r="E540" s="57">
        <v>132698.26417621106</v>
      </c>
      <c r="F540" s="57">
        <v>33550.137600000002</v>
      </c>
      <c r="G540" s="57">
        <v>44466.580141168073</v>
      </c>
      <c r="H540" s="58">
        <v>9.5715896412335022E-2</v>
      </c>
      <c r="I540" s="58">
        <v>0.32537698269136373</v>
      </c>
      <c r="J540" s="58">
        <v>0.1455369941481881</v>
      </c>
    </row>
    <row r="541" spans="1:10" ht="11.25" customHeight="1" x14ac:dyDescent="0.2">
      <c r="A541" s="67">
        <v>44501</v>
      </c>
      <c r="B541" s="57">
        <v>0</v>
      </c>
      <c r="C541" s="57">
        <v>0</v>
      </c>
      <c r="D541" s="57">
        <v>110978.94486</v>
      </c>
      <c r="E541" s="57">
        <v>121601.39405016997</v>
      </c>
      <c r="F541" s="57">
        <v>30744.51296</v>
      </c>
      <c r="G541" s="57">
        <v>40748.069821240322</v>
      </c>
      <c r="H541" s="58">
        <v>9.57158964123348E-2</v>
      </c>
      <c r="I541" s="58">
        <v>0.3253769826913635</v>
      </c>
      <c r="J541" s="58">
        <v>0.14553699414818788</v>
      </c>
    </row>
    <row r="542" spans="1:10" ht="11.25" customHeight="1" x14ac:dyDescent="0.2">
      <c r="A542" s="67">
        <v>44531</v>
      </c>
      <c r="B542" s="57">
        <v>0</v>
      </c>
      <c r="C542" s="57">
        <v>0</v>
      </c>
      <c r="D542" s="57">
        <v>114983.86356000001</v>
      </c>
      <c r="E542" s="57">
        <v>125989.64713359901</v>
      </c>
      <c r="F542" s="57">
        <v>31853.996159999999</v>
      </c>
      <c r="G542" s="57">
        <v>42218.553317203085</v>
      </c>
      <c r="H542" s="58">
        <v>9.57158964123348E-2</v>
      </c>
      <c r="I542" s="58">
        <v>0.32537698269136373</v>
      </c>
      <c r="J542" s="58">
        <v>0.1455369941481881</v>
      </c>
    </row>
    <row r="543" spans="1:10" ht="11.25" customHeight="1" x14ac:dyDescent="0.2">
      <c r="A543" s="67">
        <v>44562</v>
      </c>
      <c r="B543" s="57">
        <v>0</v>
      </c>
      <c r="C543" s="57">
        <v>0</v>
      </c>
      <c r="D543" s="57">
        <v>116877.79176000001</v>
      </c>
      <c r="E543" s="57">
        <v>128064.8543690026</v>
      </c>
      <c r="F543" s="57">
        <v>32378.67136</v>
      </c>
      <c r="G543" s="57">
        <v>42913.945750672072</v>
      </c>
      <c r="H543" s="58">
        <v>9.57158964123348E-2</v>
      </c>
      <c r="I543" s="58">
        <v>0.32537698269136373</v>
      </c>
      <c r="J543" s="58">
        <v>0.14553699414818788</v>
      </c>
    </row>
    <row r="544" spans="1:10" ht="11.25" customHeight="1" x14ac:dyDescent="0.2">
      <c r="A544" s="67">
        <v>44593</v>
      </c>
      <c r="B544" s="57">
        <v>0</v>
      </c>
      <c r="C544" s="57">
        <v>0</v>
      </c>
      <c r="D544" s="57">
        <v>110696.04828</v>
      </c>
      <c r="E544" s="57">
        <v>121291.41977042329</v>
      </c>
      <c r="F544" s="57">
        <v>30666.142080000001</v>
      </c>
      <c r="G544" s="57">
        <v>40644.198860775061</v>
      </c>
      <c r="H544" s="58">
        <v>9.57158964123348E-2</v>
      </c>
      <c r="I544" s="58">
        <v>0.32537698269136373</v>
      </c>
      <c r="J544" s="58">
        <v>0.14553699414818788</v>
      </c>
    </row>
    <row r="545" spans="1:10" ht="11.25" customHeight="1" x14ac:dyDescent="0.2">
      <c r="A545" s="67">
        <v>44621</v>
      </c>
      <c r="B545" s="57">
        <v>0</v>
      </c>
      <c r="C545" s="57">
        <v>0</v>
      </c>
      <c r="D545" s="57">
        <v>129750.30174</v>
      </c>
      <c r="E545" s="57">
        <v>142169.46818081502</v>
      </c>
      <c r="F545" s="57">
        <v>35944.744639999997</v>
      </c>
      <c r="G545" s="57">
        <v>47640.337194574764</v>
      </c>
      <c r="H545" s="58">
        <v>9.57158964123348E-2</v>
      </c>
      <c r="I545" s="58">
        <v>0.32537698269136373</v>
      </c>
      <c r="J545" s="58">
        <v>0.1455369941481881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D6C8-4D59-4C6B-8D47-974A611DF4B3}">
  <dimension ref="A1:G288"/>
  <sheetViews>
    <sheetView showGridLines="0" workbookViewId="0"/>
  </sheetViews>
  <sheetFormatPr defaultColWidth="9.109375" defaultRowHeight="11.25" customHeight="1" x14ac:dyDescent="0.2"/>
  <cols>
    <col min="1" max="1" width="34.6640625" style="16" bestFit="1" customWidth="1"/>
    <col min="2" max="2" width="20.44140625" style="57" bestFit="1" customWidth="1"/>
    <col min="3" max="3" width="21.88671875" style="57" bestFit="1" customWidth="1"/>
    <col min="4" max="4" width="20.33203125" style="57" bestFit="1" customWidth="1"/>
    <col min="5" max="5" width="21.6640625" style="57" bestFit="1" customWidth="1"/>
    <col min="6" max="6" width="14.88671875" style="57" bestFit="1" customWidth="1"/>
    <col min="7" max="7" width="14.6640625" style="57" bestFit="1" customWidth="1"/>
    <col min="8" max="16384" width="9.109375" style="16"/>
  </cols>
  <sheetData>
    <row r="1" spans="1:7" ht="11.25" customHeight="1" x14ac:dyDescent="0.2">
      <c r="A1" s="56" t="s">
        <v>651</v>
      </c>
      <c r="B1" s="57" t="s">
        <v>677</v>
      </c>
      <c r="C1" s="57" t="s">
        <v>678</v>
      </c>
      <c r="D1" s="57" t="s">
        <v>679</v>
      </c>
      <c r="E1" s="57" t="s">
        <v>680</v>
      </c>
      <c r="F1" s="57" t="s">
        <v>681</v>
      </c>
      <c r="G1" s="57" t="s">
        <v>682</v>
      </c>
    </row>
    <row r="2" spans="1:7" ht="11.25" customHeight="1" x14ac:dyDescent="0.2">
      <c r="A2" s="59" t="s">
        <v>668</v>
      </c>
      <c r="B2" s="57">
        <v>7768.4040000000023</v>
      </c>
      <c r="C2" s="57">
        <v>21885.718568400011</v>
      </c>
      <c r="D2" s="57">
        <v>8316.8717863833135</v>
      </c>
      <c r="E2" s="57">
        <v>25428.508319880646</v>
      </c>
      <c r="F2" s="57">
        <v>29654.122568400013</v>
      </c>
      <c r="G2" s="57">
        <v>33745.380106263961</v>
      </c>
    </row>
    <row r="3" spans="1:7" ht="11.25" customHeight="1" x14ac:dyDescent="0.2">
      <c r="A3" s="60" t="s">
        <v>37</v>
      </c>
      <c r="B3" s="57">
        <v>7768.4040000000023</v>
      </c>
      <c r="C3" s="57">
        <v>9786.3733176000042</v>
      </c>
      <c r="D3" s="57">
        <v>8316.8717863833135</v>
      </c>
      <c r="E3" s="57">
        <v>11568.226603821195</v>
      </c>
      <c r="F3" s="57">
        <v>17554.777317600005</v>
      </c>
      <c r="G3" s="57">
        <v>19885.098390204508</v>
      </c>
    </row>
    <row r="4" spans="1:7" ht="11.25" customHeight="1" x14ac:dyDescent="0.2">
      <c r="A4" s="61" t="s">
        <v>38</v>
      </c>
      <c r="B4" s="57">
        <v>7768.4040000000023</v>
      </c>
      <c r="C4" s="57">
        <v>9786.3733176000042</v>
      </c>
      <c r="D4" s="57">
        <v>8316.8717863833135</v>
      </c>
      <c r="E4" s="57">
        <v>11568.226603821195</v>
      </c>
      <c r="F4" s="57">
        <v>17554.777317600005</v>
      </c>
      <c r="G4" s="57">
        <v>19885.098390204508</v>
      </c>
    </row>
    <row r="5" spans="1:7" ht="11.25" customHeight="1" x14ac:dyDescent="0.2">
      <c r="A5" s="62" t="s">
        <v>49</v>
      </c>
      <c r="B5" s="57">
        <v>7768.4040000000023</v>
      </c>
      <c r="C5" s="57">
        <v>9786.3733176000042</v>
      </c>
      <c r="D5" s="57">
        <v>8316.8717863833135</v>
      </c>
      <c r="E5" s="57">
        <v>11568.226603821195</v>
      </c>
      <c r="F5" s="57">
        <v>17554.777317600005</v>
      </c>
      <c r="G5" s="57">
        <v>19885.098390204508</v>
      </c>
    </row>
    <row r="6" spans="1:7" ht="11.25" customHeight="1" x14ac:dyDescent="0.2">
      <c r="A6" s="63" t="s">
        <v>50</v>
      </c>
      <c r="B6" s="57">
        <v>7768.4040000000023</v>
      </c>
      <c r="C6" s="57">
        <v>9786.3733176000042</v>
      </c>
      <c r="D6" s="57">
        <v>8316.8717863833135</v>
      </c>
      <c r="E6" s="57">
        <v>11568.226603821195</v>
      </c>
      <c r="F6" s="57">
        <v>17554.777317600005</v>
      </c>
      <c r="G6" s="57">
        <v>19885.098390204508</v>
      </c>
    </row>
    <row r="7" spans="1:7" ht="11.25" customHeight="1" x14ac:dyDescent="0.2">
      <c r="A7" s="64" t="s">
        <v>25</v>
      </c>
      <c r="B7" s="57">
        <v>7768.4040000000023</v>
      </c>
      <c r="C7" s="57">
        <v>9786.3733176000042</v>
      </c>
      <c r="D7" s="57">
        <v>8316.8717863833135</v>
      </c>
      <c r="E7" s="57">
        <v>11568.226603821195</v>
      </c>
      <c r="F7" s="57">
        <v>17554.777317600005</v>
      </c>
      <c r="G7" s="57">
        <v>19885.098390204508</v>
      </c>
    </row>
    <row r="8" spans="1:7" ht="11.25" customHeight="1" x14ac:dyDescent="0.2">
      <c r="A8" s="65" t="s">
        <v>25</v>
      </c>
      <c r="B8" s="57">
        <v>7768.4040000000023</v>
      </c>
      <c r="C8" s="57">
        <v>9786.3733176000042</v>
      </c>
      <c r="D8" s="57">
        <v>8316.8717863833135</v>
      </c>
      <c r="E8" s="57">
        <v>11568.226603821195</v>
      </c>
      <c r="F8" s="57">
        <v>17554.777317600005</v>
      </c>
      <c r="G8" s="57">
        <v>19885.098390204508</v>
      </c>
    </row>
    <row r="9" spans="1:7" ht="11.25" customHeight="1" x14ac:dyDescent="0.2">
      <c r="A9" s="66" t="s">
        <v>34</v>
      </c>
      <c r="B9" s="57">
        <v>0</v>
      </c>
      <c r="C9" s="57">
        <v>4064.597656800001</v>
      </c>
      <c r="D9" s="57">
        <v>0</v>
      </c>
      <c r="E9" s="57">
        <v>5303.0002795917117</v>
      </c>
      <c r="F9" s="57">
        <v>4064.597656800001</v>
      </c>
      <c r="G9" s="57">
        <v>5303.0002795917117</v>
      </c>
    </row>
    <row r="10" spans="1:7" ht="11.25" customHeight="1" x14ac:dyDescent="0.2">
      <c r="A10" s="67">
        <v>44287</v>
      </c>
      <c r="B10" s="57">
        <v>0</v>
      </c>
      <c r="C10" s="57">
        <v>283.19049420000033</v>
      </c>
      <c r="D10" s="57">
        <v>0</v>
      </c>
      <c r="E10" s="57">
        <v>369.47304425270721</v>
      </c>
      <c r="F10" s="57">
        <v>283.19049420000033</v>
      </c>
      <c r="G10" s="57">
        <v>369.47304425270721</v>
      </c>
    </row>
    <row r="11" spans="1:7" ht="11.25" customHeight="1" x14ac:dyDescent="0.2">
      <c r="A11" s="67">
        <v>44317</v>
      </c>
      <c r="B11" s="57">
        <v>0</v>
      </c>
      <c r="C11" s="57">
        <v>336.2599242</v>
      </c>
      <c r="D11" s="57">
        <v>0</v>
      </c>
      <c r="E11" s="57">
        <v>438.71168135543451</v>
      </c>
      <c r="F11" s="57">
        <v>336.2599242</v>
      </c>
      <c r="G11" s="57">
        <v>438.71168135543451</v>
      </c>
    </row>
    <row r="12" spans="1:7" ht="11.25" customHeight="1" x14ac:dyDescent="0.2">
      <c r="A12" s="67">
        <v>44348</v>
      </c>
      <c r="B12" s="57">
        <v>0</v>
      </c>
      <c r="C12" s="57">
        <v>341.98741740000077</v>
      </c>
      <c r="D12" s="57">
        <v>0</v>
      </c>
      <c r="E12" s="57">
        <v>446.18422860501289</v>
      </c>
      <c r="F12" s="57">
        <v>341.98741740000077</v>
      </c>
      <c r="G12" s="57">
        <v>446.18422860501289</v>
      </c>
    </row>
    <row r="13" spans="1:7" ht="11.25" customHeight="1" x14ac:dyDescent="0.2">
      <c r="A13" s="67">
        <v>44378</v>
      </c>
      <c r="B13" s="57">
        <v>0</v>
      </c>
      <c r="C13" s="57">
        <v>360.59175719999962</v>
      </c>
      <c r="D13" s="57">
        <v>0</v>
      </c>
      <c r="E13" s="57">
        <v>470.45694327234497</v>
      </c>
      <c r="F13" s="57">
        <v>360.59175719999962</v>
      </c>
      <c r="G13" s="57">
        <v>470.45694327234497</v>
      </c>
    </row>
    <row r="14" spans="1:7" ht="11.25" customHeight="1" x14ac:dyDescent="0.2">
      <c r="A14" s="67">
        <v>44409</v>
      </c>
      <c r="B14" s="57">
        <v>0</v>
      </c>
      <c r="C14" s="57">
        <v>352.94174879999991</v>
      </c>
      <c r="D14" s="57">
        <v>0</v>
      </c>
      <c r="E14" s="57">
        <v>460.47612841451814</v>
      </c>
      <c r="F14" s="57">
        <v>352.94174879999991</v>
      </c>
      <c r="G14" s="57">
        <v>460.47612841451814</v>
      </c>
    </row>
    <row r="15" spans="1:7" ht="11.25" customHeight="1" x14ac:dyDescent="0.2">
      <c r="A15" s="67">
        <v>44440</v>
      </c>
      <c r="B15" s="57">
        <v>0</v>
      </c>
      <c r="C15" s="57">
        <v>338.8232778000002</v>
      </c>
      <c r="D15" s="57">
        <v>0</v>
      </c>
      <c r="E15" s="57">
        <v>442.0560381664344</v>
      </c>
      <c r="F15" s="57">
        <v>338.8232778000002</v>
      </c>
      <c r="G15" s="57">
        <v>442.0560381664344</v>
      </c>
    </row>
    <row r="16" spans="1:7" ht="11.25" customHeight="1" x14ac:dyDescent="0.2">
      <c r="A16" s="67">
        <v>44470</v>
      </c>
      <c r="B16" s="57">
        <v>0</v>
      </c>
      <c r="C16" s="57">
        <v>348.5560109999999</v>
      </c>
      <c r="D16" s="57">
        <v>0</v>
      </c>
      <c r="E16" s="57">
        <v>454.75414293319847</v>
      </c>
      <c r="F16" s="57">
        <v>348.5560109999999</v>
      </c>
      <c r="G16" s="57">
        <v>454.75414293319847</v>
      </c>
    </row>
    <row r="17" spans="1:7" ht="11.25" customHeight="1" x14ac:dyDescent="0.2">
      <c r="A17" s="67">
        <v>44501</v>
      </c>
      <c r="B17" s="57">
        <v>0</v>
      </c>
      <c r="C17" s="57">
        <v>345.81242160000062</v>
      </c>
      <c r="D17" s="57">
        <v>0</v>
      </c>
      <c r="E17" s="57">
        <v>451.17463603392628</v>
      </c>
      <c r="F17" s="57">
        <v>345.81242160000062</v>
      </c>
      <c r="G17" s="57">
        <v>451.17463603392628</v>
      </c>
    </row>
    <row r="18" spans="1:7" ht="11.25" customHeight="1" x14ac:dyDescent="0.2">
      <c r="A18" s="67">
        <v>44531</v>
      </c>
      <c r="B18" s="57">
        <v>0</v>
      </c>
      <c r="C18" s="57">
        <v>336.11974079999936</v>
      </c>
      <c r="D18" s="57">
        <v>0</v>
      </c>
      <c r="E18" s="57">
        <v>438.52878684233212</v>
      </c>
      <c r="F18" s="57">
        <v>336.11974079999936</v>
      </c>
      <c r="G18" s="57">
        <v>438.52878684233212</v>
      </c>
    </row>
    <row r="19" spans="1:7" ht="11.25" customHeight="1" x14ac:dyDescent="0.2">
      <c r="A19" s="67">
        <v>44562</v>
      </c>
      <c r="B19" s="57">
        <v>0</v>
      </c>
      <c r="C19" s="57">
        <v>342.14762700000063</v>
      </c>
      <c r="D19" s="57">
        <v>0</v>
      </c>
      <c r="E19" s="57">
        <v>446.39325090570014</v>
      </c>
      <c r="F19" s="57">
        <v>342.14762700000063</v>
      </c>
      <c r="G19" s="57">
        <v>446.39325090570014</v>
      </c>
    </row>
    <row r="20" spans="1:7" ht="11.25" customHeight="1" x14ac:dyDescent="0.2">
      <c r="A20" s="67">
        <v>44593</v>
      </c>
      <c r="B20" s="57">
        <v>0</v>
      </c>
      <c r="C20" s="57">
        <v>322.78229159999972</v>
      </c>
      <c r="D20" s="57">
        <v>0</v>
      </c>
      <c r="E20" s="57">
        <v>421.12768031009989</v>
      </c>
      <c r="F20" s="57">
        <v>322.78229159999972</v>
      </c>
      <c r="G20" s="57">
        <v>421.12768031009989</v>
      </c>
    </row>
    <row r="21" spans="1:7" ht="11.25" customHeight="1" x14ac:dyDescent="0.2">
      <c r="A21" s="67">
        <v>44621</v>
      </c>
      <c r="B21" s="57">
        <v>0</v>
      </c>
      <c r="C21" s="57">
        <v>355.38494519999989</v>
      </c>
      <c r="D21" s="57">
        <v>0</v>
      </c>
      <c r="E21" s="57">
        <v>463.66371850000229</v>
      </c>
      <c r="F21" s="57">
        <v>355.38494519999989</v>
      </c>
      <c r="G21" s="57">
        <v>463.66371850000229</v>
      </c>
    </row>
    <row r="22" spans="1:7" ht="11.25" customHeight="1" x14ac:dyDescent="0.2">
      <c r="A22" s="66" t="s">
        <v>25</v>
      </c>
      <c r="B22" s="57">
        <v>7768.4040000000023</v>
      </c>
      <c r="C22" s="57">
        <v>0</v>
      </c>
      <c r="D22" s="57">
        <v>8316.8717863833135</v>
      </c>
      <c r="E22" s="57">
        <v>0</v>
      </c>
      <c r="F22" s="57">
        <v>7768.4040000000023</v>
      </c>
      <c r="G22" s="57">
        <v>8316.8717863833135</v>
      </c>
    </row>
    <row r="23" spans="1:7" ht="11.25" customHeight="1" x14ac:dyDescent="0.2">
      <c r="A23" s="67">
        <v>44287</v>
      </c>
      <c r="B23" s="57">
        <v>647.36700000000019</v>
      </c>
      <c r="C23" s="57">
        <v>0</v>
      </c>
      <c r="D23" s="57">
        <v>693.07264886527605</v>
      </c>
      <c r="E23" s="57">
        <v>0</v>
      </c>
      <c r="F23" s="57">
        <v>647.36700000000019</v>
      </c>
      <c r="G23" s="57">
        <v>693.07264886527605</v>
      </c>
    </row>
    <row r="24" spans="1:7" ht="11.25" customHeight="1" x14ac:dyDescent="0.2">
      <c r="A24" s="67">
        <v>44317</v>
      </c>
      <c r="B24" s="57">
        <v>647.36700000000019</v>
      </c>
      <c r="C24" s="57">
        <v>0</v>
      </c>
      <c r="D24" s="57">
        <v>693.07264886527605</v>
      </c>
      <c r="E24" s="57">
        <v>0</v>
      </c>
      <c r="F24" s="57">
        <v>647.36700000000019</v>
      </c>
      <c r="G24" s="57">
        <v>693.07264886527605</v>
      </c>
    </row>
    <row r="25" spans="1:7" ht="11.25" customHeight="1" x14ac:dyDescent="0.2">
      <c r="A25" s="67">
        <v>44348</v>
      </c>
      <c r="B25" s="57">
        <v>647.36700000000019</v>
      </c>
      <c r="C25" s="57">
        <v>0</v>
      </c>
      <c r="D25" s="57">
        <v>693.07264886527605</v>
      </c>
      <c r="E25" s="57">
        <v>0</v>
      </c>
      <c r="F25" s="57">
        <v>647.36700000000019</v>
      </c>
      <c r="G25" s="57">
        <v>693.07264886527605</v>
      </c>
    </row>
    <row r="26" spans="1:7" ht="11.25" customHeight="1" x14ac:dyDescent="0.2">
      <c r="A26" s="67">
        <v>44378</v>
      </c>
      <c r="B26" s="57">
        <v>647.36700000000019</v>
      </c>
      <c r="C26" s="57">
        <v>0</v>
      </c>
      <c r="D26" s="57">
        <v>693.07264886527605</v>
      </c>
      <c r="E26" s="57">
        <v>0</v>
      </c>
      <c r="F26" s="57">
        <v>647.36700000000019</v>
      </c>
      <c r="G26" s="57">
        <v>693.07264886527605</v>
      </c>
    </row>
    <row r="27" spans="1:7" ht="11.25" customHeight="1" x14ac:dyDescent="0.2">
      <c r="A27" s="67">
        <v>44409</v>
      </c>
      <c r="B27" s="57">
        <v>647.36700000000019</v>
      </c>
      <c r="C27" s="57">
        <v>0</v>
      </c>
      <c r="D27" s="57">
        <v>693.07264886527605</v>
      </c>
      <c r="E27" s="57">
        <v>0</v>
      </c>
      <c r="F27" s="57">
        <v>647.36700000000019</v>
      </c>
      <c r="G27" s="57">
        <v>693.07264886527605</v>
      </c>
    </row>
    <row r="28" spans="1:7" ht="11.25" customHeight="1" x14ac:dyDescent="0.2">
      <c r="A28" s="67">
        <v>44440</v>
      </c>
      <c r="B28" s="57">
        <v>647.36700000000019</v>
      </c>
      <c r="C28" s="57">
        <v>0</v>
      </c>
      <c r="D28" s="57">
        <v>693.07264886527605</v>
      </c>
      <c r="E28" s="57">
        <v>0</v>
      </c>
      <c r="F28" s="57">
        <v>647.36700000000019</v>
      </c>
      <c r="G28" s="57">
        <v>693.07264886527605</v>
      </c>
    </row>
    <row r="29" spans="1:7" ht="11.25" customHeight="1" x14ac:dyDescent="0.2">
      <c r="A29" s="67">
        <v>44470</v>
      </c>
      <c r="B29" s="57">
        <v>647.36700000000019</v>
      </c>
      <c r="C29" s="57">
        <v>0</v>
      </c>
      <c r="D29" s="57">
        <v>693.07264886527605</v>
      </c>
      <c r="E29" s="57">
        <v>0</v>
      </c>
      <c r="F29" s="57">
        <v>647.36700000000019</v>
      </c>
      <c r="G29" s="57">
        <v>693.07264886527605</v>
      </c>
    </row>
    <row r="30" spans="1:7" ht="11.25" customHeight="1" x14ac:dyDescent="0.2">
      <c r="A30" s="67">
        <v>44501</v>
      </c>
      <c r="B30" s="57">
        <v>647.36700000000019</v>
      </c>
      <c r="C30" s="57">
        <v>0</v>
      </c>
      <c r="D30" s="57">
        <v>693.07264886527605</v>
      </c>
      <c r="E30" s="57">
        <v>0</v>
      </c>
      <c r="F30" s="57">
        <v>647.36700000000019</v>
      </c>
      <c r="G30" s="57">
        <v>693.07264886527605</v>
      </c>
    </row>
    <row r="31" spans="1:7" ht="11.25" customHeight="1" x14ac:dyDescent="0.2">
      <c r="A31" s="67">
        <v>44531</v>
      </c>
      <c r="B31" s="57">
        <v>647.36700000000019</v>
      </c>
      <c r="C31" s="57">
        <v>0</v>
      </c>
      <c r="D31" s="57">
        <v>693.07264886527605</v>
      </c>
      <c r="E31" s="57">
        <v>0</v>
      </c>
      <c r="F31" s="57">
        <v>647.36700000000019</v>
      </c>
      <c r="G31" s="57">
        <v>693.07264886527605</v>
      </c>
    </row>
    <row r="32" spans="1:7" ht="11.25" customHeight="1" x14ac:dyDescent="0.2">
      <c r="A32" s="67">
        <v>44562</v>
      </c>
      <c r="B32" s="57">
        <v>647.36700000000019</v>
      </c>
      <c r="C32" s="57">
        <v>0</v>
      </c>
      <c r="D32" s="57">
        <v>693.07264886527605</v>
      </c>
      <c r="E32" s="57">
        <v>0</v>
      </c>
      <c r="F32" s="57">
        <v>647.36700000000019</v>
      </c>
      <c r="G32" s="57">
        <v>693.07264886527605</v>
      </c>
    </row>
    <row r="33" spans="1:7" ht="11.25" customHeight="1" x14ac:dyDescent="0.2">
      <c r="A33" s="67">
        <v>44593</v>
      </c>
      <c r="B33" s="57">
        <v>647.36700000000019</v>
      </c>
      <c r="C33" s="57">
        <v>0</v>
      </c>
      <c r="D33" s="57">
        <v>693.07264886527605</v>
      </c>
      <c r="E33" s="57">
        <v>0</v>
      </c>
      <c r="F33" s="57">
        <v>647.36700000000019</v>
      </c>
      <c r="G33" s="57">
        <v>693.07264886527605</v>
      </c>
    </row>
    <row r="34" spans="1:7" ht="11.25" customHeight="1" x14ac:dyDescent="0.2">
      <c r="A34" s="67">
        <v>44621</v>
      </c>
      <c r="B34" s="57">
        <v>647.36700000000019</v>
      </c>
      <c r="C34" s="57">
        <v>0</v>
      </c>
      <c r="D34" s="57">
        <v>693.07264886527605</v>
      </c>
      <c r="E34" s="57">
        <v>0</v>
      </c>
      <c r="F34" s="57">
        <v>647.36700000000019</v>
      </c>
      <c r="G34" s="57">
        <v>693.07264886527605</v>
      </c>
    </row>
    <row r="35" spans="1:7" ht="11.25" customHeight="1" x14ac:dyDescent="0.2">
      <c r="A35" s="66" t="s">
        <v>39</v>
      </c>
      <c r="B35" s="57">
        <v>0</v>
      </c>
      <c r="C35" s="57">
        <v>5721.7756608000027</v>
      </c>
      <c r="D35" s="57">
        <v>0</v>
      </c>
      <c r="E35" s="57">
        <v>6265.226324229483</v>
      </c>
      <c r="F35" s="57">
        <v>5721.7756608000027</v>
      </c>
      <c r="G35" s="57">
        <v>6265.226324229483</v>
      </c>
    </row>
    <row r="36" spans="1:7" ht="11.25" customHeight="1" x14ac:dyDescent="0.2">
      <c r="A36" s="67">
        <v>44287</v>
      </c>
      <c r="B36" s="57">
        <v>0</v>
      </c>
      <c r="C36" s="57">
        <v>434.69730000000038</v>
      </c>
      <c r="D36" s="57">
        <v>0</v>
      </c>
      <c r="E36" s="57">
        <v>475.98457690155135</v>
      </c>
      <c r="F36" s="57">
        <v>434.69730000000038</v>
      </c>
      <c r="G36" s="57">
        <v>475.98457690155135</v>
      </c>
    </row>
    <row r="37" spans="1:7" ht="11.25" customHeight="1" x14ac:dyDescent="0.2">
      <c r="A37" s="67">
        <v>44317</v>
      </c>
      <c r="B37" s="57">
        <v>0</v>
      </c>
      <c r="C37" s="57">
        <v>480.19561740000034</v>
      </c>
      <c r="D37" s="57">
        <v>0</v>
      </c>
      <c r="E37" s="57">
        <v>525.80429595058024</v>
      </c>
      <c r="F37" s="57">
        <v>480.19561740000034</v>
      </c>
      <c r="G37" s="57">
        <v>525.80429595058024</v>
      </c>
    </row>
    <row r="38" spans="1:7" ht="11.25" customHeight="1" x14ac:dyDescent="0.2">
      <c r="A38" s="67">
        <v>44348</v>
      </c>
      <c r="B38" s="57">
        <v>0</v>
      </c>
      <c r="C38" s="57">
        <v>504.82846439999975</v>
      </c>
      <c r="D38" s="57">
        <v>0</v>
      </c>
      <c r="E38" s="57">
        <v>552.77675530833426</v>
      </c>
      <c r="F38" s="57">
        <v>504.82846439999975</v>
      </c>
      <c r="G38" s="57">
        <v>552.77675530833426</v>
      </c>
    </row>
    <row r="39" spans="1:7" ht="11.25" customHeight="1" x14ac:dyDescent="0.2">
      <c r="A39" s="67">
        <v>44378</v>
      </c>
      <c r="B39" s="57">
        <v>0</v>
      </c>
      <c r="C39" s="57">
        <v>523.95514560000072</v>
      </c>
      <c r="D39" s="57">
        <v>0</v>
      </c>
      <c r="E39" s="57">
        <v>573.72007669200343</v>
      </c>
      <c r="F39" s="57">
        <v>523.95514560000072</v>
      </c>
      <c r="G39" s="57">
        <v>573.72007669200343</v>
      </c>
    </row>
    <row r="40" spans="1:7" ht="11.25" customHeight="1" x14ac:dyDescent="0.2">
      <c r="A40" s="67">
        <v>44409</v>
      </c>
      <c r="B40" s="57">
        <v>0</v>
      </c>
      <c r="C40" s="57">
        <v>476.13844260000053</v>
      </c>
      <c r="D40" s="57">
        <v>0</v>
      </c>
      <c r="E40" s="57">
        <v>521.36177323283277</v>
      </c>
      <c r="F40" s="57">
        <v>476.13844260000053</v>
      </c>
      <c r="G40" s="57">
        <v>521.36177323283277</v>
      </c>
    </row>
    <row r="41" spans="1:7" ht="11.25" customHeight="1" x14ac:dyDescent="0.2">
      <c r="A41" s="67">
        <v>44440</v>
      </c>
      <c r="B41" s="57">
        <v>0</v>
      </c>
      <c r="C41" s="57">
        <v>482.22420479999971</v>
      </c>
      <c r="D41" s="57">
        <v>0</v>
      </c>
      <c r="E41" s="57">
        <v>528.02555730945346</v>
      </c>
      <c r="F41" s="57">
        <v>482.22420479999971</v>
      </c>
      <c r="G41" s="57">
        <v>528.02555730945346</v>
      </c>
    </row>
    <row r="42" spans="1:7" ht="11.25" customHeight="1" x14ac:dyDescent="0.2">
      <c r="A42" s="67">
        <v>44470</v>
      </c>
      <c r="B42" s="57">
        <v>0</v>
      </c>
      <c r="C42" s="57">
        <v>461.35873440000023</v>
      </c>
      <c r="D42" s="57">
        <v>0</v>
      </c>
      <c r="E42" s="57">
        <v>505.17829761817967</v>
      </c>
      <c r="F42" s="57">
        <v>461.35873440000023</v>
      </c>
      <c r="G42" s="57">
        <v>505.17829761817967</v>
      </c>
    </row>
    <row r="43" spans="1:7" ht="11.25" customHeight="1" x14ac:dyDescent="0.2">
      <c r="A43" s="67">
        <v>44501</v>
      </c>
      <c r="B43" s="57">
        <v>0</v>
      </c>
      <c r="C43" s="57">
        <v>425.71355580000056</v>
      </c>
      <c r="D43" s="57">
        <v>0</v>
      </c>
      <c r="E43" s="57">
        <v>466.14756231225277</v>
      </c>
      <c r="F43" s="57">
        <v>425.71355580000056</v>
      </c>
      <c r="G43" s="57">
        <v>466.14756231225277</v>
      </c>
    </row>
    <row r="44" spans="1:7" ht="11.25" customHeight="1" x14ac:dyDescent="0.2">
      <c r="A44" s="67">
        <v>44531</v>
      </c>
      <c r="B44" s="57">
        <v>0</v>
      </c>
      <c r="C44" s="57">
        <v>478.45682819999968</v>
      </c>
      <c r="D44" s="57">
        <v>0</v>
      </c>
      <c r="E44" s="57">
        <v>523.90035764297329</v>
      </c>
      <c r="F44" s="57">
        <v>478.45682819999968</v>
      </c>
      <c r="G44" s="57">
        <v>523.90035764297329</v>
      </c>
    </row>
    <row r="45" spans="1:7" ht="11.25" customHeight="1" x14ac:dyDescent="0.2">
      <c r="A45" s="67">
        <v>44562</v>
      </c>
      <c r="B45" s="57">
        <v>0</v>
      </c>
      <c r="C45" s="57">
        <v>457.88115600000003</v>
      </c>
      <c r="D45" s="57">
        <v>0</v>
      </c>
      <c r="E45" s="57">
        <v>501.37042100296696</v>
      </c>
      <c r="F45" s="57">
        <v>457.88115600000003</v>
      </c>
      <c r="G45" s="57">
        <v>501.37042100296696</v>
      </c>
    </row>
    <row r="46" spans="1:7" ht="11.25" customHeight="1" x14ac:dyDescent="0.2">
      <c r="A46" s="67">
        <v>44593</v>
      </c>
      <c r="B46" s="57">
        <v>0</v>
      </c>
      <c r="C46" s="57">
        <v>467.73429480000021</v>
      </c>
      <c r="D46" s="57">
        <v>0</v>
      </c>
      <c r="E46" s="57">
        <v>512.15940474606896</v>
      </c>
      <c r="F46" s="57">
        <v>467.73429480000021</v>
      </c>
      <c r="G46" s="57">
        <v>512.15940474606896</v>
      </c>
    </row>
    <row r="47" spans="1:7" ht="11.25" customHeight="1" x14ac:dyDescent="0.2">
      <c r="A47" s="67">
        <v>44621</v>
      </c>
      <c r="B47" s="57">
        <v>0</v>
      </c>
      <c r="C47" s="57">
        <v>528.59191679999992</v>
      </c>
      <c r="D47" s="57">
        <v>0</v>
      </c>
      <c r="E47" s="57">
        <v>578.79724551228583</v>
      </c>
      <c r="F47" s="57">
        <v>528.59191679999992</v>
      </c>
      <c r="G47" s="57">
        <v>578.79724551228583</v>
      </c>
    </row>
    <row r="48" spans="1:7" ht="11.25" customHeight="1" x14ac:dyDescent="0.2">
      <c r="A48" s="60" t="s">
        <v>35</v>
      </c>
      <c r="B48" s="57">
        <v>0</v>
      </c>
      <c r="C48" s="57">
        <v>12099.345250800005</v>
      </c>
      <c r="D48" s="57">
        <v>0</v>
      </c>
      <c r="E48" s="57">
        <v>13860.28171605945</v>
      </c>
      <c r="F48" s="57">
        <v>12099.345250800005</v>
      </c>
      <c r="G48" s="57">
        <v>13860.28171605945</v>
      </c>
    </row>
    <row r="49" spans="1:7" ht="11.25" customHeight="1" x14ac:dyDescent="0.2">
      <c r="A49" s="61" t="s">
        <v>23</v>
      </c>
      <c r="B49" s="57">
        <v>0</v>
      </c>
      <c r="C49" s="57">
        <v>12099.345250800005</v>
      </c>
      <c r="D49" s="57">
        <v>0</v>
      </c>
      <c r="E49" s="57">
        <v>13860.28171605945</v>
      </c>
      <c r="F49" s="57">
        <v>12099.345250800005</v>
      </c>
      <c r="G49" s="57">
        <v>13860.28171605945</v>
      </c>
    </row>
    <row r="50" spans="1:7" ht="11.25" customHeight="1" x14ac:dyDescent="0.2">
      <c r="A50" s="62" t="s">
        <v>49</v>
      </c>
      <c r="B50" s="57">
        <v>0</v>
      </c>
      <c r="C50" s="57">
        <v>12099.345250800005</v>
      </c>
      <c r="D50" s="57">
        <v>0</v>
      </c>
      <c r="E50" s="57">
        <v>13860.28171605945</v>
      </c>
      <c r="F50" s="57">
        <v>12099.345250800005</v>
      </c>
      <c r="G50" s="57">
        <v>13860.28171605945</v>
      </c>
    </row>
    <row r="51" spans="1:7" ht="11.25" customHeight="1" x14ac:dyDescent="0.2">
      <c r="A51" s="63" t="s">
        <v>50</v>
      </c>
      <c r="B51" s="57">
        <v>0</v>
      </c>
      <c r="C51" s="57">
        <v>12099.345250800005</v>
      </c>
      <c r="D51" s="57">
        <v>0</v>
      </c>
      <c r="E51" s="57">
        <v>13860.28171605945</v>
      </c>
      <c r="F51" s="57">
        <v>12099.345250800005</v>
      </c>
      <c r="G51" s="57">
        <v>13860.28171605945</v>
      </c>
    </row>
    <row r="52" spans="1:7" ht="11.25" customHeight="1" x14ac:dyDescent="0.2">
      <c r="A52" s="64" t="s">
        <v>25</v>
      </c>
      <c r="B52" s="57">
        <v>0</v>
      </c>
      <c r="C52" s="57">
        <v>12099.345250800005</v>
      </c>
      <c r="D52" s="57">
        <v>0</v>
      </c>
      <c r="E52" s="57">
        <v>13860.28171605945</v>
      </c>
      <c r="F52" s="57">
        <v>12099.345250800005</v>
      </c>
      <c r="G52" s="57">
        <v>13860.28171605945</v>
      </c>
    </row>
    <row r="53" spans="1:7" ht="11.25" customHeight="1" x14ac:dyDescent="0.2">
      <c r="A53" s="65" t="s">
        <v>25</v>
      </c>
      <c r="B53" s="57">
        <v>0</v>
      </c>
      <c r="C53" s="57">
        <v>12099.345250800005</v>
      </c>
      <c r="D53" s="57">
        <v>0</v>
      </c>
      <c r="E53" s="57">
        <v>13860.28171605945</v>
      </c>
      <c r="F53" s="57">
        <v>12099.345250800005</v>
      </c>
      <c r="G53" s="57">
        <v>13860.28171605945</v>
      </c>
    </row>
    <row r="54" spans="1:7" ht="11.25" customHeight="1" x14ac:dyDescent="0.2">
      <c r="A54" s="66" t="s">
        <v>25</v>
      </c>
      <c r="B54" s="57">
        <v>0</v>
      </c>
      <c r="C54" s="57">
        <v>12099.345250800005</v>
      </c>
      <c r="D54" s="57">
        <v>0</v>
      </c>
      <c r="E54" s="57">
        <v>13860.28171605945</v>
      </c>
      <c r="F54" s="57">
        <v>12099.345250800005</v>
      </c>
      <c r="G54" s="57">
        <v>13860.28171605945</v>
      </c>
    </row>
    <row r="55" spans="1:7" ht="11.25" customHeight="1" x14ac:dyDescent="0.2">
      <c r="A55" s="67">
        <v>44287</v>
      </c>
      <c r="B55" s="57">
        <v>0</v>
      </c>
      <c r="C55" s="57">
        <v>933.76580999999999</v>
      </c>
      <c r="D55" s="57">
        <v>0</v>
      </c>
      <c r="E55" s="57">
        <v>1069.6659129194372</v>
      </c>
      <c r="F55" s="57">
        <v>933.76580999999999</v>
      </c>
      <c r="G55" s="57">
        <v>1069.6659129194372</v>
      </c>
    </row>
    <row r="56" spans="1:7" ht="11.25" customHeight="1" x14ac:dyDescent="0.2">
      <c r="A56" s="67">
        <v>44317</v>
      </c>
      <c r="B56" s="57">
        <v>0</v>
      </c>
      <c r="C56" s="57">
        <v>1470.0331637999998</v>
      </c>
      <c r="D56" s="57">
        <v>0</v>
      </c>
      <c r="E56" s="57">
        <v>1683.9815179975112</v>
      </c>
      <c r="F56" s="57">
        <v>1470.0331637999998</v>
      </c>
      <c r="G56" s="57">
        <v>1683.9815179975112</v>
      </c>
    </row>
    <row r="57" spans="1:7" ht="11.25" customHeight="1" x14ac:dyDescent="0.2">
      <c r="A57" s="67">
        <v>44348</v>
      </c>
      <c r="B57" s="57">
        <v>0</v>
      </c>
      <c r="C57" s="57">
        <v>1446.1739520000021</v>
      </c>
      <c r="D57" s="57">
        <v>0</v>
      </c>
      <c r="E57" s="57">
        <v>1656.6498409343051</v>
      </c>
      <c r="F57" s="57">
        <v>1446.1739520000021</v>
      </c>
      <c r="G57" s="57">
        <v>1656.6498409343051</v>
      </c>
    </row>
    <row r="58" spans="1:7" ht="11.25" customHeight="1" x14ac:dyDescent="0.2">
      <c r="A58" s="67">
        <v>44378</v>
      </c>
      <c r="B58" s="57">
        <v>0</v>
      </c>
      <c r="C58" s="57">
        <v>623.26375560000031</v>
      </c>
      <c r="D58" s="57">
        <v>0</v>
      </c>
      <c r="E58" s="57">
        <v>713.97344707177854</v>
      </c>
      <c r="F58" s="57">
        <v>623.26375560000031</v>
      </c>
      <c r="G58" s="57">
        <v>713.97344707177854</v>
      </c>
    </row>
    <row r="59" spans="1:7" ht="11.25" customHeight="1" x14ac:dyDescent="0.2">
      <c r="A59" s="67">
        <v>44409</v>
      </c>
      <c r="B59" s="57">
        <v>0</v>
      </c>
      <c r="C59" s="57">
        <v>943.60191959999941</v>
      </c>
      <c r="D59" s="57">
        <v>0</v>
      </c>
      <c r="E59" s="57">
        <v>1080.9335680875561</v>
      </c>
      <c r="F59" s="57">
        <v>943.60191959999941</v>
      </c>
      <c r="G59" s="57">
        <v>1080.9335680875561</v>
      </c>
    </row>
    <row r="60" spans="1:7" ht="11.25" customHeight="1" x14ac:dyDescent="0.2">
      <c r="A60" s="67">
        <v>44440</v>
      </c>
      <c r="B60" s="57">
        <v>0</v>
      </c>
      <c r="C60" s="57">
        <v>869.23295580000126</v>
      </c>
      <c r="D60" s="57">
        <v>0</v>
      </c>
      <c r="E60" s="57">
        <v>995.74095907995286</v>
      </c>
      <c r="F60" s="57">
        <v>869.23295580000126</v>
      </c>
      <c r="G60" s="57">
        <v>995.74095907995286</v>
      </c>
    </row>
    <row r="61" spans="1:7" ht="11.25" customHeight="1" x14ac:dyDescent="0.2">
      <c r="A61" s="67">
        <v>44470</v>
      </c>
      <c r="B61" s="57">
        <v>0</v>
      </c>
      <c r="C61" s="57">
        <v>813.93806939999911</v>
      </c>
      <c r="D61" s="57">
        <v>0</v>
      </c>
      <c r="E61" s="57">
        <v>932.39846516187413</v>
      </c>
      <c r="F61" s="57">
        <v>813.93806939999911</v>
      </c>
      <c r="G61" s="57">
        <v>932.39846516187413</v>
      </c>
    </row>
    <row r="62" spans="1:7" ht="11.25" customHeight="1" x14ac:dyDescent="0.2">
      <c r="A62" s="67">
        <v>44501</v>
      </c>
      <c r="B62" s="57">
        <v>0</v>
      </c>
      <c r="C62" s="57">
        <v>816.86231820000057</v>
      </c>
      <c r="D62" s="57">
        <v>0</v>
      </c>
      <c r="E62" s="57">
        <v>935.74830859023564</v>
      </c>
      <c r="F62" s="57">
        <v>816.86231820000057</v>
      </c>
      <c r="G62" s="57">
        <v>935.74830859023564</v>
      </c>
    </row>
    <row r="63" spans="1:7" ht="11.25" customHeight="1" x14ac:dyDescent="0.2">
      <c r="A63" s="67">
        <v>44531</v>
      </c>
      <c r="B63" s="57">
        <v>0</v>
      </c>
      <c r="C63" s="57">
        <v>961.47971340000151</v>
      </c>
      <c r="D63" s="57">
        <v>0</v>
      </c>
      <c r="E63" s="57">
        <v>1101.4132926836671</v>
      </c>
      <c r="F63" s="57">
        <v>961.47971340000151</v>
      </c>
      <c r="G63" s="57">
        <v>1101.4132926836671</v>
      </c>
    </row>
    <row r="64" spans="1:7" ht="11.25" customHeight="1" x14ac:dyDescent="0.2">
      <c r="A64" s="67">
        <v>44562</v>
      </c>
      <c r="B64" s="57">
        <v>0</v>
      </c>
      <c r="C64" s="57">
        <v>991.91848500000015</v>
      </c>
      <c r="D64" s="57">
        <v>0</v>
      </c>
      <c r="E64" s="57">
        <v>1136.2821174606834</v>
      </c>
      <c r="F64" s="57">
        <v>991.91848500000015</v>
      </c>
      <c r="G64" s="57">
        <v>1136.2821174606834</v>
      </c>
    </row>
    <row r="65" spans="1:7" ht="11.25" customHeight="1" x14ac:dyDescent="0.2">
      <c r="A65" s="67">
        <v>44593</v>
      </c>
      <c r="B65" s="57">
        <v>0</v>
      </c>
      <c r="C65" s="57">
        <v>1199.1413886</v>
      </c>
      <c r="D65" s="57">
        <v>0</v>
      </c>
      <c r="E65" s="57">
        <v>1373.6642040430895</v>
      </c>
      <c r="F65" s="57">
        <v>1199.1413886</v>
      </c>
      <c r="G65" s="57">
        <v>1373.6642040430895</v>
      </c>
    </row>
    <row r="66" spans="1:7" ht="11.25" customHeight="1" x14ac:dyDescent="0.2">
      <c r="A66" s="67">
        <v>44621</v>
      </c>
      <c r="B66" s="57">
        <v>0</v>
      </c>
      <c r="C66" s="57">
        <v>1029.9337193999993</v>
      </c>
      <c r="D66" s="57">
        <v>0</v>
      </c>
      <c r="E66" s="57">
        <v>1179.83008202936</v>
      </c>
      <c r="F66" s="57">
        <v>1029.9337193999993</v>
      </c>
      <c r="G66" s="57">
        <v>1179.83008202936</v>
      </c>
    </row>
    <row r="67" spans="1:7" ht="11.25" customHeight="1" x14ac:dyDescent="0.2">
      <c r="A67" s="59" t="s">
        <v>669</v>
      </c>
      <c r="B67" s="57">
        <v>0</v>
      </c>
      <c r="C67" s="57">
        <v>62735.253079999995</v>
      </c>
      <c r="D67" s="57">
        <v>0</v>
      </c>
      <c r="E67" s="57">
        <v>70422.496024944718</v>
      </c>
      <c r="F67" s="57">
        <v>62735.253079999995</v>
      </c>
      <c r="G67" s="57">
        <v>70422.496024944718</v>
      </c>
    </row>
    <row r="68" spans="1:7" ht="11.25" customHeight="1" x14ac:dyDescent="0.2">
      <c r="A68" s="60" t="s">
        <v>22</v>
      </c>
      <c r="B68" s="57">
        <v>0</v>
      </c>
      <c r="C68" s="57">
        <v>62735.253079999995</v>
      </c>
      <c r="D68" s="57">
        <v>0</v>
      </c>
      <c r="E68" s="57">
        <v>70422.496024944718</v>
      </c>
      <c r="F68" s="57">
        <v>62735.253079999995</v>
      </c>
      <c r="G68" s="57">
        <v>70422.496024944718</v>
      </c>
    </row>
    <row r="69" spans="1:7" ht="11.25" customHeight="1" x14ac:dyDescent="0.2">
      <c r="A69" s="61" t="s">
        <v>23</v>
      </c>
      <c r="B69" s="57">
        <v>0</v>
      </c>
      <c r="C69" s="57">
        <v>62735.253079999995</v>
      </c>
      <c r="D69" s="57">
        <v>0</v>
      </c>
      <c r="E69" s="57">
        <v>70422.496024944718</v>
      </c>
      <c r="F69" s="57">
        <v>62735.253079999995</v>
      </c>
      <c r="G69" s="57">
        <v>70422.496024944718</v>
      </c>
    </row>
    <row r="70" spans="1:7" ht="11.25" customHeight="1" x14ac:dyDescent="0.2">
      <c r="A70" s="62" t="s">
        <v>24</v>
      </c>
      <c r="B70" s="57">
        <v>0</v>
      </c>
      <c r="C70" s="57">
        <v>62735.253079999995</v>
      </c>
      <c r="D70" s="57">
        <v>0</v>
      </c>
      <c r="E70" s="57">
        <v>70422.496024944718</v>
      </c>
      <c r="F70" s="57">
        <v>62735.253079999995</v>
      </c>
      <c r="G70" s="57">
        <v>70422.496024944718</v>
      </c>
    </row>
    <row r="71" spans="1:7" ht="11.25" customHeight="1" x14ac:dyDescent="0.2">
      <c r="A71" s="63" t="s">
        <v>29</v>
      </c>
      <c r="B71" s="57">
        <v>0</v>
      </c>
      <c r="C71" s="57">
        <v>25634.095199999996</v>
      </c>
      <c r="D71" s="57">
        <v>0</v>
      </c>
      <c r="E71" s="57">
        <v>28774.904237369548</v>
      </c>
      <c r="F71" s="57">
        <v>25634.095199999996</v>
      </c>
      <c r="G71" s="57">
        <v>28774.904237369548</v>
      </c>
    </row>
    <row r="72" spans="1:7" ht="11.25" customHeight="1" x14ac:dyDescent="0.2">
      <c r="A72" s="64" t="s">
        <v>25</v>
      </c>
      <c r="B72" s="57">
        <v>0</v>
      </c>
      <c r="C72" s="57">
        <v>25634.095199999996</v>
      </c>
      <c r="D72" s="57">
        <v>0</v>
      </c>
      <c r="E72" s="57">
        <v>28774.904237369548</v>
      </c>
      <c r="F72" s="57">
        <v>25634.095199999996</v>
      </c>
      <c r="G72" s="57">
        <v>28774.904237369548</v>
      </c>
    </row>
    <row r="73" spans="1:7" ht="11.25" customHeight="1" x14ac:dyDescent="0.2">
      <c r="A73" s="65" t="s">
        <v>25</v>
      </c>
      <c r="B73" s="57">
        <v>0</v>
      </c>
      <c r="C73" s="57">
        <v>25634.095199999996</v>
      </c>
      <c r="D73" s="57">
        <v>0</v>
      </c>
      <c r="E73" s="57">
        <v>28774.904237369548</v>
      </c>
      <c r="F73" s="57">
        <v>25634.095199999996</v>
      </c>
      <c r="G73" s="57">
        <v>28774.904237369548</v>
      </c>
    </row>
    <row r="74" spans="1:7" ht="11.25" customHeight="1" x14ac:dyDescent="0.2">
      <c r="A74" s="66" t="s">
        <v>25</v>
      </c>
      <c r="B74" s="57">
        <v>0</v>
      </c>
      <c r="C74" s="57">
        <v>25634.095199999996</v>
      </c>
      <c r="D74" s="57">
        <v>0</v>
      </c>
      <c r="E74" s="57">
        <v>28774.904237369548</v>
      </c>
      <c r="F74" s="57">
        <v>25634.095199999996</v>
      </c>
      <c r="G74" s="57">
        <v>28774.904237369548</v>
      </c>
    </row>
    <row r="75" spans="1:7" ht="11.25" customHeight="1" x14ac:dyDescent="0.2">
      <c r="A75" s="67">
        <v>44287</v>
      </c>
      <c r="B75" s="57">
        <v>0</v>
      </c>
      <c r="C75" s="57">
        <v>1295.6579999999999</v>
      </c>
      <c r="D75" s="57">
        <v>0</v>
      </c>
      <c r="E75" s="57">
        <v>1454.4080679852416</v>
      </c>
      <c r="F75" s="57">
        <v>1295.6579999999999</v>
      </c>
      <c r="G75" s="57">
        <v>1454.4080679852416</v>
      </c>
    </row>
    <row r="76" spans="1:7" ht="11.25" customHeight="1" x14ac:dyDescent="0.2">
      <c r="A76" s="67">
        <v>44317</v>
      </c>
      <c r="B76" s="57">
        <v>0</v>
      </c>
      <c r="C76" s="57">
        <v>1415.2571999999998</v>
      </c>
      <c r="D76" s="57">
        <v>0</v>
      </c>
      <c r="E76" s="57">
        <v>1588.6611204146484</v>
      </c>
      <c r="F76" s="57">
        <v>1415.2571999999998</v>
      </c>
      <c r="G76" s="57">
        <v>1588.6611204146484</v>
      </c>
    </row>
    <row r="77" spans="1:7" ht="11.25" customHeight="1" x14ac:dyDescent="0.2">
      <c r="A77" s="67">
        <v>44348</v>
      </c>
      <c r="B77" s="57">
        <v>0</v>
      </c>
      <c r="C77" s="57">
        <v>1475.0568000000001</v>
      </c>
      <c r="D77" s="57">
        <v>0</v>
      </c>
      <c r="E77" s="57">
        <v>1655.7876466293521</v>
      </c>
      <c r="F77" s="57">
        <v>1475.0568000000001</v>
      </c>
      <c r="G77" s="57">
        <v>1655.7876466293521</v>
      </c>
    </row>
    <row r="78" spans="1:7" ht="11.25" customHeight="1" x14ac:dyDescent="0.2">
      <c r="A78" s="67">
        <v>44378</v>
      </c>
      <c r="B78" s="57">
        <v>0</v>
      </c>
      <c r="C78" s="57">
        <v>1514.9231999999997</v>
      </c>
      <c r="D78" s="57">
        <v>0</v>
      </c>
      <c r="E78" s="57">
        <v>1700.5386641058208</v>
      </c>
      <c r="F78" s="57">
        <v>1514.9231999999997</v>
      </c>
      <c r="G78" s="57">
        <v>1700.5386641058208</v>
      </c>
    </row>
    <row r="79" spans="1:7" ht="11.25" customHeight="1" x14ac:dyDescent="0.2">
      <c r="A79" s="67">
        <v>44409</v>
      </c>
      <c r="B79" s="57">
        <v>0</v>
      </c>
      <c r="C79" s="57">
        <v>1534.8563999999999</v>
      </c>
      <c r="D79" s="57">
        <v>0</v>
      </c>
      <c r="E79" s="57">
        <v>1722.9141728440554</v>
      </c>
      <c r="F79" s="57">
        <v>1534.8563999999999</v>
      </c>
      <c r="G79" s="57">
        <v>1722.9141728440554</v>
      </c>
    </row>
    <row r="80" spans="1:7" ht="11.25" customHeight="1" x14ac:dyDescent="0.2">
      <c r="A80" s="67">
        <v>44440</v>
      </c>
      <c r="B80" s="57">
        <v>0</v>
      </c>
      <c r="C80" s="57">
        <v>1554.7895999999998</v>
      </c>
      <c r="D80" s="57">
        <v>0</v>
      </c>
      <c r="E80" s="57">
        <v>1745.2896815822899</v>
      </c>
      <c r="F80" s="57">
        <v>1554.7895999999998</v>
      </c>
      <c r="G80" s="57">
        <v>1745.2896815822899</v>
      </c>
    </row>
    <row r="81" spans="1:7" ht="11.25" customHeight="1" x14ac:dyDescent="0.2">
      <c r="A81" s="67">
        <v>44470</v>
      </c>
      <c r="B81" s="57">
        <v>0</v>
      </c>
      <c r="C81" s="57">
        <v>1614.5891999999999</v>
      </c>
      <c r="D81" s="57">
        <v>0</v>
      </c>
      <c r="E81" s="57">
        <v>1812.4162077969934</v>
      </c>
      <c r="F81" s="57">
        <v>1614.5891999999999</v>
      </c>
      <c r="G81" s="57">
        <v>1812.4162077969934</v>
      </c>
    </row>
    <row r="82" spans="1:7" ht="11.25" customHeight="1" x14ac:dyDescent="0.2">
      <c r="A82" s="67">
        <v>44501</v>
      </c>
      <c r="B82" s="57">
        <v>0</v>
      </c>
      <c r="C82" s="57">
        <v>1754.1215999999999</v>
      </c>
      <c r="D82" s="57">
        <v>0</v>
      </c>
      <c r="E82" s="57">
        <v>1969.0447689646348</v>
      </c>
      <c r="F82" s="57">
        <v>1754.1215999999999</v>
      </c>
      <c r="G82" s="57">
        <v>1969.0447689646348</v>
      </c>
    </row>
    <row r="83" spans="1:7" ht="11.25" customHeight="1" x14ac:dyDescent="0.2">
      <c r="A83" s="67">
        <v>44531</v>
      </c>
      <c r="B83" s="57">
        <v>0</v>
      </c>
      <c r="C83" s="57">
        <v>1813.9211999999998</v>
      </c>
      <c r="D83" s="57">
        <v>0</v>
      </c>
      <c r="E83" s="57">
        <v>2036.1712951793381</v>
      </c>
      <c r="F83" s="57">
        <v>1813.9211999999998</v>
      </c>
      <c r="G83" s="57">
        <v>2036.1712951793381</v>
      </c>
    </row>
    <row r="84" spans="1:7" ht="11.25" customHeight="1" x14ac:dyDescent="0.2">
      <c r="A84" s="67">
        <v>44562</v>
      </c>
      <c r="B84" s="57">
        <v>0</v>
      </c>
      <c r="C84" s="57">
        <v>1813.9211999999998</v>
      </c>
      <c r="D84" s="57">
        <v>0</v>
      </c>
      <c r="E84" s="57">
        <v>2036.1712951793381</v>
      </c>
      <c r="F84" s="57">
        <v>1813.9211999999998</v>
      </c>
      <c r="G84" s="57">
        <v>2036.1712951793381</v>
      </c>
    </row>
    <row r="85" spans="1:7" ht="11.25" customHeight="1" x14ac:dyDescent="0.2">
      <c r="A85" s="67">
        <v>44593</v>
      </c>
      <c r="B85" s="57">
        <v>0</v>
      </c>
      <c r="C85" s="57">
        <v>2092.9859999999999</v>
      </c>
      <c r="D85" s="57">
        <v>0</v>
      </c>
      <c r="E85" s="57">
        <v>2349.4284175146208</v>
      </c>
      <c r="F85" s="57">
        <v>2092.9859999999999</v>
      </c>
      <c r="G85" s="57">
        <v>2349.4284175146208</v>
      </c>
    </row>
    <row r="86" spans="1:7" ht="11.25" customHeight="1" x14ac:dyDescent="0.2">
      <c r="A86" s="67">
        <v>44621</v>
      </c>
      <c r="B86" s="57">
        <v>0</v>
      </c>
      <c r="C86" s="57">
        <v>7754.014799999999</v>
      </c>
      <c r="D86" s="57">
        <v>0</v>
      </c>
      <c r="E86" s="57">
        <v>8704.0728991732158</v>
      </c>
      <c r="F86" s="57">
        <v>7754.014799999999</v>
      </c>
      <c r="G86" s="57">
        <v>8704.0728991732158</v>
      </c>
    </row>
    <row r="87" spans="1:7" ht="11.25" customHeight="1" x14ac:dyDescent="0.2">
      <c r="A87" s="63" t="s">
        <v>30</v>
      </c>
      <c r="B87" s="57">
        <v>0</v>
      </c>
      <c r="C87" s="57">
        <v>31533.234479999999</v>
      </c>
      <c r="D87" s="57">
        <v>0</v>
      </c>
      <c r="E87" s="57">
        <v>35397.366346695024</v>
      </c>
      <c r="F87" s="57">
        <v>31533.234479999999</v>
      </c>
      <c r="G87" s="57">
        <v>35397.366346695024</v>
      </c>
    </row>
    <row r="88" spans="1:7" ht="11.25" customHeight="1" x14ac:dyDescent="0.2">
      <c r="A88" s="64" t="s">
        <v>25</v>
      </c>
      <c r="B88" s="57">
        <v>0</v>
      </c>
      <c r="C88" s="57">
        <v>31533.234479999999</v>
      </c>
      <c r="D88" s="57">
        <v>0</v>
      </c>
      <c r="E88" s="57">
        <v>35397.366346695024</v>
      </c>
      <c r="F88" s="57">
        <v>31533.234479999999</v>
      </c>
      <c r="G88" s="57">
        <v>35397.366346695024</v>
      </c>
    </row>
    <row r="89" spans="1:7" ht="11.25" customHeight="1" x14ac:dyDescent="0.2">
      <c r="A89" s="65" t="s">
        <v>25</v>
      </c>
      <c r="B89" s="57">
        <v>0</v>
      </c>
      <c r="C89" s="57">
        <v>31533.234479999999</v>
      </c>
      <c r="D89" s="57">
        <v>0</v>
      </c>
      <c r="E89" s="57">
        <v>35397.366346695024</v>
      </c>
      <c r="F89" s="57">
        <v>31533.234479999999</v>
      </c>
      <c r="G89" s="57">
        <v>35397.366346695024</v>
      </c>
    </row>
    <row r="90" spans="1:7" ht="11.25" customHeight="1" x14ac:dyDescent="0.2">
      <c r="A90" s="66" t="s">
        <v>25</v>
      </c>
      <c r="B90" s="57">
        <v>0</v>
      </c>
      <c r="C90" s="57">
        <v>31533.234479999999</v>
      </c>
      <c r="D90" s="57">
        <v>0</v>
      </c>
      <c r="E90" s="57">
        <v>35397.366346695024</v>
      </c>
      <c r="F90" s="57">
        <v>31533.234479999999</v>
      </c>
      <c r="G90" s="57">
        <v>35397.366346695024</v>
      </c>
    </row>
    <row r="91" spans="1:7" ht="11.25" customHeight="1" x14ac:dyDescent="0.2">
      <c r="A91" s="67">
        <v>44287</v>
      </c>
      <c r="B91" s="57">
        <v>0</v>
      </c>
      <c r="C91" s="57">
        <v>1739.7843999999998</v>
      </c>
      <c r="D91" s="57">
        <v>0</v>
      </c>
      <c r="E91" s="57">
        <v>1952.9803011525694</v>
      </c>
      <c r="F91" s="57">
        <v>1739.7843999999998</v>
      </c>
      <c r="G91" s="57">
        <v>1952.9803011525694</v>
      </c>
    </row>
    <row r="92" spans="1:7" ht="11.25" customHeight="1" x14ac:dyDescent="0.2">
      <c r="A92" s="67">
        <v>44317</v>
      </c>
      <c r="B92" s="57">
        <v>0</v>
      </c>
      <c r="C92" s="57">
        <v>1815.8360799999996</v>
      </c>
      <c r="D92" s="57">
        <v>0</v>
      </c>
      <c r="E92" s="57">
        <v>2038.3514729538333</v>
      </c>
      <c r="F92" s="57">
        <v>1815.8360799999996</v>
      </c>
      <c r="G92" s="57">
        <v>2038.3514729538333</v>
      </c>
    </row>
    <row r="93" spans="1:7" ht="11.25" customHeight="1" x14ac:dyDescent="0.2">
      <c r="A93" s="67">
        <v>44348</v>
      </c>
      <c r="B93" s="57">
        <v>0</v>
      </c>
      <c r="C93" s="57">
        <v>1923.7803999999996</v>
      </c>
      <c r="D93" s="57">
        <v>0</v>
      </c>
      <c r="E93" s="57">
        <v>2159.5234587362725</v>
      </c>
      <c r="F93" s="57">
        <v>1923.7803999999996</v>
      </c>
      <c r="G93" s="57">
        <v>2159.5234587362725</v>
      </c>
    </row>
    <row r="94" spans="1:7" ht="11.25" customHeight="1" x14ac:dyDescent="0.2">
      <c r="A94" s="67">
        <v>44378</v>
      </c>
      <c r="B94" s="57">
        <v>0</v>
      </c>
      <c r="C94" s="57">
        <v>1823.6047999999996</v>
      </c>
      <c r="D94" s="57">
        <v>0</v>
      </c>
      <c r="E94" s="57">
        <v>2047.072184051812</v>
      </c>
      <c r="F94" s="57">
        <v>1823.6047999999996</v>
      </c>
      <c r="G94" s="57">
        <v>2047.072184051812</v>
      </c>
    </row>
    <row r="95" spans="1:7" ht="11.25" customHeight="1" x14ac:dyDescent="0.2">
      <c r="A95" s="67">
        <v>44409</v>
      </c>
      <c r="B95" s="57">
        <v>0</v>
      </c>
      <c r="C95" s="57">
        <v>1788.8499999999997</v>
      </c>
      <c r="D95" s="57">
        <v>0</v>
      </c>
      <c r="E95" s="57">
        <v>2008.0584765082237</v>
      </c>
      <c r="F95" s="57">
        <v>1788.8499999999997</v>
      </c>
      <c r="G95" s="57">
        <v>2008.0584765082237</v>
      </c>
    </row>
    <row r="96" spans="1:7" ht="11.25" customHeight="1" x14ac:dyDescent="0.2">
      <c r="A96" s="67">
        <v>44440</v>
      </c>
      <c r="B96" s="57">
        <v>0</v>
      </c>
      <c r="C96" s="57">
        <v>1907.4251999999997</v>
      </c>
      <c r="D96" s="57">
        <v>0</v>
      </c>
      <c r="E96" s="57">
        <v>2141.1640669510543</v>
      </c>
      <c r="F96" s="57">
        <v>1907.4251999999997</v>
      </c>
      <c r="G96" s="57">
        <v>2141.1640669510543</v>
      </c>
    </row>
    <row r="97" spans="1:7" ht="11.25" customHeight="1" x14ac:dyDescent="0.2">
      <c r="A97" s="67">
        <v>44470</v>
      </c>
      <c r="B97" s="57">
        <v>0</v>
      </c>
      <c r="C97" s="57">
        <v>2020.2760799999996</v>
      </c>
      <c r="D97" s="57">
        <v>0</v>
      </c>
      <c r="E97" s="57">
        <v>2267.8438702690587</v>
      </c>
      <c r="F97" s="57">
        <v>2020.2760799999996</v>
      </c>
      <c r="G97" s="57">
        <v>2267.8438702690587</v>
      </c>
    </row>
    <row r="98" spans="1:7" ht="11.25" customHeight="1" x14ac:dyDescent="0.2">
      <c r="A98" s="67">
        <v>44501</v>
      </c>
      <c r="B98" s="57">
        <v>0</v>
      </c>
      <c r="C98" s="57">
        <v>2056.6663999999996</v>
      </c>
      <c r="D98" s="57">
        <v>0</v>
      </c>
      <c r="E98" s="57">
        <v>2308.6935169911694</v>
      </c>
      <c r="F98" s="57">
        <v>2056.6663999999996</v>
      </c>
      <c r="G98" s="57">
        <v>2308.6935169911694</v>
      </c>
    </row>
    <row r="99" spans="1:7" ht="11.25" customHeight="1" x14ac:dyDescent="0.2">
      <c r="A99" s="67">
        <v>44531</v>
      </c>
      <c r="B99" s="57">
        <v>0</v>
      </c>
      <c r="C99" s="57">
        <v>2252.9287999999997</v>
      </c>
      <c r="D99" s="57">
        <v>0</v>
      </c>
      <c r="E99" s="57">
        <v>2529.0062184137855</v>
      </c>
      <c r="F99" s="57">
        <v>2252.9287999999997</v>
      </c>
      <c r="G99" s="57">
        <v>2529.0062184137855</v>
      </c>
    </row>
    <row r="100" spans="1:7" ht="11.25" customHeight="1" x14ac:dyDescent="0.2">
      <c r="A100" s="67">
        <v>44562</v>
      </c>
      <c r="B100" s="57">
        <v>0</v>
      </c>
      <c r="C100" s="57">
        <v>2306.4920799999995</v>
      </c>
      <c r="D100" s="57">
        <v>0</v>
      </c>
      <c r="E100" s="57">
        <v>2589.1332265103747</v>
      </c>
      <c r="F100" s="57">
        <v>2306.4920799999995</v>
      </c>
      <c r="G100" s="57">
        <v>2589.1332265103747</v>
      </c>
    </row>
    <row r="101" spans="1:7" ht="11.25" customHeight="1" x14ac:dyDescent="0.2">
      <c r="A101" s="67">
        <v>44593</v>
      </c>
      <c r="B101" s="57">
        <v>0</v>
      </c>
      <c r="C101" s="57">
        <v>2766.8909599999997</v>
      </c>
      <c r="D101" s="57">
        <v>0</v>
      </c>
      <c r="E101" s="57">
        <v>3105.9501052642627</v>
      </c>
      <c r="F101" s="57">
        <v>2766.8909599999997</v>
      </c>
      <c r="G101" s="57">
        <v>3105.9501052642627</v>
      </c>
    </row>
    <row r="102" spans="1:7" ht="11.25" customHeight="1" x14ac:dyDescent="0.2">
      <c r="A102" s="67">
        <v>44621</v>
      </c>
      <c r="B102" s="57">
        <v>0</v>
      </c>
      <c r="C102" s="57">
        <v>9130.6992799999989</v>
      </c>
      <c r="D102" s="57">
        <v>0</v>
      </c>
      <c r="E102" s="57">
        <v>10249.589448892604</v>
      </c>
      <c r="F102" s="57">
        <v>9130.6992799999989</v>
      </c>
      <c r="G102" s="57">
        <v>10249.589448892604</v>
      </c>
    </row>
    <row r="103" spans="1:7" ht="11.25" customHeight="1" x14ac:dyDescent="0.2">
      <c r="A103" s="63" t="s">
        <v>31</v>
      </c>
      <c r="B103" s="57">
        <v>0</v>
      </c>
      <c r="C103" s="57">
        <v>5567.923399999996</v>
      </c>
      <c r="D103" s="57">
        <v>0</v>
      </c>
      <c r="E103" s="57">
        <v>6250.2254408801728</v>
      </c>
      <c r="F103" s="57">
        <v>5567.923399999996</v>
      </c>
      <c r="G103" s="57">
        <v>6250.2254408801728</v>
      </c>
    </row>
    <row r="104" spans="1:7" ht="11.25" customHeight="1" x14ac:dyDescent="0.2">
      <c r="A104" s="64" t="s">
        <v>25</v>
      </c>
      <c r="B104" s="57">
        <v>0</v>
      </c>
      <c r="C104" s="57">
        <v>5567.923399999996</v>
      </c>
      <c r="D104" s="57">
        <v>0</v>
      </c>
      <c r="E104" s="57">
        <v>6250.2254408801728</v>
      </c>
      <c r="F104" s="57">
        <v>5567.923399999996</v>
      </c>
      <c r="G104" s="57">
        <v>6250.2254408801728</v>
      </c>
    </row>
    <row r="105" spans="1:7" ht="11.25" customHeight="1" x14ac:dyDescent="0.2">
      <c r="A105" s="65" t="s">
        <v>25</v>
      </c>
      <c r="B105" s="57">
        <v>0</v>
      </c>
      <c r="C105" s="57">
        <v>5567.923399999996</v>
      </c>
      <c r="D105" s="57">
        <v>0</v>
      </c>
      <c r="E105" s="57">
        <v>6250.2254408801728</v>
      </c>
      <c r="F105" s="57">
        <v>5567.923399999996</v>
      </c>
      <c r="G105" s="57">
        <v>6250.2254408801728</v>
      </c>
    </row>
    <row r="106" spans="1:7" ht="11.25" customHeight="1" x14ac:dyDescent="0.2">
      <c r="A106" s="66" t="s">
        <v>25</v>
      </c>
      <c r="B106" s="57">
        <v>0</v>
      </c>
      <c r="C106" s="57">
        <v>5567.923399999996</v>
      </c>
      <c r="D106" s="57">
        <v>0</v>
      </c>
      <c r="E106" s="57">
        <v>6250.2254408801728</v>
      </c>
      <c r="F106" s="57">
        <v>5567.923399999996</v>
      </c>
      <c r="G106" s="57">
        <v>6250.2254408801728</v>
      </c>
    </row>
    <row r="107" spans="1:7" ht="11.25" customHeight="1" x14ac:dyDescent="0.2">
      <c r="A107" s="67">
        <v>44287</v>
      </c>
      <c r="B107" s="57">
        <v>0</v>
      </c>
      <c r="C107" s="57">
        <v>414.91097999999965</v>
      </c>
      <c r="D107" s="57">
        <v>0</v>
      </c>
      <c r="E107" s="57">
        <v>465.75482035125066</v>
      </c>
      <c r="F107" s="57">
        <v>414.91097999999965</v>
      </c>
      <c r="G107" s="57">
        <v>465.75482035125066</v>
      </c>
    </row>
    <row r="108" spans="1:7" ht="11.25" customHeight="1" x14ac:dyDescent="0.2">
      <c r="A108" s="67">
        <v>44317</v>
      </c>
      <c r="B108" s="57">
        <v>0</v>
      </c>
      <c r="C108" s="57">
        <v>262.80761999999982</v>
      </c>
      <c r="D108" s="57">
        <v>0</v>
      </c>
      <c r="E108" s="57">
        <v>295.01247674872269</v>
      </c>
      <c r="F108" s="57">
        <v>262.80761999999982</v>
      </c>
      <c r="G108" s="57">
        <v>295.01247674872269</v>
      </c>
    </row>
    <row r="109" spans="1:7" ht="11.25" customHeight="1" x14ac:dyDescent="0.2">
      <c r="A109" s="67">
        <v>44348</v>
      </c>
      <c r="B109" s="57">
        <v>0</v>
      </c>
      <c r="C109" s="57">
        <v>345.60581999999971</v>
      </c>
      <c r="D109" s="57">
        <v>0</v>
      </c>
      <c r="E109" s="57">
        <v>387.95689766138906</v>
      </c>
      <c r="F109" s="57">
        <v>345.60581999999971</v>
      </c>
      <c r="G109" s="57">
        <v>387.95689766138906</v>
      </c>
    </row>
    <row r="110" spans="1:7" ht="11.25" customHeight="1" x14ac:dyDescent="0.2">
      <c r="A110" s="67">
        <v>44378</v>
      </c>
      <c r="B110" s="57">
        <v>0</v>
      </c>
      <c r="C110" s="57">
        <v>163.34755999999987</v>
      </c>
      <c r="D110" s="57">
        <v>0</v>
      </c>
      <c r="E110" s="57">
        <v>183.36442545486537</v>
      </c>
      <c r="F110" s="57">
        <v>163.34755999999987</v>
      </c>
      <c r="G110" s="57">
        <v>183.36442545486537</v>
      </c>
    </row>
    <row r="111" spans="1:7" ht="11.25" customHeight="1" x14ac:dyDescent="0.2">
      <c r="A111" s="67">
        <v>44409</v>
      </c>
      <c r="B111" s="57">
        <v>0</v>
      </c>
      <c r="C111" s="57">
        <v>159.87207999999987</v>
      </c>
      <c r="D111" s="57">
        <v>0</v>
      </c>
      <c r="E111" s="57">
        <v>179.46305470050652</v>
      </c>
      <c r="F111" s="57">
        <v>159.87207999999987</v>
      </c>
      <c r="G111" s="57">
        <v>179.46305470050652</v>
      </c>
    </row>
    <row r="112" spans="1:7" ht="11.25" customHeight="1" x14ac:dyDescent="0.2">
      <c r="A112" s="67">
        <v>44440</v>
      </c>
      <c r="B112" s="57">
        <v>0</v>
      </c>
      <c r="C112" s="57">
        <v>275.68733999999978</v>
      </c>
      <c r="D112" s="57">
        <v>0</v>
      </c>
      <c r="E112" s="57">
        <v>309.47049777958193</v>
      </c>
      <c r="F112" s="57">
        <v>275.68733999999978</v>
      </c>
      <c r="G112" s="57">
        <v>309.47049777958193</v>
      </c>
    </row>
    <row r="113" spans="1:7" ht="11.25" customHeight="1" x14ac:dyDescent="0.2">
      <c r="A113" s="67">
        <v>44470</v>
      </c>
      <c r="B113" s="57">
        <v>0</v>
      </c>
      <c r="C113" s="57">
        <v>290.81589999999977</v>
      </c>
      <c r="D113" s="57">
        <v>0</v>
      </c>
      <c r="E113" s="57">
        <v>326.45293518090864</v>
      </c>
      <c r="F113" s="57">
        <v>290.81589999999977</v>
      </c>
      <c r="G113" s="57">
        <v>326.45293518090864</v>
      </c>
    </row>
    <row r="114" spans="1:7" ht="11.25" customHeight="1" x14ac:dyDescent="0.2">
      <c r="A114" s="67">
        <v>44501</v>
      </c>
      <c r="B114" s="57">
        <v>0</v>
      </c>
      <c r="C114" s="57">
        <v>254.32335999999978</v>
      </c>
      <c r="D114" s="57">
        <v>0</v>
      </c>
      <c r="E114" s="57">
        <v>285.48854226014083</v>
      </c>
      <c r="F114" s="57">
        <v>254.32335999999978</v>
      </c>
      <c r="G114" s="57">
        <v>285.48854226014083</v>
      </c>
    </row>
    <row r="115" spans="1:7" ht="11.25" customHeight="1" x14ac:dyDescent="0.2">
      <c r="A115" s="67">
        <v>44531</v>
      </c>
      <c r="B115" s="57">
        <v>0</v>
      </c>
      <c r="C115" s="57">
        <v>384.96051999999969</v>
      </c>
      <c r="D115" s="57">
        <v>0</v>
      </c>
      <c r="E115" s="57">
        <v>432.13418414457004</v>
      </c>
      <c r="F115" s="57">
        <v>384.96051999999969</v>
      </c>
      <c r="G115" s="57">
        <v>432.13418414457004</v>
      </c>
    </row>
    <row r="116" spans="1:7" ht="11.25" customHeight="1" x14ac:dyDescent="0.2">
      <c r="A116" s="67">
        <v>44562</v>
      </c>
      <c r="B116" s="57">
        <v>0</v>
      </c>
      <c r="C116" s="57">
        <v>447.72359999999964</v>
      </c>
      <c r="D116" s="57">
        <v>0</v>
      </c>
      <c r="E116" s="57">
        <v>502.58835012034433</v>
      </c>
      <c r="F116" s="57">
        <v>447.72359999999964</v>
      </c>
      <c r="G116" s="57">
        <v>502.58835012034433</v>
      </c>
    </row>
    <row r="117" spans="1:7" ht="11.25" customHeight="1" x14ac:dyDescent="0.2">
      <c r="A117" s="67">
        <v>44593</v>
      </c>
      <c r="B117" s="57">
        <v>0</v>
      </c>
      <c r="C117" s="57">
        <v>620.98649999999952</v>
      </c>
      <c r="D117" s="57">
        <v>0</v>
      </c>
      <c r="E117" s="57">
        <v>697.08315684499814</v>
      </c>
      <c r="F117" s="57">
        <v>620.98649999999952</v>
      </c>
      <c r="G117" s="57">
        <v>697.08315684499814</v>
      </c>
    </row>
    <row r="118" spans="1:7" ht="11.25" customHeight="1" x14ac:dyDescent="0.2">
      <c r="A118" s="67">
        <v>44621</v>
      </c>
      <c r="B118" s="57">
        <v>0</v>
      </c>
      <c r="C118" s="57">
        <v>1946.8821199999984</v>
      </c>
      <c r="D118" s="57">
        <v>0</v>
      </c>
      <c r="E118" s="57">
        <v>2185.4560996328946</v>
      </c>
      <c r="F118" s="57">
        <v>1946.8821199999984</v>
      </c>
      <c r="G118" s="57">
        <v>2185.4560996328946</v>
      </c>
    </row>
    <row r="119" spans="1:7" ht="11.25" customHeight="1" x14ac:dyDescent="0.2">
      <c r="A119" s="63" t="s">
        <v>32</v>
      </c>
      <c r="B119" s="57">
        <v>0</v>
      </c>
      <c r="C119" s="57">
        <v>-2.5912072487699336E-13</v>
      </c>
      <c r="D119" s="57">
        <v>0</v>
      </c>
      <c r="E119" s="57">
        <v>1.0364828995079734E-12</v>
      </c>
      <c r="F119" s="57">
        <v>-2.5912072487699336E-13</v>
      </c>
      <c r="G119" s="57">
        <v>1.0364828995079734E-12</v>
      </c>
    </row>
    <row r="120" spans="1:7" ht="11.25" customHeight="1" x14ac:dyDescent="0.2">
      <c r="A120" s="64" t="s">
        <v>25</v>
      </c>
      <c r="B120" s="57">
        <v>0</v>
      </c>
      <c r="C120" s="57">
        <v>-2.5912072487699336E-13</v>
      </c>
      <c r="D120" s="57">
        <v>0</v>
      </c>
      <c r="E120" s="57">
        <v>1.0364828995079734E-12</v>
      </c>
      <c r="F120" s="57">
        <v>-2.5912072487699336E-13</v>
      </c>
      <c r="G120" s="57">
        <v>1.0364828995079734E-12</v>
      </c>
    </row>
    <row r="121" spans="1:7" ht="11.25" customHeight="1" x14ac:dyDescent="0.2">
      <c r="A121" s="65" t="s">
        <v>25</v>
      </c>
      <c r="B121" s="57">
        <v>0</v>
      </c>
      <c r="C121" s="57">
        <v>-2.5912072487699336E-13</v>
      </c>
      <c r="D121" s="57">
        <v>0</v>
      </c>
      <c r="E121" s="57">
        <v>1.0364828995079734E-12</v>
      </c>
      <c r="F121" s="57">
        <v>-2.5912072487699336E-13</v>
      </c>
      <c r="G121" s="57">
        <v>1.0364828995079734E-12</v>
      </c>
    </row>
    <row r="122" spans="1:7" ht="11.25" customHeight="1" x14ac:dyDescent="0.2">
      <c r="A122" s="66" t="s">
        <v>25</v>
      </c>
      <c r="B122" s="57">
        <v>0</v>
      </c>
      <c r="C122" s="57">
        <v>-2.5912072487699336E-13</v>
      </c>
      <c r="D122" s="57">
        <v>0</v>
      </c>
      <c r="E122" s="57">
        <v>1.0364828995079734E-12</v>
      </c>
      <c r="F122" s="57">
        <v>-2.5912072487699336E-13</v>
      </c>
      <c r="G122" s="57">
        <v>1.0364828995079734E-12</v>
      </c>
    </row>
    <row r="123" spans="1:7" ht="11.25" customHeight="1" x14ac:dyDescent="0.2">
      <c r="A123" s="67">
        <v>44287</v>
      </c>
      <c r="B123" s="57">
        <v>0</v>
      </c>
      <c r="C123" s="57">
        <v>-2.7768010113504715E-14</v>
      </c>
      <c r="D123" s="57">
        <v>0</v>
      </c>
      <c r="E123" s="57">
        <v>1.1107204045401886E-13</v>
      </c>
      <c r="F123" s="57">
        <v>-2.7768010113504715E-14</v>
      </c>
      <c r="G123" s="57">
        <v>1.1107204045401886E-13</v>
      </c>
    </row>
    <row r="124" spans="1:7" ht="11.25" customHeight="1" x14ac:dyDescent="0.2">
      <c r="A124" s="67">
        <v>44317</v>
      </c>
      <c r="B124" s="57">
        <v>0</v>
      </c>
      <c r="C124" s="57">
        <v>-6.0254023992456494E-15</v>
      </c>
      <c r="D124" s="57">
        <v>0</v>
      </c>
      <c r="E124" s="57">
        <v>2.4101609596982598E-14</v>
      </c>
      <c r="F124" s="57">
        <v>-6.0254023992456494E-15</v>
      </c>
      <c r="G124" s="57">
        <v>2.4101609596982598E-14</v>
      </c>
    </row>
    <row r="125" spans="1:7" ht="11.25" customHeight="1" x14ac:dyDescent="0.2">
      <c r="A125" s="67">
        <v>44348</v>
      </c>
      <c r="B125" s="57">
        <v>0</v>
      </c>
      <c r="C125" s="57">
        <v>-1.1027623258996755E-14</v>
      </c>
      <c r="D125" s="57">
        <v>0</v>
      </c>
      <c r="E125" s="57">
        <v>4.4110493035987021E-14</v>
      </c>
      <c r="F125" s="57">
        <v>-1.1027623258996755E-14</v>
      </c>
      <c r="G125" s="57">
        <v>4.4110493035987021E-14</v>
      </c>
    </row>
    <row r="126" spans="1:7" ht="11.25" customHeight="1" x14ac:dyDescent="0.2">
      <c r="A126" s="67">
        <v>44378</v>
      </c>
      <c r="B126" s="57">
        <v>0</v>
      </c>
      <c r="C126" s="57">
        <v>-5.1159076974727211E-15</v>
      </c>
      <c r="D126" s="57">
        <v>0</v>
      </c>
      <c r="E126" s="57">
        <v>2.0463630789890885E-14</v>
      </c>
      <c r="F126" s="57">
        <v>-5.1159076974727211E-15</v>
      </c>
      <c r="G126" s="57">
        <v>2.0463630789890885E-14</v>
      </c>
    </row>
    <row r="127" spans="1:7" ht="11.25" customHeight="1" x14ac:dyDescent="0.2">
      <c r="A127" s="67">
        <v>44409</v>
      </c>
      <c r="B127" s="57">
        <v>0</v>
      </c>
      <c r="C127" s="57">
        <v>-1.7621459846850484E-15</v>
      </c>
      <c r="D127" s="57">
        <v>0</v>
      </c>
      <c r="E127" s="57">
        <v>7.0485839387401938E-15</v>
      </c>
      <c r="F127" s="57">
        <v>-1.7621459846850484E-15</v>
      </c>
      <c r="G127" s="57">
        <v>7.0485839387401938E-15</v>
      </c>
    </row>
    <row r="128" spans="1:7" ht="11.25" customHeight="1" x14ac:dyDescent="0.2">
      <c r="A128" s="67">
        <v>44440</v>
      </c>
      <c r="B128" s="57">
        <v>0</v>
      </c>
      <c r="C128" s="57">
        <v>-4.3485215428518131E-15</v>
      </c>
      <c r="D128" s="57">
        <v>0</v>
      </c>
      <c r="E128" s="57">
        <v>1.7394086171407252E-14</v>
      </c>
      <c r="F128" s="57">
        <v>-4.3485215428518131E-15</v>
      </c>
      <c r="G128" s="57">
        <v>1.7394086171407252E-14</v>
      </c>
    </row>
    <row r="129" spans="1:7" ht="11.25" customHeight="1" x14ac:dyDescent="0.2">
      <c r="A129" s="67">
        <v>44470</v>
      </c>
      <c r="B129" s="57">
        <v>0</v>
      </c>
      <c r="C129" s="57">
        <v>-1.2221335055073723E-14</v>
      </c>
      <c r="D129" s="57">
        <v>0</v>
      </c>
      <c r="E129" s="57">
        <v>4.8885340220294892E-14</v>
      </c>
      <c r="F129" s="57">
        <v>-1.2221335055073723E-14</v>
      </c>
      <c r="G129" s="57">
        <v>4.8885340220294892E-14</v>
      </c>
    </row>
    <row r="130" spans="1:7" ht="11.25" customHeight="1" x14ac:dyDescent="0.2">
      <c r="A130" s="67">
        <v>44501</v>
      </c>
      <c r="B130" s="57">
        <v>0</v>
      </c>
      <c r="C130" s="57">
        <v>-6.3096194935496897E-15</v>
      </c>
      <c r="D130" s="57">
        <v>0</v>
      </c>
      <c r="E130" s="57">
        <v>2.5238477974198759E-14</v>
      </c>
      <c r="F130" s="57">
        <v>-6.3096194935496897E-15</v>
      </c>
      <c r="G130" s="57">
        <v>2.5238477974198759E-14</v>
      </c>
    </row>
    <row r="131" spans="1:7" ht="11.25" customHeight="1" x14ac:dyDescent="0.2">
      <c r="A131" s="67">
        <v>44531</v>
      </c>
      <c r="B131" s="57">
        <v>0</v>
      </c>
      <c r="C131" s="57">
        <v>-1.0402345651527866E-14</v>
      </c>
      <c r="D131" s="57">
        <v>0</v>
      </c>
      <c r="E131" s="57">
        <v>4.1609382606111466E-14</v>
      </c>
      <c r="F131" s="57">
        <v>-1.0402345651527866E-14</v>
      </c>
      <c r="G131" s="57">
        <v>4.1609382606111466E-14</v>
      </c>
    </row>
    <row r="132" spans="1:7" ht="11.25" customHeight="1" x14ac:dyDescent="0.2">
      <c r="A132" s="67">
        <v>44562</v>
      </c>
      <c r="B132" s="57">
        <v>0</v>
      </c>
      <c r="C132" s="57">
        <v>-1.3073986337985844E-14</v>
      </c>
      <c r="D132" s="57">
        <v>0</v>
      </c>
      <c r="E132" s="57">
        <v>5.2295945351943376E-14</v>
      </c>
      <c r="F132" s="57">
        <v>-1.3073986337985844E-14</v>
      </c>
      <c r="G132" s="57">
        <v>5.2295945351943376E-14</v>
      </c>
    </row>
    <row r="133" spans="1:7" ht="11.25" customHeight="1" x14ac:dyDescent="0.2">
      <c r="A133" s="67">
        <v>44593</v>
      </c>
      <c r="B133" s="57">
        <v>0</v>
      </c>
      <c r="C133" s="57">
        <v>-3.0212277124519458E-14</v>
      </c>
      <c r="D133" s="57">
        <v>0</v>
      </c>
      <c r="E133" s="57">
        <v>1.2084910849807783E-13</v>
      </c>
      <c r="F133" s="57">
        <v>-3.0212277124519458E-14</v>
      </c>
      <c r="G133" s="57">
        <v>1.2084910849807783E-13</v>
      </c>
    </row>
    <row r="134" spans="1:7" ht="11.25" customHeight="1" x14ac:dyDescent="0.2">
      <c r="A134" s="67">
        <v>44621</v>
      </c>
      <c r="B134" s="57">
        <v>0</v>
      </c>
      <c r="C134" s="57">
        <v>-1.3085355021758005E-13</v>
      </c>
      <c r="D134" s="57">
        <v>0</v>
      </c>
      <c r="E134" s="57">
        <v>5.2341420087032021E-13</v>
      </c>
      <c r="F134" s="57">
        <v>-1.3085355021758005E-13</v>
      </c>
      <c r="G134" s="57">
        <v>5.2341420087032021E-13</v>
      </c>
    </row>
    <row r="135" spans="1:7" ht="11.25" customHeight="1" x14ac:dyDescent="0.2">
      <c r="A135" s="59" t="s">
        <v>667</v>
      </c>
      <c r="B135" s="57">
        <v>0</v>
      </c>
      <c r="C135" s="57">
        <v>35707.777615999999</v>
      </c>
      <c r="D135" s="57">
        <v>0</v>
      </c>
      <c r="E135" s="57">
        <v>45329.391477245699</v>
      </c>
      <c r="F135" s="57">
        <v>35707.777615999999</v>
      </c>
      <c r="G135" s="57">
        <v>45329.391477245699</v>
      </c>
    </row>
    <row r="136" spans="1:7" ht="11.25" customHeight="1" x14ac:dyDescent="0.2">
      <c r="A136" s="60" t="s">
        <v>37</v>
      </c>
      <c r="B136" s="57">
        <v>0</v>
      </c>
      <c r="C136" s="57">
        <v>29467.485236</v>
      </c>
      <c r="D136" s="57">
        <v>0</v>
      </c>
      <c r="E136" s="57">
        <v>38445.645950698752</v>
      </c>
      <c r="F136" s="57">
        <v>29467.485236</v>
      </c>
      <c r="G136" s="57">
        <v>38445.645950698752</v>
      </c>
    </row>
    <row r="137" spans="1:7" ht="11.25" customHeight="1" x14ac:dyDescent="0.2">
      <c r="A137" s="61" t="s">
        <v>38</v>
      </c>
      <c r="B137" s="57">
        <v>0</v>
      </c>
      <c r="C137" s="57">
        <v>29467.485236</v>
      </c>
      <c r="D137" s="57">
        <v>0</v>
      </c>
      <c r="E137" s="57">
        <v>38445.645950698752</v>
      </c>
      <c r="F137" s="57">
        <v>29467.485236</v>
      </c>
      <c r="G137" s="57">
        <v>38445.645950698752</v>
      </c>
    </row>
    <row r="138" spans="1:7" ht="11.25" customHeight="1" x14ac:dyDescent="0.2">
      <c r="A138" s="62" t="s">
        <v>44</v>
      </c>
      <c r="B138" s="57">
        <v>0</v>
      </c>
      <c r="C138" s="57">
        <v>29467.485236</v>
      </c>
      <c r="D138" s="57">
        <v>0</v>
      </c>
      <c r="E138" s="57">
        <v>38445.645950698752</v>
      </c>
      <c r="F138" s="57">
        <v>29467.485236</v>
      </c>
      <c r="G138" s="57">
        <v>38445.645950698752</v>
      </c>
    </row>
    <row r="139" spans="1:7" ht="11.25" customHeight="1" x14ac:dyDescent="0.2">
      <c r="A139" s="63" t="s">
        <v>52</v>
      </c>
      <c r="B139" s="57">
        <v>0</v>
      </c>
      <c r="C139" s="57">
        <v>29467.485236</v>
      </c>
      <c r="D139" s="57">
        <v>0</v>
      </c>
      <c r="E139" s="57">
        <v>38445.645950698752</v>
      </c>
      <c r="F139" s="57">
        <v>29467.485236</v>
      </c>
      <c r="G139" s="57">
        <v>38445.645950698752</v>
      </c>
    </row>
    <row r="140" spans="1:7" ht="11.25" customHeight="1" x14ac:dyDescent="0.2">
      <c r="A140" s="64" t="s">
        <v>54</v>
      </c>
      <c r="B140" s="57">
        <v>0</v>
      </c>
      <c r="C140" s="57">
        <v>29467.485236</v>
      </c>
      <c r="D140" s="57">
        <v>0</v>
      </c>
      <c r="E140" s="57">
        <v>38445.645950698752</v>
      </c>
      <c r="F140" s="57">
        <v>29467.485236</v>
      </c>
      <c r="G140" s="57">
        <v>38445.645950698752</v>
      </c>
    </row>
    <row r="141" spans="1:7" ht="11.25" customHeight="1" x14ac:dyDescent="0.2">
      <c r="A141" s="65" t="s">
        <v>25</v>
      </c>
      <c r="B141" s="57">
        <v>0</v>
      </c>
      <c r="C141" s="57">
        <v>29467.485236</v>
      </c>
      <c r="D141" s="57">
        <v>0</v>
      </c>
      <c r="E141" s="57">
        <v>38445.645950698752</v>
      </c>
      <c r="F141" s="57">
        <v>29467.485236</v>
      </c>
      <c r="G141" s="57">
        <v>38445.645950698752</v>
      </c>
    </row>
    <row r="142" spans="1:7" ht="11.25" customHeight="1" x14ac:dyDescent="0.2">
      <c r="A142" s="66" t="s">
        <v>34</v>
      </c>
      <c r="B142" s="57">
        <v>0</v>
      </c>
      <c r="C142" s="57">
        <v>29467.485236</v>
      </c>
      <c r="D142" s="57">
        <v>0</v>
      </c>
      <c r="E142" s="57">
        <v>38445.645950698752</v>
      </c>
      <c r="F142" s="57">
        <v>29467.485236</v>
      </c>
      <c r="G142" s="57">
        <v>38445.645950698752</v>
      </c>
    </row>
    <row r="143" spans="1:7" ht="11.25" customHeight="1" x14ac:dyDescent="0.2">
      <c r="A143" s="67">
        <v>44287</v>
      </c>
      <c r="B143" s="57">
        <v>0</v>
      </c>
      <c r="C143" s="57">
        <v>1386.647465</v>
      </c>
      <c r="D143" s="57">
        <v>0</v>
      </c>
      <c r="E143" s="57">
        <v>1809.1315587627821</v>
      </c>
      <c r="F143" s="57">
        <v>1386.647465</v>
      </c>
      <c r="G143" s="57">
        <v>1809.1315587627821</v>
      </c>
    </row>
    <row r="144" spans="1:7" ht="11.25" customHeight="1" x14ac:dyDescent="0.2">
      <c r="A144" s="67">
        <v>44317</v>
      </c>
      <c r="B144" s="57">
        <v>0</v>
      </c>
      <c r="C144" s="57">
        <v>649.51641999999993</v>
      </c>
      <c r="D144" s="57">
        <v>0</v>
      </c>
      <c r="E144" s="57">
        <v>847.4112440371581</v>
      </c>
      <c r="F144" s="57">
        <v>649.51641999999993</v>
      </c>
      <c r="G144" s="57">
        <v>847.4112440371581</v>
      </c>
    </row>
    <row r="145" spans="1:7" ht="11.25" customHeight="1" x14ac:dyDescent="0.2">
      <c r="A145" s="67">
        <v>44348</v>
      </c>
      <c r="B145" s="57">
        <v>0</v>
      </c>
      <c r="C145" s="57">
        <v>1177.7741990000002</v>
      </c>
      <c r="D145" s="57">
        <v>0</v>
      </c>
      <c r="E145" s="57">
        <v>1536.6187342414803</v>
      </c>
      <c r="F145" s="57">
        <v>1177.7741990000002</v>
      </c>
      <c r="G145" s="57">
        <v>1536.6187342414803</v>
      </c>
    </row>
    <row r="146" spans="1:7" ht="11.25" customHeight="1" x14ac:dyDescent="0.2">
      <c r="A146" s="67">
        <v>44378</v>
      </c>
      <c r="B146" s="57">
        <v>0</v>
      </c>
      <c r="C146" s="57">
        <v>3220.4799760000005</v>
      </c>
      <c r="D146" s="57">
        <v>0</v>
      </c>
      <c r="E146" s="57">
        <v>4201.6966143194932</v>
      </c>
      <c r="F146" s="57">
        <v>3220.4799760000005</v>
      </c>
      <c r="G146" s="57">
        <v>4201.6966143194932</v>
      </c>
    </row>
    <row r="147" spans="1:7" ht="11.25" customHeight="1" x14ac:dyDescent="0.2">
      <c r="A147" s="67">
        <v>44409</v>
      </c>
      <c r="B147" s="57">
        <v>0</v>
      </c>
      <c r="C147" s="57">
        <v>3401.7838400000001</v>
      </c>
      <c r="D147" s="57">
        <v>0</v>
      </c>
      <c r="E147" s="57">
        <v>4438.240184597491</v>
      </c>
      <c r="F147" s="57">
        <v>3401.7838400000001</v>
      </c>
      <c r="G147" s="57">
        <v>4438.240184597491</v>
      </c>
    </row>
    <row r="148" spans="1:7" ht="11.25" customHeight="1" x14ac:dyDescent="0.2">
      <c r="A148" s="67">
        <v>44440</v>
      </c>
      <c r="B148" s="57">
        <v>0</v>
      </c>
      <c r="C148" s="57">
        <v>3241.741125</v>
      </c>
      <c r="D148" s="57">
        <v>0</v>
      </c>
      <c r="E148" s="57">
        <v>4229.4356154732268</v>
      </c>
      <c r="F148" s="57">
        <v>3241.741125</v>
      </c>
      <c r="G148" s="57">
        <v>4229.4356154732268</v>
      </c>
    </row>
    <row r="149" spans="1:7" ht="11.25" customHeight="1" x14ac:dyDescent="0.2">
      <c r="A149" s="67">
        <v>44470</v>
      </c>
      <c r="B149" s="57">
        <v>0</v>
      </c>
      <c r="C149" s="57">
        <v>1482.4394549999997</v>
      </c>
      <c r="D149" s="57">
        <v>0</v>
      </c>
      <c r="E149" s="57">
        <v>1934.1094760488377</v>
      </c>
      <c r="F149" s="57">
        <v>1482.4394549999997</v>
      </c>
      <c r="G149" s="57">
        <v>1934.1094760488377</v>
      </c>
    </row>
    <row r="150" spans="1:7" ht="11.25" customHeight="1" x14ac:dyDescent="0.2">
      <c r="A150" s="67">
        <v>44501</v>
      </c>
      <c r="B150" s="57">
        <v>0</v>
      </c>
      <c r="C150" s="57">
        <v>2359.9875390000002</v>
      </c>
      <c r="D150" s="57">
        <v>0</v>
      </c>
      <c r="E150" s="57">
        <v>3079.0291280645097</v>
      </c>
      <c r="F150" s="57">
        <v>2359.9875390000002</v>
      </c>
      <c r="G150" s="57">
        <v>3079.0291280645097</v>
      </c>
    </row>
    <row r="151" spans="1:7" ht="11.25" customHeight="1" x14ac:dyDescent="0.2">
      <c r="A151" s="67">
        <v>44531</v>
      </c>
      <c r="B151" s="57">
        <v>0</v>
      </c>
      <c r="C151" s="57">
        <v>1184.7833689999998</v>
      </c>
      <c r="D151" s="57">
        <v>0</v>
      </c>
      <c r="E151" s="57">
        <v>1545.7634598965574</v>
      </c>
      <c r="F151" s="57">
        <v>1184.7833689999998</v>
      </c>
      <c r="G151" s="57">
        <v>1545.7634598965574</v>
      </c>
    </row>
    <row r="152" spans="1:7" ht="11.25" customHeight="1" x14ac:dyDescent="0.2">
      <c r="A152" s="67">
        <v>44562</v>
      </c>
      <c r="B152" s="57">
        <v>0</v>
      </c>
      <c r="C152" s="57">
        <v>2724.6980180000005</v>
      </c>
      <c r="D152" s="57">
        <v>0</v>
      </c>
      <c r="E152" s="57">
        <v>3554.8596863170287</v>
      </c>
      <c r="F152" s="57">
        <v>2724.6980180000005</v>
      </c>
      <c r="G152" s="57">
        <v>3554.8596863170287</v>
      </c>
    </row>
    <row r="153" spans="1:7" ht="11.25" customHeight="1" x14ac:dyDescent="0.2">
      <c r="A153" s="67">
        <v>44593</v>
      </c>
      <c r="B153" s="57">
        <v>0</v>
      </c>
      <c r="C153" s="57">
        <v>724.28089999999997</v>
      </c>
      <c r="D153" s="57">
        <v>0</v>
      </c>
      <c r="E153" s="57">
        <v>944.9549843579822</v>
      </c>
      <c r="F153" s="57">
        <v>724.28089999999997</v>
      </c>
      <c r="G153" s="57">
        <v>944.9549843579822</v>
      </c>
    </row>
    <row r="154" spans="1:7" ht="11.25" customHeight="1" x14ac:dyDescent="0.2">
      <c r="A154" s="67">
        <v>44621</v>
      </c>
      <c r="B154" s="57">
        <v>0</v>
      </c>
      <c r="C154" s="57">
        <v>7913.3529299999991</v>
      </c>
      <c r="D154" s="57">
        <v>0</v>
      </c>
      <c r="E154" s="57">
        <v>10324.39526458221</v>
      </c>
      <c r="F154" s="57">
        <v>7913.3529299999991</v>
      </c>
      <c r="G154" s="57">
        <v>10324.39526458221</v>
      </c>
    </row>
    <row r="155" spans="1:7" ht="11.25" customHeight="1" x14ac:dyDescent="0.2">
      <c r="A155" s="60" t="s">
        <v>43</v>
      </c>
      <c r="B155" s="57">
        <v>0</v>
      </c>
      <c r="C155" s="57">
        <v>6240.2923800000008</v>
      </c>
      <c r="D155" s="57">
        <v>0</v>
      </c>
      <c r="E155" s="57">
        <v>6883.7455265469389</v>
      </c>
      <c r="F155" s="57">
        <v>6240.2923800000008</v>
      </c>
      <c r="G155" s="57">
        <v>6883.7455265469389</v>
      </c>
    </row>
    <row r="156" spans="1:7" ht="11.25" customHeight="1" x14ac:dyDescent="0.2">
      <c r="A156" s="61" t="s">
        <v>23</v>
      </c>
      <c r="B156" s="57">
        <v>0</v>
      </c>
      <c r="C156" s="57">
        <v>6240.2923800000008</v>
      </c>
      <c r="D156" s="57">
        <v>0</v>
      </c>
      <c r="E156" s="57">
        <v>6883.7455265469389</v>
      </c>
      <c r="F156" s="57">
        <v>6240.2923800000008</v>
      </c>
      <c r="G156" s="57">
        <v>6883.7455265469389</v>
      </c>
    </row>
    <row r="157" spans="1:7" ht="11.25" customHeight="1" x14ac:dyDescent="0.2">
      <c r="A157" s="62" t="s">
        <v>44</v>
      </c>
      <c r="B157" s="57">
        <v>0</v>
      </c>
      <c r="C157" s="57">
        <v>6240.2923800000008</v>
      </c>
      <c r="D157" s="57">
        <v>0</v>
      </c>
      <c r="E157" s="57">
        <v>6883.7455265469389</v>
      </c>
      <c r="F157" s="57">
        <v>6240.2923800000008</v>
      </c>
      <c r="G157" s="57">
        <v>6883.7455265469389</v>
      </c>
    </row>
    <row r="158" spans="1:7" ht="11.25" customHeight="1" x14ac:dyDescent="0.2">
      <c r="A158" s="63" t="s">
        <v>52</v>
      </c>
      <c r="B158" s="57">
        <v>0</v>
      </c>
      <c r="C158" s="57">
        <v>2670.8221700000004</v>
      </c>
      <c r="D158" s="57">
        <v>0</v>
      </c>
      <c r="E158" s="57">
        <v>2946.2177483645228</v>
      </c>
      <c r="F158" s="57">
        <v>2670.8221700000004</v>
      </c>
      <c r="G158" s="57">
        <v>2946.2177483645228</v>
      </c>
    </row>
    <row r="159" spans="1:7" ht="11.25" customHeight="1" x14ac:dyDescent="0.2">
      <c r="A159" s="64" t="s">
        <v>54</v>
      </c>
      <c r="B159" s="57">
        <v>0</v>
      </c>
      <c r="C159" s="57">
        <v>2670.8221700000004</v>
      </c>
      <c r="D159" s="57">
        <v>0</v>
      </c>
      <c r="E159" s="57">
        <v>2946.2177483645228</v>
      </c>
      <c r="F159" s="57">
        <v>2670.8221700000004</v>
      </c>
      <c r="G159" s="57">
        <v>2946.2177483645228</v>
      </c>
    </row>
    <row r="160" spans="1:7" ht="11.25" customHeight="1" x14ac:dyDescent="0.2">
      <c r="A160" s="65" t="s">
        <v>25</v>
      </c>
      <c r="B160" s="57">
        <v>0</v>
      </c>
      <c r="C160" s="57">
        <v>2670.8221700000004</v>
      </c>
      <c r="D160" s="57">
        <v>0</v>
      </c>
      <c r="E160" s="57">
        <v>2946.2177483645228</v>
      </c>
      <c r="F160" s="57">
        <v>2670.8221700000004</v>
      </c>
      <c r="G160" s="57">
        <v>2946.2177483645228</v>
      </c>
    </row>
    <row r="161" spans="1:7" ht="11.25" customHeight="1" x14ac:dyDescent="0.2">
      <c r="A161" s="66" t="s">
        <v>25</v>
      </c>
      <c r="B161" s="57">
        <v>0</v>
      </c>
      <c r="C161" s="57">
        <v>2670.8221700000004</v>
      </c>
      <c r="D161" s="57">
        <v>0</v>
      </c>
      <c r="E161" s="57">
        <v>2946.2177483645228</v>
      </c>
      <c r="F161" s="57">
        <v>2670.8221700000004</v>
      </c>
      <c r="G161" s="57">
        <v>2946.2177483645228</v>
      </c>
    </row>
    <row r="162" spans="1:7" ht="11.25" customHeight="1" x14ac:dyDescent="0.2">
      <c r="A162" s="67">
        <v>44287</v>
      </c>
      <c r="B162" s="57">
        <v>0</v>
      </c>
      <c r="C162" s="57">
        <v>89.721250000000012</v>
      </c>
      <c r="D162" s="57">
        <v>0</v>
      </c>
      <c r="E162" s="57">
        <v>98.972646746994172</v>
      </c>
      <c r="F162" s="57">
        <v>89.721250000000012</v>
      </c>
      <c r="G162" s="57">
        <v>98.972646746994172</v>
      </c>
    </row>
    <row r="163" spans="1:7" ht="11.25" customHeight="1" x14ac:dyDescent="0.2">
      <c r="A163" s="67">
        <v>44317</v>
      </c>
      <c r="B163" s="57">
        <v>0</v>
      </c>
      <c r="C163" s="57">
        <v>109.10104000000001</v>
      </c>
      <c r="D163" s="57">
        <v>0</v>
      </c>
      <c r="E163" s="57">
        <v>120.35073844434493</v>
      </c>
      <c r="F163" s="57">
        <v>109.10104000000001</v>
      </c>
      <c r="G163" s="57">
        <v>120.35073844434493</v>
      </c>
    </row>
    <row r="164" spans="1:7" ht="11.25" customHeight="1" x14ac:dyDescent="0.2">
      <c r="A164" s="67">
        <v>44348</v>
      </c>
      <c r="B164" s="57">
        <v>0</v>
      </c>
      <c r="C164" s="57">
        <v>2.871080000000001</v>
      </c>
      <c r="D164" s="57">
        <v>0</v>
      </c>
      <c r="E164" s="57">
        <v>3.1671246959038144</v>
      </c>
      <c r="F164" s="57">
        <v>2.871080000000001</v>
      </c>
      <c r="G164" s="57">
        <v>3.1671246959038144</v>
      </c>
    </row>
    <row r="165" spans="1:7" ht="11.25" customHeight="1" x14ac:dyDescent="0.2">
      <c r="A165" s="67">
        <v>44378</v>
      </c>
      <c r="B165" s="57">
        <v>0</v>
      </c>
      <c r="C165" s="57">
        <v>2.1533100000000003</v>
      </c>
      <c r="D165" s="57">
        <v>0</v>
      </c>
      <c r="E165" s="57">
        <v>2.3753435219278605</v>
      </c>
      <c r="F165" s="57">
        <v>2.1533100000000003</v>
      </c>
      <c r="G165" s="57">
        <v>2.3753435219278605</v>
      </c>
    </row>
    <row r="166" spans="1:7" ht="11.25" customHeight="1" x14ac:dyDescent="0.2">
      <c r="A166" s="67">
        <v>44409</v>
      </c>
      <c r="B166" s="57">
        <v>0</v>
      </c>
      <c r="C166" s="57">
        <v>170.82926</v>
      </c>
      <c r="D166" s="57">
        <v>0</v>
      </c>
      <c r="E166" s="57">
        <v>188.4439194062769</v>
      </c>
      <c r="F166" s="57">
        <v>170.82926</v>
      </c>
      <c r="G166" s="57">
        <v>188.4439194062769</v>
      </c>
    </row>
    <row r="167" spans="1:7" ht="11.25" customHeight="1" x14ac:dyDescent="0.2">
      <c r="A167" s="67">
        <v>44440</v>
      </c>
      <c r="B167" s="57">
        <v>0</v>
      </c>
      <c r="C167" s="57">
        <v>20.815330000000003</v>
      </c>
      <c r="D167" s="57">
        <v>0</v>
      </c>
      <c r="E167" s="57">
        <v>22.961654045302655</v>
      </c>
      <c r="F167" s="57">
        <v>20.815330000000003</v>
      </c>
      <c r="G167" s="57">
        <v>22.961654045302655</v>
      </c>
    </row>
    <row r="168" spans="1:7" ht="11.25" customHeight="1" x14ac:dyDescent="0.2">
      <c r="A168" s="67">
        <v>44470</v>
      </c>
      <c r="B168" s="57">
        <v>0</v>
      </c>
      <c r="C168" s="57">
        <v>42.348430000000008</v>
      </c>
      <c r="D168" s="57">
        <v>0</v>
      </c>
      <c r="E168" s="57">
        <v>46.715089264581252</v>
      </c>
      <c r="F168" s="57">
        <v>42.348430000000008</v>
      </c>
      <c r="G168" s="57">
        <v>46.715089264581252</v>
      </c>
    </row>
    <row r="169" spans="1:7" ht="11.25" customHeight="1" x14ac:dyDescent="0.2">
      <c r="A169" s="67">
        <v>44531</v>
      </c>
      <c r="B169" s="57">
        <v>0</v>
      </c>
      <c r="C169" s="57">
        <v>445.73517000000004</v>
      </c>
      <c r="D169" s="57">
        <v>0</v>
      </c>
      <c r="E169" s="57">
        <v>491.6961090390671</v>
      </c>
      <c r="F169" s="57">
        <v>445.73517000000004</v>
      </c>
      <c r="G169" s="57">
        <v>491.6961090390671</v>
      </c>
    </row>
    <row r="170" spans="1:7" ht="11.25" customHeight="1" x14ac:dyDescent="0.2">
      <c r="A170" s="67">
        <v>44562</v>
      </c>
      <c r="B170" s="57">
        <v>0</v>
      </c>
      <c r="C170" s="57">
        <v>38.041809999999998</v>
      </c>
      <c r="D170" s="57">
        <v>0</v>
      </c>
      <c r="E170" s="57">
        <v>41.964402220725532</v>
      </c>
      <c r="F170" s="57">
        <v>38.041809999999998</v>
      </c>
      <c r="G170" s="57">
        <v>41.964402220725532</v>
      </c>
    </row>
    <row r="171" spans="1:7" ht="11.25" customHeight="1" x14ac:dyDescent="0.2">
      <c r="A171" s="67">
        <v>44593</v>
      </c>
      <c r="B171" s="57">
        <v>0</v>
      </c>
      <c r="C171" s="57">
        <v>579.24039000000016</v>
      </c>
      <c r="D171" s="57">
        <v>0</v>
      </c>
      <c r="E171" s="57">
        <v>638.96740739859456</v>
      </c>
      <c r="F171" s="57">
        <v>579.24039000000016</v>
      </c>
      <c r="G171" s="57">
        <v>638.96740739859456</v>
      </c>
    </row>
    <row r="172" spans="1:7" ht="11.25" customHeight="1" x14ac:dyDescent="0.2">
      <c r="A172" s="67">
        <v>44621</v>
      </c>
      <c r="B172" s="57">
        <v>0</v>
      </c>
      <c r="C172" s="57">
        <v>1169.9650999999999</v>
      </c>
      <c r="D172" s="57">
        <v>0</v>
      </c>
      <c r="E172" s="57">
        <v>1290.6033135808041</v>
      </c>
      <c r="F172" s="57">
        <v>1169.9650999999999</v>
      </c>
      <c r="G172" s="57">
        <v>1290.6033135808041</v>
      </c>
    </row>
    <row r="173" spans="1:7" ht="11.25" customHeight="1" x14ac:dyDescent="0.2">
      <c r="A173" s="63" t="s">
        <v>55</v>
      </c>
      <c r="B173" s="57">
        <v>0</v>
      </c>
      <c r="C173" s="57">
        <v>3569.4702100000004</v>
      </c>
      <c r="D173" s="57">
        <v>0</v>
      </c>
      <c r="E173" s="57">
        <v>3937.5277781824161</v>
      </c>
      <c r="F173" s="57">
        <v>3569.4702100000004</v>
      </c>
      <c r="G173" s="57">
        <v>3937.5277781824161</v>
      </c>
    </row>
    <row r="174" spans="1:7" ht="11.25" customHeight="1" x14ac:dyDescent="0.2">
      <c r="A174" s="64" t="s">
        <v>54</v>
      </c>
      <c r="B174" s="57">
        <v>0</v>
      </c>
      <c r="C174" s="57">
        <v>3569.4702100000004</v>
      </c>
      <c r="D174" s="57">
        <v>0</v>
      </c>
      <c r="E174" s="57">
        <v>3937.5277781824161</v>
      </c>
      <c r="F174" s="57">
        <v>3569.4702100000004</v>
      </c>
      <c r="G174" s="57">
        <v>3937.5277781824161</v>
      </c>
    </row>
    <row r="175" spans="1:7" ht="11.25" customHeight="1" x14ac:dyDescent="0.2">
      <c r="A175" s="65" t="s">
        <v>25</v>
      </c>
      <c r="B175" s="57">
        <v>0</v>
      </c>
      <c r="C175" s="57">
        <v>3569.4702100000004</v>
      </c>
      <c r="D175" s="57">
        <v>0</v>
      </c>
      <c r="E175" s="57">
        <v>3937.5277781824161</v>
      </c>
      <c r="F175" s="57">
        <v>3569.4702100000004</v>
      </c>
      <c r="G175" s="57">
        <v>3937.5277781824161</v>
      </c>
    </row>
    <row r="176" spans="1:7" ht="11.25" customHeight="1" x14ac:dyDescent="0.2">
      <c r="A176" s="66" t="s">
        <v>25</v>
      </c>
      <c r="B176" s="57">
        <v>0</v>
      </c>
      <c r="C176" s="57">
        <v>3569.4702100000004</v>
      </c>
      <c r="D176" s="57">
        <v>0</v>
      </c>
      <c r="E176" s="57">
        <v>3937.5277781824161</v>
      </c>
      <c r="F176" s="57">
        <v>3569.4702100000004</v>
      </c>
      <c r="G176" s="57">
        <v>3937.5277781824161</v>
      </c>
    </row>
    <row r="177" spans="1:7" ht="11.25" customHeight="1" x14ac:dyDescent="0.2">
      <c r="A177" s="67">
        <v>44409</v>
      </c>
      <c r="B177" s="57">
        <v>0</v>
      </c>
      <c r="C177" s="57">
        <v>2122.44589</v>
      </c>
      <c r="D177" s="57">
        <v>0</v>
      </c>
      <c r="E177" s="57">
        <v>2341.2969314468942</v>
      </c>
      <c r="F177" s="57">
        <v>2122.44589</v>
      </c>
      <c r="G177" s="57">
        <v>2341.2969314468942</v>
      </c>
    </row>
    <row r="178" spans="1:7" ht="11.25" customHeight="1" x14ac:dyDescent="0.2">
      <c r="A178" s="67">
        <v>44440</v>
      </c>
      <c r="B178" s="57">
        <v>0</v>
      </c>
      <c r="C178" s="57">
        <v>1447.0243200000002</v>
      </c>
      <c r="D178" s="57">
        <v>0</v>
      </c>
      <c r="E178" s="57">
        <v>1596.2308467355222</v>
      </c>
      <c r="F178" s="57">
        <v>1447.0243200000002</v>
      </c>
      <c r="G178" s="57">
        <v>1596.2308467355222</v>
      </c>
    </row>
    <row r="179" spans="1:7" ht="11.25" customHeight="1" x14ac:dyDescent="0.2">
      <c r="A179" s="59" t="s">
        <v>666</v>
      </c>
      <c r="B179" s="57">
        <v>9119.6895999999961</v>
      </c>
      <c r="C179" s="57">
        <v>82171.892097200049</v>
      </c>
      <c r="D179" s="57">
        <v>9763.5613614859958</v>
      </c>
      <c r="E179" s="57">
        <v>49456.237676849079</v>
      </c>
      <c r="F179" s="57">
        <v>91291.581697200061</v>
      </c>
      <c r="G179" s="57">
        <v>59219.79903833507</v>
      </c>
    </row>
    <row r="180" spans="1:7" ht="11.25" customHeight="1" x14ac:dyDescent="0.2">
      <c r="A180" s="60" t="s">
        <v>37</v>
      </c>
      <c r="B180" s="57">
        <v>9119.6895999999961</v>
      </c>
      <c r="C180" s="57">
        <v>3542.4014971999991</v>
      </c>
      <c r="D180" s="57">
        <v>9763.5613614859958</v>
      </c>
      <c r="E180" s="57">
        <v>4419.4961026812171</v>
      </c>
      <c r="F180" s="57">
        <v>12662.091097199995</v>
      </c>
      <c r="G180" s="57">
        <v>14183.057464167214</v>
      </c>
    </row>
    <row r="181" spans="1:7" ht="11.25" customHeight="1" x14ac:dyDescent="0.2">
      <c r="A181" s="61" t="s">
        <v>38</v>
      </c>
      <c r="B181" s="57">
        <v>9119.6895999999961</v>
      </c>
      <c r="C181" s="57">
        <v>3542.4014971999991</v>
      </c>
      <c r="D181" s="57">
        <v>9763.5613614859958</v>
      </c>
      <c r="E181" s="57">
        <v>4419.4961026812171</v>
      </c>
      <c r="F181" s="57">
        <v>12662.091097199995</v>
      </c>
      <c r="G181" s="57">
        <v>14183.057464167214</v>
      </c>
    </row>
    <row r="182" spans="1:7" ht="11.25" customHeight="1" x14ac:dyDescent="0.2">
      <c r="A182" s="62" t="s">
        <v>44</v>
      </c>
      <c r="B182" s="57">
        <v>9119.6895999999961</v>
      </c>
      <c r="C182" s="57">
        <v>3542.4014971999991</v>
      </c>
      <c r="D182" s="57">
        <v>9763.5613614859958</v>
      </c>
      <c r="E182" s="57">
        <v>4419.4961026812171</v>
      </c>
      <c r="F182" s="57">
        <v>12662.091097199995</v>
      </c>
      <c r="G182" s="57">
        <v>14183.057464167214</v>
      </c>
    </row>
    <row r="183" spans="1:7" ht="11.25" customHeight="1" x14ac:dyDescent="0.2">
      <c r="A183" s="63" t="s">
        <v>52</v>
      </c>
      <c r="B183" s="57">
        <v>9119.6895999999961</v>
      </c>
      <c r="C183" s="57">
        <v>3542.4014971999991</v>
      </c>
      <c r="D183" s="57">
        <v>9763.5613614859958</v>
      </c>
      <c r="E183" s="57">
        <v>4419.4961026812171</v>
      </c>
      <c r="F183" s="57">
        <v>12662.091097199995</v>
      </c>
      <c r="G183" s="57">
        <v>14183.057464167214</v>
      </c>
    </row>
    <row r="184" spans="1:7" ht="11.25" customHeight="1" x14ac:dyDescent="0.2">
      <c r="A184" s="64" t="s">
        <v>25</v>
      </c>
      <c r="B184" s="57">
        <v>9119.6895999999961</v>
      </c>
      <c r="C184" s="57">
        <v>3542.4014971999991</v>
      </c>
      <c r="D184" s="57">
        <v>9763.5613614859958</v>
      </c>
      <c r="E184" s="57">
        <v>4419.4961026812171</v>
      </c>
      <c r="F184" s="57">
        <v>12662.091097199995</v>
      </c>
      <c r="G184" s="57">
        <v>14183.057464167214</v>
      </c>
    </row>
    <row r="185" spans="1:7" ht="11.25" customHeight="1" x14ac:dyDescent="0.2">
      <c r="A185" s="65" t="s">
        <v>25</v>
      </c>
      <c r="B185" s="57">
        <v>9119.6895999999961</v>
      </c>
      <c r="C185" s="57">
        <v>3542.4014971999991</v>
      </c>
      <c r="D185" s="57">
        <v>9763.5613614859958</v>
      </c>
      <c r="E185" s="57">
        <v>4419.4961026812171</v>
      </c>
      <c r="F185" s="57">
        <v>12662.091097199995</v>
      </c>
      <c r="G185" s="57">
        <v>14183.057464167214</v>
      </c>
    </row>
    <row r="186" spans="1:7" ht="11.25" customHeight="1" x14ac:dyDescent="0.2">
      <c r="A186" s="66" t="s">
        <v>34</v>
      </c>
      <c r="B186" s="57">
        <v>0</v>
      </c>
      <c r="C186" s="57">
        <v>2578.1462863999977</v>
      </c>
      <c r="D186" s="57">
        <v>0</v>
      </c>
      <c r="E186" s="57">
        <v>3363.6565367631538</v>
      </c>
      <c r="F186" s="57">
        <v>2578.1462863999977</v>
      </c>
      <c r="G186" s="57">
        <v>3363.6565367631538</v>
      </c>
    </row>
    <row r="187" spans="1:7" ht="11.25" customHeight="1" x14ac:dyDescent="0.2">
      <c r="A187" s="67">
        <v>44287</v>
      </c>
      <c r="B187" s="57">
        <v>0</v>
      </c>
      <c r="C187" s="57">
        <v>129.80982840000019</v>
      </c>
      <c r="D187" s="57">
        <v>0</v>
      </c>
      <c r="E187" s="57">
        <v>169.3603191320309</v>
      </c>
      <c r="F187" s="57">
        <v>129.80982840000019</v>
      </c>
      <c r="G187" s="57">
        <v>169.3603191320309</v>
      </c>
    </row>
    <row r="188" spans="1:7" ht="11.25" customHeight="1" x14ac:dyDescent="0.2">
      <c r="A188" s="67">
        <v>44317</v>
      </c>
      <c r="B188" s="57">
        <v>0</v>
      </c>
      <c r="C188" s="57">
        <v>77.94197040000013</v>
      </c>
      <c r="D188" s="57">
        <v>0</v>
      </c>
      <c r="E188" s="57">
        <v>101.68934928445915</v>
      </c>
      <c r="F188" s="57">
        <v>77.94197040000013</v>
      </c>
      <c r="G188" s="57">
        <v>101.68934928445915</v>
      </c>
    </row>
    <row r="189" spans="1:7" ht="11.25" customHeight="1" x14ac:dyDescent="0.2">
      <c r="A189" s="67">
        <v>44348</v>
      </c>
      <c r="B189" s="57">
        <v>0</v>
      </c>
      <c r="C189" s="57">
        <v>153.46744599999985</v>
      </c>
      <c r="D189" s="57">
        <v>0</v>
      </c>
      <c r="E189" s="57">
        <v>200.2259455335483</v>
      </c>
      <c r="F189" s="57">
        <v>153.46744599999985</v>
      </c>
      <c r="G189" s="57">
        <v>200.2259455335483</v>
      </c>
    </row>
    <row r="190" spans="1:7" ht="11.25" customHeight="1" x14ac:dyDescent="0.2">
      <c r="A190" s="67">
        <v>44378</v>
      </c>
      <c r="B190" s="57">
        <v>0</v>
      </c>
      <c r="C190" s="57">
        <v>347.45456999999891</v>
      </c>
      <c r="D190" s="57">
        <v>0</v>
      </c>
      <c r="E190" s="57">
        <v>453.31711461597075</v>
      </c>
      <c r="F190" s="57">
        <v>347.45456999999891</v>
      </c>
      <c r="G190" s="57">
        <v>453.31711461597075</v>
      </c>
    </row>
    <row r="191" spans="1:7" ht="11.25" customHeight="1" x14ac:dyDescent="0.2">
      <c r="A191" s="67">
        <v>44409</v>
      </c>
      <c r="B191" s="57">
        <v>0</v>
      </c>
      <c r="C191" s="57">
        <v>340.24513800000034</v>
      </c>
      <c r="D191" s="57">
        <v>0</v>
      </c>
      <c r="E191" s="57">
        <v>443.91111108503594</v>
      </c>
      <c r="F191" s="57">
        <v>340.24513800000034</v>
      </c>
      <c r="G191" s="57">
        <v>443.91111108503594</v>
      </c>
    </row>
    <row r="192" spans="1:7" ht="11.25" customHeight="1" x14ac:dyDescent="0.2">
      <c r="A192" s="67">
        <v>44440</v>
      </c>
      <c r="B192" s="57">
        <v>0</v>
      </c>
      <c r="C192" s="57">
        <v>313.04955840000059</v>
      </c>
      <c r="D192" s="57">
        <v>0</v>
      </c>
      <c r="E192" s="57">
        <v>408.42957554333663</v>
      </c>
      <c r="F192" s="57">
        <v>313.04955840000059</v>
      </c>
      <c r="G192" s="57">
        <v>408.42957554333663</v>
      </c>
    </row>
    <row r="193" spans="1:7" ht="11.25" customHeight="1" x14ac:dyDescent="0.2">
      <c r="A193" s="67">
        <v>44470</v>
      </c>
      <c r="B193" s="57">
        <v>0</v>
      </c>
      <c r="C193" s="57">
        <v>165.18944839999955</v>
      </c>
      <c r="D193" s="57">
        <v>0</v>
      </c>
      <c r="E193" s="57">
        <v>215.51941053384854</v>
      </c>
      <c r="F193" s="57">
        <v>165.18944839999955</v>
      </c>
      <c r="G193" s="57">
        <v>215.51941053384854</v>
      </c>
    </row>
    <row r="194" spans="1:7" ht="11.25" customHeight="1" x14ac:dyDescent="0.2">
      <c r="A194" s="67">
        <v>44501</v>
      </c>
      <c r="B194" s="57">
        <v>0</v>
      </c>
      <c r="C194" s="57">
        <v>143.41429360000041</v>
      </c>
      <c r="D194" s="57">
        <v>0</v>
      </c>
      <c r="E194" s="57">
        <v>187.10979616540965</v>
      </c>
      <c r="F194" s="57">
        <v>143.41429360000041</v>
      </c>
      <c r="G194" s="57">
        <v>187.10979616540965</v>
      </c>
    </row>
    <row r="195" spans="1:7" ht="11.25" customHeight="1" x14ac:dyDescent="0.2">
      <c r="A195" s="67">
        <v>44531</v>
      </c>
      <c r="B195" s="57">
        <v>0</v>
      </c>
      <c r="C195" s="57">
        <v>103.09487760000009</v>
      </c>
      <c r="D195" s="57">
        <v>0</v>
      </c>
      <c r="E195" s="57">
        <v>134.50585049239345</v>
      </c>
      <c r="F195" s="57">
        <v>103.09487760000009</v>
      </c>
      <c r="G195" s="57">
        <v>134.50585049239345</v>
      </c>
    </row>
    <row r="196" spans="1:7" ht="11.25" customHeight="1" x14ac:dyDescent="0.2">
      <c r="A196" s="67">
        <v>44562</v>
      </c>
      <c r="B196" s="57">
        <v>0</v>
      </c>
      <c r="C196" s="57">
        <v>176.65778559999998</v>
      </c>
      <c r="D196" s="57">
        <v>0</v>
      </c>
      <c r="E196" s="57">
        <v>230.48192355806123</v>
      </c>
      <c r="F196" s="57">
        <v>176.65778559999998</v>
      </c>
      <c r="G196" s="57">
        <v>230.48192355806123</v>
      </c>
    </row>
    <row r="197" spans="1:7" ht="11.25" customHeight="1" x14ac:dyDescent="0.2">
      <c r="A197" s="67">
        <v>44593</v>
      </c>
      <c r="B197" s="57">
        <v>0</v>
      </c>
      <c r="C197" s="57">
        <v>110.01059200000005</v>
      </c>
      <c r="D197" s="57">
        <v>0</v>
      </c>
      <c r="E197" s="57">
        <v>143.52864647206962</v>
      </c>
      <c r="F197" s="57">
        <v>110.01059200000005</v>
      </c>
      <c r="G197" s="57">
        <v>143.52864647206962</v>
      </c>
    </row>
    <row r="198" spans="1:7" ht="11.25" customHeight="1" x14ac:dyDescent="0.2">
      <c r="A198" s="67">
        <v>44621</v>
      </c>
      <c r="B198" s="57">
        <v>0</v>
      </c>
      <c r="C198" s="57">
        <v>517.81077799999798</v>
      </c>
      <c r="D198" s="57">
        <v>0</v>
      </c>
      <c r="E198" s="57">
        <v>675.57749434698985</v>
      </c>
      <c r="F198" s="57">
        <v>517.81077799999798</v>
      </c>
      <c r="G198" s="57">
        <v>675.57749434698985</v>
      </c>
    </row>
    <row r="199" spans="1:7" ht="11.25" customHeight="1" x14ac:dyDescent="0.2">
      <c r="A199" s="66" t="s">
        <v>25</v>
      </c>
      <c r="B199" s="57">
        <v>9119.6895999999961</v>
      </c>
      <c r="C199" s="57">
        <v>0</v>
      </c>
      <c r="D199" s="57">
        <v>9763.5613614859958</v>
      </c>
      <c r="E199" s="57">
        <v>0</v>
      </c>
      <c r="F199" s="57">
        <v>9119.6895999999961</v>
      </c>
      <c r="G199" s="57">
        <v>9763.5613614859958</v>
      </c>
    </row>
    <row r="200" spans="1:7" ht="11.25" customHeight="1" x14ac:dyDescent="0.2">
      <c r="A200" s="67">
        <v>44287</v>
      </c>
      <c r="B200" s="57">
        <v>645.87880000000052</v>
      </c>
      <c r="C200" s="57">
        <v>0</v>
      </c>
      <c r="D200" s="57">
        <v>691.47937840811483</v>
      </c>
      <c r="E200" s="57">
        <v>0</v>
      </c>
      <c r="F200" s="57">
        <v>645.87880000000052</v>
      </c>
      <c r="G200" s="57">
        <v>691.47937840811483</v>
      </c>
    </row>
    <row r="201" spans="1:7" ht="11.25" customHeight="1" x14ac:dyDescent="0.2">
      <c r="A201" s="67">
        <v>44317</v>
      </c>
      <c r="B201" s="57">
        <v>672.66639999999938</v>
      </c>
      <c r="C201" s="57">
        <v>0</v>
      </c>
      <c r="D201" s="57">
        <v>720.15824663702165</v>
      </c>
      <c r="E201" s="57">
        <v>0</v>
      </c>
      <c r="F201" s="57">
        <v>672.66639999999938</v>
      </c>
      <c r="G201" s="57">
        <v>720.15824663702165</v>
      </c>
    </row>
    <row r="202" spans="1:7" ht="11.25" customHeight="1" x14ac:dyDescent="0.2">
      <c r="A202" s="67">
        <v>44348</v>
      </c>
      <c r="B202" s="57">
        <v>666.71360000000061</v>
      </c>
      <c r="C202" s="57">
        <v>0</v>
      </c>
      <c r="D202" s="57">
        <v>713.78516480837663</v>
      </c>
      <c r="E202" s="57">
        <v>0</v>
      </c>
      <c r="F202" s="57">
        <v>666.71360000000061</v>
      </c>
      <c r="G202" s="57">
        <v>713.78516480837663</v>
      </c>
    </row>
    <row r="203" spans="1:7" ht="11.25" customHeight="1" x14ac:dyDescent="0.2">
      <c r="A203" s="67">
        <v>44378</v>
      </c>
      <c r="B203" s="57">
        <v>684.57199999999909</v>
      </c>
      <c r="C203" s="57">
        <v>0</v>
      </c>
      <c r="D203" s="57">
        <v>732.90441029431383</v>
      </c>
      <c r="E203" s="57">
        <v>0</v>
      </c>
      <c r="F203" s="57">
        <v>684.57199999999909</v>
      </c>
      <c r="G203" s="57">
        <v>732.90441029431383</v>
      </c>
    </row>
    <row r="204" spans="1:7" ht="11.25" customHeight="1" x14ac:dyDescent="0.2">
      <c r="A204" s="67">
        <v>44409</v>
      </c>
      <c r="B204" s="57">
        <v>809.58079999999961</v>
      </c>
      <c r="C204" s="57">
        <v>0</v>
      </c>
      <c r="D204" s="57">
        <v>866.7391286958848</v>
      </c>
      <c r="E204" s="57">
        <v>0</v>
      </c>
      <c r="F204" s="57">
        <v>809.58079999999961</v>
      </c>
      <c r="G204" s="57">
        <v>866.7391286958848</v>
      </c>
    </row>
    <row r="205" spans="1:7" ht="11.25" customHeight="1" x14ac:dyDescent="0.2">
      <c r="A205" s="67">
        <v>44440</v>
      </c>
      <c r="B205" s="57">
        <v>809.58079999999961</v>
      </c>
      <c r="C205" s="57">
        <v>0</v>
      </c>
      <c r="D205" s="57">
        <v>866.7391286958848</v>
      </c>
      <c r="E205" s="57">
        <v>0</v>
      </c>
      <c r="F205" s="57">
        <v>809.58079999999961</v>
      </c>
      <c r="G205" s="57">
        <v>866.7391286958848</v>
      </c>
    </row>
    <row r="206" spans="1:7" ht="11.25" customHeight="1" x14ac:dyDescent="0.2">
      <c r="A206" s="67">
        <v>44470</v>
      </c>
      <c r="B206" s="57">
        <v>800.65159999999923</v>
      </c>
      <c r="C206" s="57">
        <v>0</v>
      </c>
      <c r="D206" s="57">
        <v>857.17950595291518</v>
      </c>
      <c r="E206" s="57">
        <v>0</v>
      </c>
      <c r="F206" s="57">
        <v>800.65159999999923</v>
      </c>
      <c r="G206" s="57">
        <v>857.17950595291518</v>
      </c>
    </row>
    <row r="207" spans="1:7" ht="11.25" customHeight="1" x14ac:dyDescent="0.2">
      <c r="A207" s="67">
        <v>44501</v>
      </c>
      <c r="B207" s="57">
        <v>812.5572000000011</v>
      </c>
      <c r="C207" s="57">
        <v>0</v>
      </c>
      <c r="D207" s="57">
        <v>869.92566961020952</v>
      </c>
      <c r="E207" s="57">
        <v>0</v>
      </c>
      <c r="F207" s="57">
        <v>812.5572000000011</v>
      </c>
      <c r="G207" s="57">
        <v>869.92566961020952</v>
      </c>
    </row>
    <row r="208" spans="1:7" ht="11.25" customHeight="1" x14ac:dyDescent="0.2">
      <c r="A208" s="67">
        <v>44531</v>
      </c>
      <c r="B208" s="57">
        <v>800.65159999999923</v>
      </c>
      <c r="C208" s="57">
        <v>0</v>
      </c>
      <c r="D208" s="57">
        <v>857.17950595291518</v>
      </c>
      <c r="E208" s="57">
        <v>0</v>
      </c>
      <c r="F208" s="57">
        <v>800.65159999999923</v>
      </c>
      <c r="G208" s="57">
        <v>857.17950595291518</v>
      </c>
    </row>
    <row r="209" spans="1:7" ht="11.25" customHeight="1" x14ac:dyDescent="0.2">
      <c r="A209" s="67">
        <v>44562</v>
      </c>
      <c r="B209" s="57">
        <v>800.65159999999923</v>
      </c>
      <c r="C209" s="57">
        <v>0</v>
      </c>
      <c r="D209" s="57">
        <v>857.17950595291518</v>
      </c>
      <c r="E209" s="57">
        <v>0</v>
      </c>
      <c r="F209" s="57">
        <v>800.65159999999923</v>
      </c>
      <c r="G209" s="57">
        <v>857.17950595291518</v>
      </c>
    </row>
    <row r="210" spans="1:7" ht="11.25" customHeight="1" x14ac:dyDescent="0.2">
      <c r="A210" s="67">
        <v>44593</v>
      </c>
      <c r="B210" s="57">
        <v>800.65159999999923</v>
      </c>
      <c r="C210" s="57">
        <v>0</v>
      </c>
      <c r="D210" s="57">
        <v>857.17950595291518</v>
      </c>
      <c r="E210" s="57">
        <v>0</v>
      </c>
      <c r="F210" s="57">
        <v>800.65159999999923</v>
      </c>
      <c r="G210" s="57">
        <v>857.17950595291518</v>
      </c>
    </row>
    <row r="211" spans="1:7" ht="11.25" customHeight="1" x14ac:dyDescent="0.2">
      <c r="A211" s="67">
        <v>44621</v>
      </c>
      <c r="B211" s="57">
        <v>815.53359999999839</v>
      </c>
      <c r="C211" s="57">
        <v>0</v>
      </c>
      <c r="D211" s="57">
        <v>873.11221052452981</v>
      </c>
      <c r="E211" s="57">
        <v>0</v>
      </c>
      <c r="F211" s="57">
        <v>815.53359999999839</v>
      </c>
      <c r="G211" s="57">
        <v>873.11221052452981</v>
      </c>
    </row>
    <row r="212" spans="1:7" ht="11.25" customHeight="1" x14ac:dyDescent="0.2">
      <c r="A212" s="66" t="s">
        <v>39</v>
      </c>
      <c r="B212" s="57">
        <v>0</v>
      </c>
      <c r="C212" s="57">
        <v>964.25521080000112</v>
      </c>
      <c r="D212" s="57">
        <v>0</v>
      </c>
      <c r="E212" s="57">
        <v>1055.8395659180637</v>
      </c>
      <c r="F212" s="57">
        <v>964.25521080000112</v>
      </c>
      <c r="G212" s="57">
        <v>1055.8395659180637</v>
      </c>
    </row>
    <row r="213" spans="1:7" ht="11.25" customHeight="1" x14ac:dyDescent="0.2">
      <c r="A213" s="67">
        <v>44287</v>
      </c>
      <c r="B213" s="57">
        <v>0</v>
      </c>
      <c r="C213" s="57">
        <v>66.073989600000118</v>
      </c>
      <c r="D213" s="57">
        <v>0</v>
      </c>
      <c r="E213" s="57">
        <v>72.34965568903587</v>
      </c>
      <c r="F213" s="57">
        <v>66.073989600000118</v>
      </c>
      <c r="G213" s="57">
        <v>72.34965568903587</v>
      </c>
    </row>
    <row r="214" spans="1:7" ht="11.25" customHeight="1" x14ac:dyDescent="0.2">
      <c r="A214" s="67">
        <v>44317</v>
      </c>
      <c r="B214" s="57">
        <v>0</v>
      </c>
      <c r="C214" s="57">
        <v>63.755603999999956</v>
      </c>
      <c r="D214" s="57">
        <v>0</v>
      </c>
      <c r="E214" s="57">
        <v>69.811071278894076</v>
      </c>
      <c r="F214" s="57">
        <v>63.755603999999956</v>
      </c>
      <c r="G214" s="57">
        <v>69.811071278894076</v>
      </c>
    </row>
    <row r="215" spans="1:7" ht="11.25" customHeight="1" x14ac:dyDescent="0.2">
      <c r="A215" s="67">
        <v>44348</v>
      </c>
      <c r="B215" s="57">
        <v>0</v>
      </c>
      <c r="C215" s="57">
        <v>72.449550000000059</v>
      </c>
      <c r="D215" s="57">
        <v>0</v>
      </c>
      <c r="E215" s="57">
        <v>79.33076281692523</v>
      </c>
      <c r="F215" s="57">
        <v>72.449550000000059</v>
      </c>
      <c r="G215" s="57">
        <v>79.33076281692523</v>
      </c>
    </row>
    <row r="216" spans="1:7" ht="11.25" customHeight="1" x14ac:dyDescent="0.2">
      <c r="A216" s="67">
        <v>44378</v>
      </c>
      <c r="B216" s="57">
        <v>0</v>
      </c>
      <c r="C216" s="57">
        <v>81.91629119999989</v>
      </c>
      <c r="D216" s="57">
        <v>0</v>
      </c>
      <c r="E216" s="57">
        <v>89.696649158336584</v>
      </c>
      <c r="F216" s="57">
        <v>81.91629119999989</v>
      </c>
      <c r="G216" s="57">
        <v>89.696649158336584</v>
      </c>
    </row>
    <row r="217" spans="1:7" ht="11.25" customHeight="1" x14ac:dyDescent="0.2">
      <c r="A217" s="67">
        <v>44409</v>
      </c>
      <c r="B217" s="57">
        <v>0</v>
      </c>
      <c r="C217" s="57">
        <v>88.291851600000086</v>
      </c>
      <c r="D217" s="57">
        <v>0</v>
      </c>
      <c r="E217" s="57">
        <v>96.677756286226213</v>
      </c>
      <c r="F217" s="57">
        <v>88.291851600000086</v>
      </c>
      <c r="G217" s="57">
        <v>96.677756286226213</v>
      </c>
    </row>
    <row r="218" spans="1:7" ht="11.25" customHeight="1" x14ac:dyDescent="0.2">
      <c r="A218" s="67">
        <v>44440</v>
      </c>
      <c r="B218" s="57">
        <v>0</v>
      </c>
      <c r="C218" s="57">
        <v>76.699923600000034</v>
      </c>
      <c r="D218" s="57">
        <v>0</v>
      </c>
      <c r="E218" s="57">
        <v>83.984834235518122</v>
      </c>
      <c r="F218" s="57">
        <v>76.699923600000034</v>
      </c>
      <c r="G218" s="57">
        <v>83.984834235518122</v>
      </c>
    </row>
    <row r="219" spans="1:7" ht="11.25" customHeight="1" x14ac:dyDescent="0.2">
      <c r="A219" s="67">
        <v>44470</v>
      </c>
      <c r="B219" s="57">
        <v>0</v>
      </c>
      <c r="C219" s="57">
        <v>67.81277879999999</v>
      </c>
      <c r="D219" s="57">
        <v>0</v>
      </c>
      <c r="E219" s="57">
        <v>74.253593996641925</v>
      </c>
      <c r="F219" s="57">
        <v>67.81277879999999</v>
      </c>
      <c r="G219" s="57">
        <v>74.253593996641925</v>
      </c>
    </row>
    <row r="220" spans="1:7" ht="11.25" customHeight="1" x14ac:dyDescent="0.2">
      <c r="A220" s="67">
        <v>44501</v>
      </c>
      <c r="B220" s="57">
        <v>0</v>
      </c>
      <c r="C220" s="57">
        <v>76.699923600000034</v>
      </c>
      <c r="D220" s="57">
        <v>0</v>
      </c>
      <c r="E220" s="57">
        <v>83.984834235518122</v>
      </c>
      <c r="F220" s="57">
        <v>76.699923600000034</v>
      </c>
      <c r="G220" s="57">
        <v>83.984834235518122</v>
      </c>
    </row>
    <row r="221" spans="1:7" ht="11.25" customHeight="1" x14ac:dyDescent="0.2">
      <c r="A221" s="67">
        <v>44531</v>
      </c>
      <c r="B221" s="57">
        <v>0</v>
      </c>
      <c r="C221" s="57">
        <v>76.313526000000181</v>
      </c>
      <c r="D221" s="57">
        <v>0</v>
      </c>
      <c r="E221" s="57">
        <v>83.561736833828022</v>
      </c>
      <c r="F221" s="57">
        <v>76.313526000000181</v>
      </c>
      <c r="G221" s="57">
        <v>83.561736833828022</v>
      </c>
    </row>
    <row r="222" spans="1:7" ht="11.25" customHeight="1" x14ac:dyDescent="0.2">
      <c r="A222" s="67">
        <v>44562</v>
      </c>
      <c r="B222" s="57">
        <v>0</v>
      </c>
      <c r="C222" s="57">
        <v>77.859116400000119</v>
      </c>
      <c r="D222" s="57">
        <v>0</v>
      </c>
      <c r="E222" s="57">
        <v>85.254126440589019</v>
      </c>
      <c r="F222" s="57">
        <v>77.859116400000119</v>
      </c>
      <c r="G222" s="57">
        <v>85.254126440589019</v>
      </c>
    </row>
    <row r="223" spans="1:7" ht="11.25" customHeight="1" x14ac:dyDescent="0.2">
      <c r="A223" s="67">
        <v>44593</v>
      </c>
      <c r="B223" s="57">
        <v>0</v>
      </c>
      <c r="C223" s="57">
        <v>126.93161160000041</v>
      </c>
      <c r="D223" s="57">
        <v>0</v>
      </c>
      <c r="E223" s="57">
        <v>138.98749645525331</v>
      </c>
      <c r="F223" s="57">
        <v>126.93161160000041</v>
      </c>
      <c r="G223" s="57">
        <v>138.98749645525331</v>
      </c>
    </row>
    <row r="224" spans="1:7" ht="11.25" customHeight="1" x14ac:dyDescent="0.2">
      <c r="A224" s="67">
        <v>44621</v>
      </c>
      <c r="B224" s="57">
        <v>0</v>
      </c>
      <c r="C224" s="57">
        <v>89.451044400000185</v>
      </c>
      <c r="D224" s="57">
        <v>0</v>
      </c>
      <c r="E224" s="57">
        <v>97.947048491297124</v>
      </c>
      <c r="F224" s="57">
        <v>89.451044400000185</v>
      </c>
      <c r="G224" s="57">
        <v>97.947048491297124</v>
      </c>
    </row>
    <row r="225" spans="1:7" ht="11.25" customHeight="1" x14ac:dyDescent="0.2">
      <c r="A225" s="60" t="s">
        <v>43</v>
      </c>
      <c r="B225" s="57">
        <v>0</v>
      </c>
      <c r="C225" s="57">
        <v>78629.490600000048</v>
      </c>
      <c r="D225" s="57">
        <v>0</v>
      </c>
      <c r="E225" s="57">
        <v>45036.741574167863</v>
      </c>
      <c r="F225" s="57">
        <v>78629.490600000063</v>
      </c>
      <c r="G225" s="57">
        <v>45036.741574167863</v>
      </c>
    </row>
    <row r="226" spans="1:7" ht="11.25" customHeight="1" x14ac:dyDescent="0.2">
      <c r="A226" s="61" t="s">
        <v>23</v>
      </c>
      <c r="B226" s="57">
        <v>0</v>
      </c>
      <c r="C226" s="57">
        <v>78629.490600000048</v>
      </c>
      <c r="D226" s="57">
        <v>0</v>
      </c>
      <c r="E226" s="57">
        <v>45036.741574167863</v>
      </c>
      <c r="F226" s="57">
        <v>78629.490600000063</v>
      </c>
      <c r="G226" s="57">
        <v>45036.741574167863</v>
      </c>
    </row>
    <row r="227" spans="1:7" ht="11.25" customHeight="1" x14ac:dyDescent="0.2">
      <c r="A227" s="62" t="s">
        <v>44</v>
      </c>
      <c r="B227" s="57">
        <v>0</v>
      </c>
      <c r="C227" s="57">
        <v>78629.490600000048</v>
      </c>
      <c r="D227" s="57">
        <v>0</v>
      </c>
      <c r="E227" s="57">
        <v>45036.741574167863</v>
      </c>
      <c r="F227" s="57">
        <v>78629.490600000063</v>
      </c>
      <c r="G227" s="57">
        <v>45036.741574167863</v>
      </c>
    </row>
    <row r="228" spans="1:7" ht="11.25" customHeight="1" x14ac:dyDescent="0.2">
      <c r="A228" s="63" t="s">
        <v>52</v>
      </c>
      <c r="B228" s="57">
        <v>0</v>
      </c>
      <c r="C228" s="57">
        <v>1421.9781600000013</v>
      </c>
      <c r="D228" s="57">
        <v>0</v>
      </c>
      <c r="E228" s="57">
        <v>814.46874992257312</v>
      </c>
      <c r="F228" s="57">
        <v>1421.9781600000013</v>
      </c>
      <c r="G228" s="57">
        <v>814.46874992257312</v>
      </c>
    </row>
    <row r="229" spans="1:7" ht="11.25" customHeight="1" x14ac:dyDescent="0.2">
      <c r="A229" s="64" t="s">
        <v>53</v>
      </c>
      <c r="B229" s="57">
        <v>0</v>
      </c>
      <c r="C229" s="57">
        <v>1421.9781600000013</v>
      </c>
      <c r="D229" s="57">
        <v>0</v>
      </c>
      <c r="E229" s="57">
        <v>814.46874992257312</v>
      </c>
      <c r="F229" s="57">
        <v>1421.9781600000013</v>
      </c>
      <c r="G229" s="57">
        <v>814.46874992257312</v>
      </c>
    </row>
    <row r="230" spans="1:7" ht="11.25" customHeight="1" x14ac:dyDescent="0.2">
      <c r="A230" s="65" t="s">
        <v>25</v>
      </c>
      <c r="B230" s="57">
        <v>0</v>
      </c>
      <c r="C230" s="57">
        <v>1421.9781600000013</v>
      </c>
      <c r="D230" s="57">
        <v>0</v>
      </c>
      <c r="E230" s="57">
        <v>814.46874992257312</v>
      </c>
      <c r="F230" s="57">
        <v>1421.9781600000013</v>
      </c>
      <c r="G230" s="57">
        <v>814.46874992257312</v>
      </c>
    </row>
    <row r="231" spans="1:7" ht="11.25" customHeight="1" x14ac:dyDescent="0.2">
      <c r="A231" s="66" t="s">
        <v>25</v>
      </c>
      <c r="B231" s="57">
        <v>0</v>
      </c>
      <c r="C231" s="57">
        <v>1421.9781600000013</v>
      </c>
      <c r="D231" s="57">
        <v>0</v>
      </c>
      <c r="E231" s="57">
        <v>814.46874992257312</v>
      </c>
      <c r="F231" s="57">
        <v>1421.9781600000013</v>
      </c>
      <c r="G231" s="57">
        <v>814.46874992257312</v>
      </c>
    </row>
    <row r="232" spans="1:7" ht="11.25" customHeight="1" x14ac:dyDescent="0.2">
      <c r="A232" s="67">
        <v>44287</v>
      </c>
      <c r="B232" s="57">
        <v>0</v>
      </c>
      <c r="C232" s="57">
        <v>162.42824000000013</v>
      </c>
      <c r="D232" s="57">
        <v>0</v>
      </c>
      <c r="E232" s="57">
        <v>93.034287942174643</v>
      </c>
      <c r="F232" s="57">
        <v>162.42824000000013</v>
      </c>
      <c r="G232" s="57">
        <v>93.034287942174643</v>
      </c>
    </row>
    <row r="233" spans="1:7" ht="11.25" customHeight="1" x14ac:dyDescent="0.2">
      <c r="A233" s="67">
        <v>44317</v>
      </c>
      <c r="B233" s="57">
        <v>0</v>
      </c>
      <c r="C233" s="57">
        <v>81.347040000000064</v>
      </c>
      <c r="D233" s="57">
        <v>0</v>
      </c>
      <c r="E233" s="57">
        <v>46.593276776277321</v>
      </c>
      <c r="F233" s="57">
        <v>81.347040000000064</v>
      </c>
      <c r="G233" s="57">
        <v>46.593276776277321</v>
      </c>
    </row>
    <row r="234" spans="1:7" ht="11.25" customHeight="1" x14ac:dyDescent="0.2">
      <c r="A234" s="67">
        <v>44348</v>
      </c>
      <c r="B234" s="57">
        <v>0</v>
      </c>
      <c r="C234" s="57">
        <v>166.94752000000014</v>
      </c>
      <c r="D234" s="57">
        <v>0</v>
      </c>
      <c r="E234" s="57">
        <v>95.622803318634496</v>
      </c>
      <c r="F234" s="57">
        <v>166.94752000000014</v>
      </c>
      <c r="G234" s="57">
        <v>95.622803318634496</v>
      </c>
    </row>
    <row r="235" spans="1:7" ht="11.25" customHeight="1" x14ac:dyDescent="0.2">
      <c r="A235" s="67">
        <v>44378</v>
      </c>
      <c r="B235" s="57">
        <v>0</v>
      </c>
      <c r="C235" s="57">
        <v>143.02192000000011</v>
      </c>
      <c r="D235" s="57">
        <v>0</v>
      </c>
      <c r="E235" s="57">
        <v>81.918898384435295</v>
      </c>
      <c r="F235" s="57">
        <v>143.02192000000011</v>
      </c>
      <c r="G235" s="57">
        <v>81.918898384435295</v>
      </c>
    </row>
    <row r="236" spans="1:7" ht="11.25" customHeight="1" x14ac:dyDescent="0.2">
      <c r="A236" s="67">
        <v>44409</v>
      </c>
      <c r="B236" s="57">
        <v>0</v>
      </c>
      <c r="C236" s="57">
        <v>136.7746800000001</v>
      </c>
      <c r="D236" s="57">
        <v>0</v>
      </c>
      <c r="E236" s="57">
        <v>78.340656540505492</v>
      </c>
      <c r="F236" s="57">
        <v>136.7746800000001</v>
      </c>
      <c r="G236" s="57">
        <v>78.340656540505492</v>
      </c>
    </row>
    <row r="237" spans="1:7" ht="11.25" customHeight="1" x14ac:dyDescent="0.2">
      <c r="A237" s="67">
        <v>44440</v>
      </c>
      <c r="B237" s="57">
        <v>0</v>
      </c>
      <c r="C237" s="57">
        <v>181.56872000000016</v>
      </c>
      <c r="D237" s="57">
        <v>0</v>
      </c>
      <c r="E237" s="57">
        <v>103.99741188953402</v>
      </c>
      <c r="F237" s="57">
        <v>181.56872000000016</v>
      </c>
      <c r="G237" s="57">
        <v>103.99741188953402</v>
      </c>
    </row>
    <row r="238" spans="1:7" ht="11.25" customHeight="1" x14ac:dyDescent="0.2">
      <c r="A238" s="67">
        <v>44470</v>
      </c>
      <c r="B238" s="57">
        <v>0</v>
      </c>
      <c r="C238" s="57">
        <v>225.43232000000017</v>
      </c>
      <c r="D238" s="57">
        <v>0</v>
      </c>
      <c r="E238" s="57">
        <v>129.12123760223258</v>
      </c>
      <c r="F238" s="57">
        <v>225.43232000000017</v>
      </c>
      <c r="G238" s="57">
        <v>129.12123760223258</v>
      </c>
    </row>
    <row r="239" spans="1:7" ht="11.25" customHeight="1" x14ac:dyDescent="0.2">
      <c r="A239" s="67">
        <v>44501</v>
      </c>
      <c r="B239" s="57">
        <v>0</v>
      </c>
      <c r="C239" s="57">
        <v>66.460000000000051</v>
      </c>
      <c r="D239" s="57">
        <v>0</v>
      </c>
      <c r="E239" s="57">
        <v>38.066402594997811</v>
      </c>
      <c r="F239" s="57">
        <v>66.460000000000051</v>
      </c>
      <c r="G239" s="57">
        <v>38.066402594997811</v>
      </c>
    </row>
    <row r="240" spans="1:7" ht="11.25" customHeight="1" x14ac:dyDescent="0.2">
      <c r="A240" s="67">
        <v>44531</v>
      </c>
      <c r="B240" s="57">
        <v>0</v>
      </c>
      <c r="C240" s="57">
        <v>49.579160000000037</v>
      </c>
      <c r="D240" s="57">
        <v>0</v>
      </c>
      <c r="E240" s="57">
        <v>28.397536335868367</v>
      </c>
      <c r="F240" s="57">
        <v>49.579160000000037</v>
      </c>
      <c r="G240" s="57">
        <v>28.397536335868367</v>
      </c>
    </row>
    <row r="241" spans="1:7" ht="11.25" customHeight="1" x14ac:dyDescent="0.2">
      <c r="A241" s="67">
        <v>44562</v>
      </c>
      <c r="B241" s="57">
        <v>0</v>
      </c>
      <c r="C241" s="57">
        <v>69.25132000000005</v>
      </c>
      <c r="D241" s="57">
        <v>0</v>
      </c>
      <c r="E241" s="57">
        <v>39.665191503987721</v>
      </c>
      <c r="F241" s="57">
        <v>69.25132000000005</v>
      </c>
      <c r="G241" s="57">
        <v>39.665191503987721</v>
      </c>
    </row>
    <row r="242" spans="1:7" ht="11.25" customHeight="1" x14ac:dyDescent="0.2">
      <c r="A242" s="67">
        <v>44593</v>
      </c>
      <c r="B242" s="57">
        <v>0</v>
      </c>
      <c r="C242" s="57">
        <v>60.079840000000047</v>
      </c>
      <c r="D242" s="57">
        <v>0</v>
      </c>
      <c r="E242" s="57">
        <v>34.412027945878023</v>
      </c>
      <c r="F242" s="57">
        <v>60.079840000000047</v>
      </c>
      <c r="G242" s="57">
        <v>34.412027945878023</v>
      </c>
    </row>
    <row r="243" spans="1:7" ht="11.25" customHeight="1" x14ac:dyDescent="0.2">
      <c r="A243" s="67">
        <v>44621</v>
      </c>
      <c r="B243" s="57">
        <v>0</v>
      </c>
      <c r="C243" s="57">
        <v>79.087400000000059</v>
      </c>
      <c r="D243" s="57">
        <v>0</v>
      </c>
      <c r="E243" s="57">
        <v>45.299019088047395</v>
      </c>
      <c r="F243" s="57">
        <v>79.087400000000059</v>
      </c>
      <c r="G243" s="57">
        <v>45.299019088047395</v>
      </c>
    </row>
    <row r="244" spans="1:7" ht="11.25" customHeight="1" x14ac:dyDescent="0.2">
      <c r="A244" s="63" t="s">
        <v>55</v>
      </c>
      <c r="B244" s="57">
        <v>0</v>
      </c>
      <c r="C244" s="57">
        <v>4442.0534800000032</v>
      </c>
      <c r="D244" s="57">
        <v>0</v>
      </c>
      <c r="E244" s="57">
        <v>2544.2822166444635</v>
      </c>
      <c r="F244" s="57">
        <v>4442.0534800000032</v>
      </c>
      <c r="G244" s="57">
        <v>2544.2822166444635</v>
      </c>
    </row>
    <row r="245" spans="1:7" ht="11.25" customHeight="1" x14ac:dyDescent="0.2">
      <c r="A245" s="64" t="s">
        <v>53</v>
      </c>
      <c r="B245" s="57">
        <v>0</v>
      </c>
      <c r="C245" s="57">
        <v>2540.3670400000019</v>
      </c>
      <c r="D245" s="57">
        <v>0</v>
      </c>
      <c r="E245" s="57">
        <v>1455.0501727911962</v>
      </c>
      <c r="F245" s="57">
        <v>2540.3670400000019</v>
      </c>
      <c r="G245" s="57">
        <v>1455.0501727911962</v>
      </c>
    </row>
    <row r="246" spans="1:7" ht="11.25" customHeight="1" x14ac:dyDescent="0.2">
      <c r="A246" s="65" t="s">
        <v>25</v>
      </c>
      <c r="B246" s="57">
        <v>0</v>
      </c>
      <c r="C246" s="57">
        <v>2540.3670400000019</v>
      </c>
      <c r="D246" s="57">
        <v>0</v>
      </c>
      <c r="E246" s="57">
        <v>1455.0501727911962</v>
      </c>
      <c r="F246" s="57">
        <v>2540.3670400000019</v>
      </c>
      <c r="G246" s="57">
        <v>1455.0501727911962</v>
      </c>
    </row>
    <row r="247" spans="1:7" ht="11.25" customHeight="1" x14ac:dyDescent="0.2">
      <c r="A247" s="66" t="s">
        <v>25</v>
      </c>
      <c r="B247" s="57">
        <v>0</v>
      </c>
      <c r="C247" s="57">
        <v>2540.3670400000019</v>
      </c>
      <c r="D247" s="57">
        <v>0</v>
      </c>
      <c r="E247" s="57">
        <v>1455.0501727911962</v>
      </c>
      <c r="F247" s="57">
        <v>2540.3670400000019</v>
      </c>
      <c r="G247" s="57">
        <v>1455.0501727911962</v>
      </c>
    </row>
    <row r="248" spans="1:7" ht="11.25" customHeight="1" x14ac:dyDescent="0.2">
      <c r="A248" s="67">
        <v>44409</v>
      </c>
      <c r="B248" s="57">
        <v>0</v>
      </c>
      <c r="C248" s="57">
        <v>783.8292400000006</v>
      </c>
      <c r="D248" s="57">
        <v>0</v>
      </c>
      <c r="E248" s="57">
        <v>448.9551522054042</v>
      </c>
      <c r="F248" s="57">
        <v>783.8292400000006</v>
      </c>
      <c r="G248" s="57">
        <v>448.9551522054042</v>
      </c>
    </row>
    <row r="249" spans="1:7" ht="11.25" customHeight="1" x14ac:dyDescent="0.2">
      <c r="A249" s="67">
        <v>44440</v>
      </c>
      <c r="B249" s="57">
        <v>0</v>
      </c>
      <c r="C249" s="57">
        <v>883.38632000000064</v>
      </c>
      <c r="D249" s="57">
        <v>0</v>
      </c>
      <c r="E249" s="57">
        <v>505.97862329271089</v>
      </c>
      <c r="F249" s="57">
        <v>883.38632000000064</v>
      </c>
      <c r="G249" s="57">
        <v>505.97862329271089</v>
      </c>
    </row>
    <row r="250" spans="1:7" ht="11.25" customHeight="1" x14ac:dyDescent="0.2">
      <c r="A250" s="67">
        <v>44470</v>
      </c>
      <c r="B250" s="57">
        <v>0</v>
      </c>
      <c r="C250" s="57">
        <v>586.57596000000046</v>
      </c>
      <c r="D250" s="57">
        <v>0</v>
      </c>
      <c r="E250" s="57">
        <v>335.97406930345068</v>
      </c>
      <c r="F250" s="57">
        <v>586.57596000000046</v>
      </c>
      <c r="G250" s="57">
        <v>335.97406930345068</v>
      </c>
    </row>
    <row r="251" spans="1:7" ht="11.25" customHeight="1" x14ac:dyDescent="0.2">
      <c r="A251" s="67">
        <v>44501</v>
      </c>
      <c r="B251" s="57">
        <v>0</v>
      </c>
      <c r="C251" s="57">
        <v>124.41312000000011</v>
      </c>
      <c r="D251" s="57">
        <v>0</v>
      </c>
      <c r="E251" s="57">
        <v>71.2603056578359</v>
      </c>
      <c r="F251" s="57">
        <v>124.41312000000011</v>
      </c>
      <c r="G251" s="57">
        <v>71.2603056578359</v>
      </c>
    </row>
    <row r="252" spans="1:7" ht="11.25" customHeight="1" x14ac:dyDescent="0.2">
      <c r="A252" s="67">
        <v>44562</v>
      </c>
      <c r="B252" s="57">
        <v>0</v>
      </c>
      <c r="C252" s="57">
        <v>113.91244000000009</v>
      </c>
      <c r="D252" s="57">
        <v>0</v>
      </c>
      <c r="E252" s="57">
        <v>65.245814047826244</v>
      </c>
      <c r="F252" s="57">
        <v>113.91244000000009</v>
      </c>
      <c r="G252" s="57">
        <v>65.245814047826244</v>
      </c>
    </row>
    <row r="253" spans="1:7" ht="11.25" customHeight="1" x14ac:dyDescent="0.2">
      <c r="A253" s="67">
        <v>44593</v>
      </c>
      <c r="B253" s="57">
        <v>0</v>
      </c>
      <c r="C253" s="57">
        <v>38.945560000000029</v>
      </c>
      <c r="D253" s="57">
        <v>0</v>
      </c>
      <c r="E253" s="57">
        <v>22.306911920668718</v>
      </c>
      <c r="F253" s="57">
        <v>38.945560000000029</v>
      </c>
      <c r="G253" s="57">
        <v>22.306911920668718</v>
      </c>
    </row>
    <row r="254" spans="1:7" ht="11.25" customHeight="1" x14ac:dyDescent="0.2">
      <c r="A254" s="67">
        <v>44621</v>
      </c>
      <c r="B254" s="57">
        <v>0</v>
      </c>
      <c r="C254" s="57">
        <v>9.3044000000000082</v>
      </c>
      <c r="D254" s="57">
        <v>0</v>
      </c>
      <c r="E254" s="57">
        <v>5.3292963632996937</v>
      </c>
      <c r="F254" s="57">
        <v>9.3044000000000082</v>
      </c>
      <c r="G254" s="57">
        <v>5.3292963632996937</v>
      </c>
    </row>
    <row r="255" spans="1:7" ht="11.25" customHeight="1" x14ac:dyDescent="0.2">
      <c r="A255" s="64" t="s">
        <v>54</v>
      </c>
      <c r="B255" s="57">
        <v>0</v>
      </c>
      <c r="C255" s="57">
        <v>1901.6864400000015</v>
      </c>
      <c r="D255" s="57">
        <v>0</v>
      </c>
      <c r="E255" s="57">
        <v>1089.2320438532674</v>
      </c>
      <c r="F255" s="57">
        <v>1901.6864400000015</v>
      </c>
      <c r="G255" s="57">
        <v>1089.2320438532674</v>
      </c>
    </row>
    <row r="256" spans="1:7" ht="11.25" customHeight="1" x14ac:dyDescent="0.2">
      <c r="A256" s="65" t="s">
        <v>25</v>
      </c>
      <c r="B256" s="57">
        <v>0</v>
      </c>
      <c r="C256" s="57">
        <v>1901.6864400000015</v>
      </c>
      <c r="D256" s="57">
        <v>0</v>
      </c>
      <c r="E256" s="57">
        <v>1089.2320438532674</v>
      </c>
      <c r="F256" s="57">
        <v>1901.6864400000015</v>
      </c>
      <c r="G256" s="57">
        <v>1089.2320438532674</v>
      </c>
    </row>
    <row r="257" spans="1:7" ht="11.25" customHeight="1" x14ac:dyDescent="0.2">
      <c r="A257" s="66" t="s">
        <v>25</v>
      </c>
      <c r="B257" s="57">
        <v>0</v>
      </c>
      <c r="C257" s="57">
        <v>1901.6864400000015</v>
      </c>
      <c r="D257" s="57">
        <v>0</v>
      </c>
      <c r="E257" s="57">
        <v>1089.2320438532674</v>
      </c>
      <c r="F257" s="57">
        <v>1901.6864400000015</v>
      </c>
      <c r="G257" s="57">
        <v>1089.2320438532674</v>
      </c>
    </row>
    <row r="258" spans="1:7" ht="11.25" customHeight="1" x14ac:dyDescent="0.2">
      <c r="A258" s="67">
        <v>44470</v>
      </c>
      <c r="B258" s="57">
        <v>0</v>
      </c>
      <c r="C258" s="57">
        <v>300.26628000000022</v>
      </c>
      <c r="D258" s="57">
        <v>0</v>
      </c>
      <c r="E258" s="57">
        <v>171.98400692420012</v>
      </c>
      <c r="F258" s="57">
        <v>300.26628000000022</v>
      </c>
      <c r="G258" s="57">
        <v>171.98400692420012</v>
      </c>
    </row>
    <row r="259" spans="1:7" ht="11.25" customHeight="1" x14ac:dyDescent="0.2">
      <c r="A259" s="67">
        <v>44501</v>
      </c>
      <c r="B259" s="57">
        <v>0</v>
      </c>
      <c r="C259" s="57">
        <v>290.43020000000024</v>
      </c>
      <c r="D259" s="57">
        <v>0</v>
      </c>
      <c r="E259" s="57">
        <v>166.35017934014044</v>
      </c>
      <c r="F259" s="57">
        <v>290.43020000000024</v>
      </c>
      <c r="G259" s="57">
        <v>166.35017934014044</v>
      </c>
    </row>
    <row r="260" spans="1:7" ht="11.25" customHeight="1" x14ac:dyDescent="0.2">
      <c r="A260" s="67">
        <v>44531</v>
      </c>
      <c r="B260" s="57">
        <v>0</v>
      </c>
      <c r="C260" s="57">
        <v>104.07636000000008</v>
      </c>
      <c r="D260" s="57">
        <v>0</v>
      </c>
      <c r="E260" s="57">
        <v>59.611986463766577</v>
      </c>
      <c r="F260" s="57">
        <v>104.07636000000008</v>
      </c>
      <c r="G260" s="57">
        <v>59.611986463766577</v>
      </c>
    </row>
    <row r="261" spans="1:7" ht="11.25" customHeight="1" x14ac:dyDescent="0.2">
      <c r="A261" s="67">
        <v>44562</v>
      </c>
      <c r="B261" s="57">
        <v>0</v>
      </c>
      <c r="C261" s="57">
        <v>454.32056000000034</v>
      </c>
      <c r="D261" s="57">
        <v>0</v>
      </c>
      <c r="E261" s="57">
        <v>260.22192813940507</v>
      </c>
      <c r="F261" s="57">
        <v>454.32056000000034</v>
      </c>
      <c r="G261" s="57">
        <v>260.22192813940507</v>
      </c>
    </row>
    <row r="262" spans="1:7" ht="11.25" customHeight="1" x14ac:dyDescent="0.2">
      <c r="A262" s="67">
        <v>44593</v>
      </c>
      <c r="B262" s="57">
        <v>0</v>
      </c>
      <c r="C262" s="57">
        <v>371.77724000000029</v>
      </c>
      <c r="D262" s="57">
        <v>0</v>
      </c>
      <c r="E262" s="57">
        <v>212.94345611641776</v>
      </c>
      <c r="F262" s="57">
        <v>371.77724000000029</v>
      </c>
      <c r="G262" s="57">
        <v>212.94345611641776</v>
      </c>
    </row>
    <row r="263" spans="1:7" ht="11.25" customHeight="1" x14ac:dyDescent="0.2">
      <c r="A263" s="67">
        <v>44621</v>
      </c>
      <c r="B263" s="57">
        <v>0</v>
      </c>
      <c r="C263" s="57">
        <v>380.81580000000031</v>
      </c>
      <c r="D263" s="57">
        <v>0</v>
      </c>
      <c r="E263" s="57">
        <v>218.12048686933747</v>
      </c>
      <c r="F263" s="57">
        <v>380.81580000000031</v>
      </c>
      <c r="G263" s="57">
        <v>218.12048686933747</v>
      </c>
    </row>
    <row r="264" spans="1:7" ht="11.25" customHeight="1" x14ac:dyDescent="0.2">
      <c r="A264" s="63" t="s">
        <v>25</v>
      </c>
      <c r="B264" s="57">
        <v>0</v>
      </c>
      <c r="C264" s="57">
        <v>72765.458960000047</v>
      </c>
      <c r="D264" s="57">
        <v>0</v>
      </c>
      <c r="E264" s="57">
        <v>41677.990607600819</v>
      </c>
      <c r="F264" s="57">
        <v>72765.458960000076</v>
      </c>
      <c r="G264" s="57">
        <v>41677.990607600834</v>
      </c>
    </row>
    <row r="265" spans="1:7" ht="11.25" customHeight="1" x14ac:dyDescent="0.2">
      <c r="A265" s="64" t="s">
        <v>25</v>
      </c>
      <c r="B265" s="57">
        <v>0</v>
      </c>
      <c r="C265" s="57">
        <v>72765.458960000047</v>
      </c>
      <c r="D265" s="57">
        <v>0</v>
      </c>
      <c r="E265" s="57">
        <v>41677.990607600819</v>
      </c>
      <c r="F265" s="57">
        <v>72765.458960000076</v>
      </c>
      <c r="G265" s="57">
        <v>41677.990607600834</v>
      </c>
    </row>
    <row r="266" spans="1:7" ht="11.25" customHeight="1" x14ac:dyDescent="0.2">
      <c r="A266" s="65" t="s">
        <v>25</v>
      </c>
      <c r="B266" s="57">
        <v>0</v>
      </c>
      <c r="C266" s="57">
        <v>72765.458960000047</v>
      </c>
      <c r="D266" s="57">
        <v>0</v>
      </c>
      <c r="E266" s="57">
        <v>41677.990607600819</v>
      </c>
      <c r="F266" s="57">
        <v>72765.458960000076</v>
      </c>
      <c r="G266" s="57">
        <v>41677.990607600834</v>
      </c>
    </row>
    <row r="267" spans="1:7" ht="11.25" customHeight="1" x14ac:dyDescent="0.2">
      <c r="A267" s="66" t="s">
        <v>25</v>
      </c>
      <c r="B267" s="57">
        <v>0</v>
      </c>
      <c r="C267" s="57">
        <v>72765.458960000047</v>
      </c>
      <c r="D267" s="57">
        <v>0</v>
      </c>
      <c r="E267" s="57">
        <v>41677.990607600819</v>
      </c>
      <c r="F267" s="57">
        <v>72765.458960000076</v>
      </c>
      <c r="G267" s="57">
        <v>41677.990607600834</v>
      </c>
    </row>
    <row r="268" spans="1:7" ht="11.25" customHeight="1" x14ac:dyDescent="0.2">
      <c r="A268" s="67">
        <v>44287</v>
      </c>
      <c r="B268" s="57">
        <v>0</v>
      </c>
      <c r="C268" s="57">
        <v>7526.9937600000058</v>
      </c>
      <c r="D268" s="57">
        <v>0</v>
      </c>
      <c r="E268" s="57">
        <v>4311.2484922990725</v>
      </c>
      <c r="F268" s="57">
        <v>7526.9937600000058</v>
      </c>
      <c r="G268" s="57">
        <v>4311.2484922990725</v>
      </c>
    </row>
    <row r="269" spans="1:7" ht="11.25" customHeight="1" x14ac:dyDescent="0.2">
      <c r="A269" s="67">
        <v>44317</v>
      </c>
      <c r="B269" s="57">
        <v>0</v>
      </c>
      <c r="C269" s="57">
        <v>5803.0213600000043</v>
      </c>
      <c r="D269" s="57">
        <v>0</v>
      </c>
      <c r="E269" s="57">
        <v>3323.8060089848286</v>
      </c>
      <c r="F269" s="57">
        <v>5803.0213600000043</v>
      </c>
      <c r="G269" s="57">
        <v>3323.8060089848286</v>
      </c>
    </row>
    <row r="270" spans="1:7" ht="11.25" customHeight="1" x14ac:dyDescent="0.2">
      <c r="A270" s="67">
        <v>44348</v>
      </c>
      <c r="B270" s="57">
        <v>0</v>
      </c>
      <c r="C270" s="57">
        <v>6370.1910000000044</v>
      </c>
      <c r="D270" s="57">
        <v>0</v>
      </c>
      <c r="E270" s="57">
        <v>3648.6646887305401</v>
      </c>
      <c r="F270" s="57">
        <v>6370.1910000000044</v>
      </c>
      <c r="G270" s="57">
        <v>3648.6646887305401</v>
      </c>
    </row>
    <row r="271" spans="1:7" ht="11.25" customHeight="1" x14ac:dyDescent="0.2">
      <c r="A271" s="67">
        <v>44378</v>
      </c>
      <c r="B271" s="57">
        <v>0</v>
      </c>
      <c r="C271" s="57">
        <v>8574.9350400000058</v>
      </c>
      <c r="D271" s="57">
        <v>0</v>
      </c>
      <c r="E271" s="57">
        <v>4911.4795284169968</v>
      </c>
      <c r="F271" s="57">
        <v>8574.9350400000058</v>
      </c>
      <c r="G271" s="57">
        <v>4911.4795284169968</v>
      </c>
    </row>
    <row r="272" spans="1:7" ht="11.25" customHeight="1" x14ac:dyDescent="0.2">
      <c r="A272" s="67">
        <v>44409</v>
      </c>
      <c r="B272" s="57">
        <v>0</v>
      </c>
      <c r="C272" s="57">
        <v>5305.5018000000036</v>
      </c>
      <c r="D272" s="57">
        <v>0</v>
      </c>
      <c r="E272" s="57">
        <v>3038.8409191586752</v>
      </c>
      <c r="F272" s="57">
        <v>5305.5018000000036</v>
      </c>
      <c r="G272" s="57">
        <v>3038.8409191586752</v>
      </c>
    </row>
    <row r="273" spans="1:7" ht="11.25" customHeight="1" x14ac:dyDescent="0.2">
      <c r="A273" s="67">
        <v>44440</v>
      </c>
      <c r="B273" s="57">
        <v>0</v>
      </c>
      <c r="C273" s="57">
        <v>5665.0504000000046</v>
      </c>
      <c r="D273" s="57">
        <v>0</v>
      </c>
      <c r="E273" s="57">
        <v>3244.7801571976133</v>
      </c>
      <c r="F273" s="57">
        <v>5665.0504000000046</v>
      </c>
      <c r="G273" s="57">
        <v>3244.7801571976133</v>
      </c>
    </row>
    <row r="274" spans="1:7" ht="11.25" customHeight="1" x14ac:dyDescent="0.2">
      <c r="A274" s="67">
        <v>44470</v>
      </c>
      <c r="B274" s="57">
        <v>0</v>
      </c>
      <c r="C274" s="57">
        <v>5406.9197600000043</v>
      </c>
      <c r="D274" s="57">
        <v>0</v>
      </c>
      <c r="E274" s="57">
        <v>3096.9302495186416</v>
      </c>
      <c r="F274" s="57">
        <v>5406.9197600000043</v>
      </c>
      <c r="G274" s="57">
        <v>3096.9302495186416</v>
      </c>
    </row>
    <row r="275" spans="1:7" ht="11.25" customHeight="1" x14ac:dyDescent="0.2">
      <c r="A275" s="67">
        <v>44501</v>
      </c>
      <c r="B275" s="57">
        <v>0</v>
      </c>
      <c r="C275" s="57">
        <v>5174.5756000000038</v>
      </c>
      <c r="D275" s="57">
        <v>0</v>
      </c>
      <c r="E275" s="57">
        <v>2963.8501060465292</v>
      </c>
      <c r="F275" s="57">
        <v>5174.5756000000038</v>
      </c>
      <c r="G275" s="57">
        <v>2963.8501060465292</v>
      </c>
    </row>
    <row r="276" spans="1:7" ht="11.25" customHeight="1" x14ac:dyDescent="0.2">
      <c r="A276" s="67">
        <v>44531</v>
      </c>
      <c r="B276" s="57">
        <v>0</v>
      </c>
      <c r="C276" s="57">
        <v>5496.1090800000047</v>
      </c>
      <c r="D276" s="57">
        <v>0</v>
      </c>
      <c r="E276" s="57">
        <v>3148.0153618011291</v>
      </c>
      <c r="F276" s="57">
        <v>5496.1090800000047</v>
      </c>
      <c r="G276" s="57">
        <v>3148.0153618011291</v>
      </c>
    </row>
    <row r="277" spans="1:7" ht="11.25" customHeight="1" x14ac:dyDescent="0.2">
      <c r="A277" s="67">
        <v>44562</v>
      </c>
      <c r="B277" s="57">
        <v>0</v>
      </c>
      <c r="C277" s="57">
        <v>5864.0316400000038</v>
      </c>
      <c r="D277" s="57">
        <v>0</v>
      </c>
      <c r="E277" s="57">
        <v>3358.7509665670364</v>
      </c>
      <c r="F277" s="57">
        <v>5864.0316400000038</v>
      </c>
      <c r="G277" s="57">
        <v>3358.7509665670364</v>
      </c>
    </row>
    <row r="278" spans="1:7" ht="11.25" customHeight="1" x14ac:dyDescent="0.2">
      <c r="A278" s="67">
        <v>44593</v>
      </c>
      <c r="B278" s="57">
        <v>0</v>
      </c>
      <c r="C278" s="57">
        <v>5891.5460800000046</v>
      </c>
      <c r="D278" s="57">
        <v>0</v>
      </c>
      <c r="E278" s="57">
        <v>3374.5104572413661</v>
      </c>
      <c r="F278" s="57">
        <v>5891.5460800000046</v>
      </c>
      <c r="G278" s="57">
        <v>3374.5104572413661</v>
      </c>
    </row>
    <row r="279" spans="1:7" ht="11.25" customHeight="1" x14ac:dyDescent="0.2">
      <c r="A279" s="67">
        <v>44621</v>
      </c>
      <c r="B279" s="57">
        <v>0</v>
      </c>
      <c r="C279" s="57">
        <v>5686.583440000004</v>
      </c>
      <c r="D279" s="57">
        <v>0</v>
      </c>
      <c r="E279" s="57">
        <v>3257.113671638393</v>
      </c>
      <c r="F279" s="57">
        <v>5686.583440000004</v>
      </c>
      <c r="G279" s="57">
        <v>3257.113671638393</v>
      </c>
    </row>
    <row r="280" spans="1:7" ht="11.25" customHeight="1" x14ac:dyDescent="0.2">
      <c r="A280" s="59" t="s">
        <v>676</v>
      </c>
      <c r="B280" s="57">
        <v>0</v>
      </c>
      <c r="C280" s="57">
        <v>0</v>
      </c>
      <c r="D280" s="57">
        <v>0</v>
      </c>
      <c r="E280" s="57">
        <v>0</v>
      </c>
      <c r="F280" s="57">
        <v>0</v>
      </c>
      <c r="G280" s="57">
        <v>0</v>
      </c>
    </row>
    <row r="281" spans="1:7" ht="11.25" customHeight="1" x14ac:dyDescent="0.2">
      <c r="A281" s="60" t="s">
        <v>22</v>
      </c>
      <c r="B281" s="57">
        <v>0</v>
      </c>
      <c r="C281" s="57">
        <v>0</v>
      </c>
      <c r="D281" s="57">
        <v>0</v>
      </c>
      <c r="E281" s="57">
        <v>0</v>
      </c>
      <c r="F281" s="57">
        <v>0</v>
      </c>
      <c r="G281" s="57">
        <v>0</v>
      </c>
    </row>
    <row r="282" spans="1:7" ht="11.25" customHeight="1" x14ac:dyDescent="0.2">
      <c r="A282" s="61" t="s">
        <v>23</v>
      </c>
      <c r="B282" s="57">
        <v>0</v>
      </c>
      <c r="C282" s="57">
        <v>0</v>
      </c>
      <c r="D282" s="57">
        <v>0</v>
      </c>
      <c r="E282" s="57">
        <v>0</v>
      </c>
      <c r="F282" s="57">
        <v>0</v>
      </c>
      <c r="G282" s="57">
        <v>0</v>
      </c>
    </row>
    <row r="283" spans="1:7" ht="11.25" customHeight="1" x14ac:dyDescent="0.2">
      <c r="A283" s="62" t="s">
        <v>24</v>
      </c>
      <c r="B283" s="57">
        <v>0</v>
      </c>
      <c r="C283" s="57">
        <v>0</v>
      </c>
      <c r="D283" s="57">
        <v>0</v>
      </c>
      <c r="E283" s="57">
        <v>0</v>
      </c>
      <c r="F283" s="57">
        <v>0</v>
      </c>
      <c r="G283" s="57">
        <v>0</v>
      </c>
    </row>
    <row r="284" spans="1:7" ht="11.25" customHeight="1" x14ac:dyDescent="0.2">
      <c r="A284" s="63" t="s">
        <v>24</v>
      </c>
      <c r="B284" s="57">
        <v>0</v>
      </c>
      <c r="C284" s="57">
        <v>0</v>
      </c>
      <c r="D284" s="57">
        <v>0</v>
      </c>
      <c r="E284" s="57">
        <v>0</v>
      </c>
      <c r="F284" s="57">
        <v>0</v>
      </c>
      <c r="G284" s="57">
        <v>0</v>
      </c>
    </row>
    <row r="285" spans="1:7" ht="11.25" customHeight="1" x14ac:dyDescent="0.2">
      <c r="A285" s="64" t="s">
        <v>25</v>
      </c>
      <c r="B285" s="57">
        <v>0</v>
      </c>
      <c r="C285" s="57">
        <v>0</v>
      </c>
      <c r="D285" s="57">
        <v>0</v>
      </c>
      <c r="E285" s="57">
        <v>0</v>
      </c>
      <c r="F285" s="57">
        <v>0</v>
      </c>
      <c r="G285" s="57">
        <v>0</v>
      </c>
    </row>
    <row r="286" spans="1:7" ht="11.25" customHeight="1" x14ac:dyDescent="0.2">
      <c r="A286" s="65" t="s">
        <v>25</v>
      </c>
      <c r="B286" s="57">
        <v>0</v>
      </c>
      <c r="C286" s="57">
        <v>0</v>
      </c>
      <c r="D286" s="57">
        <v>0</v>
      </c>
      <c r="E286" s="57">
        <v>0</v>
      </c>
      <c r="F286" s="57">
        <v>0</v>
      </c>
      <c r="G286" s="57">
        <v>0</v>
      </c>
    </row>
    <row r="287" spans="1:7" ht="11.25" customHeight="1" x14ac:dyDescent="0.2">
      <c r="A287" s="66" t="s">
        <v>25</v>
      </c>
      <c r="B287" s="57">
        <v>0</v>
      </c>
      <c r="C287" s="57">
        <v>0</v>
      </c>
      <c r="D287" s="57">
        <v>0</v>
      </c>
      <c r="E287" s="57">
        <v>0</v>
      </c>
      <c r="F287" s="57">
        <v>0</v>
      </c>
      <c r="G287" s="57">
        <v>0</v>
      </c>
    </row>
    <row r="288" spans="1:7" ht="11.25" customHeight="1" x14ac:dyDescent="0.2">
      <c r="A288" s="67">
        <v>44287</v>
      </c>
      <c r="B288" s="57">
        <v>0</v>
      </c>
      <c r="C288" s="57">
        <v>0</v>
      </c>
      <c r="D288" s="57">
        <v>0</v>
      </c>
      <c r="E288" s="57">
        <v>0</v>
      </c>
      <c r="F288" s="57">
        <v>0</v>
      </c>
      <c r="G288" s="5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6A1A-49A9-41F4-AA63-56E8C7D99347}">
  <dimension ref="A1:V35"/>
  <sheetViews>
    <sheetView showGridLines="0" workbookViewId="0">
      <selection sqref="A1:J1"/>
    </sheetView>
  </sheetViews>
  <sheetFormatPr defaultRowHeight="11.25" customHeight="1" x14ac:dyDescent="0.3"/>
  <cols>
    <col min="1" max="1" width="9" style="76" bestFit="1" customWidth="1"/>
    <col min="2" max="2" width="10.33203125" style="76" bestFit="1" customWidth="1"/>
    <col min="3" max="3" width="9.5546875" style="76" bestFit="1" customWidth="1"/>
    <col min="4" max="4" width="5.88671875" style="76" bestFit="1" customWidth="1"/>
    <col min="5" max="10" width="7.77734375" style="76" customWidth="1"/>
    <col min="11" max="12" width="8.88671875" style="76"/>
    <col min="13" max="13" width="14.33203125" style="76" customWidth="1"/>
    <col min="14" max="14" width="16.77734375" style="76" customWidth="1"/>
    <col min="15" max="15" width="31.77734375" style="76" customWidth="1"/>
    <col min="16" max="22" width="7.77734375" style="76" customWidth="1"/>
    <col min="23" max="16384" width="8.88671875" style="76"/>
  </cols>
  <sheetData>
    <row r="1" spans="1:22" ht="11.25" customHeight="1" x14ac:dyDescent="0.3">
      <c r="A1" s="118" t="s">
        <v>746</v>
      </c>
      <c r="B1" s="134"/>
      <c r="C1" s="134"/>
      <c r="D1" s="134"/>
      <c r="E1" s="134"/>
      <c r="F1" s="134"/>
      <c r="G1" s="134"/>
      <c r="H1" s="134"/>
      <c r="I1" s="134"/>
      <c r="J1" s="134"/>
      <c r="L1" s="118" t="s">
        <v>756</v>
      </c>
      <c r="M1" s="119"/>
      <c r="N1" s="119"/>
      <c r="O1" s="119"/>
      <c r="P1" s="119"/>
      <c r="Q1" s="119"/>
      <c r="R1" s="119"/>
      <c r="S1" s="119"/>
      <c r="T1" s="119"/>
      <c r="U1" s="119"/>
      <c r="V1" s="119"/>
    </row>
    <row r="2" spans="1:22" ht="11.25" customHeight="1" x14ac:dyDescent="0.3">
      <c r="A2" s="130" t="s">
        <v>62</v>
      </c>
      <c r="B2" s="130" t="s">
        <v>63</v>
      </c>
      <c r="C2" s="130" t="s">
        <v>747</v>
      </c>
      <c r="D2" s="130" t="s">
        <v>68</v>
      </c>
      <c r="E2" s="130" t="s">
        <v>748</v>
      </c>
      <c r="F2" s="133"/>
      <c r="G2" s="133"/>
      <c r="H2" s="130" t="s">
        <v>511</v>
      </c>
      <c r="I2" s="133"/>
      <c r="J2" s="133"/>
      <c r="L2" s="130" t="s">
        <v>62</v>
      </c>
      <c r="M2" s="130" t="s">
        <v>63</v>
      </c>
      <c r="N2" s="130" t="s">
        <v>64</v>
      </c>
      <c r="O2" s="130" t="s">
        <v>65</v>
      </c>
      <c r="P2" s="130" t="s">
        <v>68</v>
      </c>
      <c r="Q2" s="130" t="s">
        <v>748</v>
      </c>
      <c r="R2" s="135"/>
      <c r="S2" s="135"/>
      <c r="T2" s="130" t="s">
        <v>511</v>
      </c>
      <c r="U2" s="135"/>
      <c r="V2" s="135"/>
    </row>
    <row r="3" spans="1:22" ht="11.25" customHeight="1" x14ac:dyDescent="0.3">
      <c r="A3" s="133"/>
      <c r="B3" s="133"/>
      <c r="C3" s="133"/>
      <c r="D3" s="133"/>
      <c r="E3" s="130" t="s">
        <v>470</v>
      </c>
      <c r="F3" s="133"/>
      <c r="G3" s="92" t="s">
        <v>498</v>
      </c>
      <c r="H3" s="130" t="s">
        <v>470</v>
      </c>
      <c r="I3" s="133"/>
      <c r="J3" s="92" t="s">
        <v>498</v>
      </c>
      <c r="L3" s="135"/>
      <c r="M3" s="135"/>
      <c r="N3" s="135"/>
      <c r="O3" s="135"/>
      <c r="P3" s="135"/>
      <c r="Q3" s="130" t="s">
        <v>470</v>
      </c>
      <c r="R3" s="135"/>
      <c r="S3" s="92" t="s">
        <v>498</v>
      </c>
      <c r="T3" s="130" t="s">
        <v>470</v>
      </c>
      <c r="U3" s="135"/>
      <c r="V3" s="92" t="s">
        <v>498</v>
      </c>
    </row>
    <row r="4" spans="1:22" ht="11.25" customHeight="1" x14ac:dyDescent="0.3">
      <c r="A4" s="133"/>
      <c r="B4" s="133"/>
      <c r="C4" s="133"/>
      <c r="D4" s="133"/>
      <c r="E4" s="92" t="s">
        <v>749</v>
      </c>
      <c r="F4" s="92" t="s">
        <v>750</v>
      </c>
      <c r="G4" s="92" t="s">
        <v>750</v>
      </c>
      <c r="H4" s="92" t="s">
        <v>749</v>
      </c>
      <c r="I4" s="92" t="s">
        <v>750</v>
      </c>
      <c r="J4" s="92" t="s">
        <v>750</v>
      </c>
      <c r="L4" s="135"/>
      <c r="M4" s="135"/>
      <c r="N4" s="135"/>
      <c r="O4" s="135"/>
      <c r="P4" s="135"/>
      <c r="Q4" s="92" t="s">
        <v>749</v>
      </c>
      <c r="R4" s="92" t="s">
        <v>750</v>
      </c>
      <c r="S4" s="92" t="s">
        <v>750</v>
      </c>
      <c r="T4" s="92" t="s">
        <v>749</v>
      </c>
      <c r="U4" s="92" t="s">
        <v>750</v>
      </c>
      <c r="V4" s="92" t="s">
        <v>750</v>
      </c>
    </row>
    <row r="5" spans="1:22" ht="11.25" customHeight="1" x14ac:dyDescent="0.3">
      <c r="A5" s="132" t="s">
        <v>37</v>
      </c>
      <c r="B5" s="132" t="s">
        <v>41</v>
      </c>
      <c r="C5" s="132" t="s">
        <v>25</v>
      </c>
      <c r="D5" s="93" t="s">
        <v>751</v>
      </c>
      <c r="E5" s="45">
        <f ca="1">ROUND('TUSD BE'!$AM$5+'TUSD BF'!$AM$5+'TUSD CVA'!$AM$5,2)</f>
        <v>204.33</v>
      </c>
      <c r="F5" s="45">
        <f ca="1">ROUND('TUSD BE'!$AM$7+'TUSD BF'!$AM$7+'TUSD CVA'!$AM$7,2)</f>
        <v>133.18</v>
      </c>
      <c r="G5" s="45">
        <f>ROUND('TE BE'!$AA$5+'TE BF'!$AA$5+'TE CVA'!$AA$5,2)</f>
        <v>330.73</v>
      </c>
      <c r="H5" s="45">
        <f ca="1">ROUND('TUSD BE'!$AM$5,2)</f>
        <v>221.71</v>
      </c>
      <c r="I5" s="45">
        <f ca="1">ROUND('TUSD BE'!$AM$7,2)</f>
        <v>127.12</v>
      </c>
      <c r="J5" s="45">
        <f>ROUND('TE BE'!$AA$5,2)</f>
        <v>253.58</v>
      </c>
      <c r="L5" s="136" t="s">
        <v>22</v>
      </c>
      <c r="M5" s="136" t="s">
        <v>757</v>
      </c>
      <c r="N5" s="136" t="s">
        <v>758</v>
      </c>
      <c r="O5" s="136" t="s">
        <v>758</v>
      </c>
      <c r="P5" s="93" t="s">
        <v>751</v>
      </c>
      <c r="Q5" s="45">
        <v>0</v>
      </c>
      <c r="R5" s="45">
        <f ca="1">ROUND('TUSD BE'!$AM$17+'TUSD BF'!$AM$17+'TUSD CVA'!$AM$17,2)</f>
        <v>2360.33</v>
      </c>
      <c r="S5" s="45">
        <f>ROUND('TE BE'!$AA$8+'TE BF'!$AA$8+'TE CVA'!$AA$8,2)</f>
        <v>330.73</v>
      </c>
      <c r="T5" s="45">
        <v>0</v>
      </c>
      <c r="U5" s="45">
        <f ca="1">ROUND('TUSD BE'!$AM$17,2)</f>
        <v>2555.59</v>
      </c>
      <c r="V5" s="45">
        <f>ROUND('TE BE'!$AA$8,2)</f>
        <v>253.58</v>
      </c>
    </row>
    <row r="6" spans="1:22" ht="11.25" customHeight="1" x14ac:dyDescent="0.3">
      <c r="A6" s="133"/>
      <c r="B6" s="133"/>
      <c r="C6" s="133"/>
      <c r="D6" s="93" t="s">
        <v>752</v>
      </c>
      <c r="E6" s="45">
        <f ca="1">ROUND('TUSD BE'!$AM$6+'TUSD BF'!$AM$6+'TUSD CVA'!$AM$6,2)</f>
        <v>81.040000000000006</v>
      </c>
      <c r="F6" s="45">
        <f ca="1">ROUND('TUSD BE'!$AM$7+'TUSD BF'!$AM$7+'TUSD CVA'!$AM$7,2)</f>
        <v>133.18</v>
      </c>
      <c r="G6" s="45">
        <f>ROUND('TE BE'!$AA$6+'TE BF'!$AA$6+'TE CVA'!$AA$6,2)</f>
        <v>330.73</v>
      </c>
      <c r="H6" s="45">
        <f ca="1">ROUND('TUSD BE'!$AM$6,2)</f>
        <v>83.44</v>
      </c>
      <c r="I6" s="45">
        <f ca="1">ROUND('TUSD BE'!$AM$7,2)</f>
        <v>127.12</v>
      </c>
      <c r="J6" s="45">
        <f>ROUND('TE BE'!$AA$6,2)</f>
        <v>253.58</v>
      </c>
      <c r="L6" s="137"/>
      <c r="M6" s="137"/>
      <c r="N6" s="137"/>
      <c r="O6" s="137"/>
      <c r="P6" s="93" t="s">
        <v>759</v>
      </c>
      <c r="Q6" s="45">
        <v>0</v>
      </c>
      <c r="R6" s="45">
        <f ca="1">ROUND('TUSD BE'!$AM$18+'TUSD BF'!$AM$18+'TUSD CVA'!$AM$18,2)</f>
        <v>1484.72</v>
      </c>
      <c r="S6" s="45">
        <f>ROUND('TE BE'!$AA$9+'TE BF'!$AA$9+'TE CVA'!$AA$9,2)</f>
        <v>330.73</v>
      </c>
      <c r="T6" s="45">
        <v>0</v>
      </c>
      <c r="U6" s="45">
        <f ca="1">ROUND('TUSD BE'!$AM$18,2)</f>
        <v>1597.6</v>
      </c>
      <c r="V6" s="45">
        <f>ROUND('TE BE'!$AA$9,2)</f>
        <v>253.58</v>
      </c>
    </row>
    <row r="7" spans="1:22" ht="11.25" customHeight="1" x14ac:dyDescent="0.3">
      <c r="A7" s="133"/>
      <c r="B7" s="132" t="s">
        <v>753</v>
      </c>
      <c r="C7" s="132" t="s">
        <v>25</v>
      </c>
      <c r="D7" s="93" t="s">
        <v>751</v>
      </c>
      <c r="E7" s="45">
        <f ca="1">ROUND('TUSD BE'!$AM$5+'TUSD BF'!$AM$5+'TUSD CVA'!$AM$5,2)</f>
        <v>204.33</v>
      </c>
      <c r="F7" s="45">
        <f ca="1">ROUND('TUSD BE'!$AM$8+'TUSD BF'!$AM$8+'TUSD CVA'!$AM$8,2)</f>
        <v>28.74</v>
      </c>
      <c r="G7" s="45">
        <v>0</v>
      </c>
      <c r="H7" s="45">
        <f ca="1">ROUND('TUSD BE'!$AM$5,2)</f>
        <v>221.71</v>
      </c>
      <c r="I7" s="45">
        <f ca="1">ROUND('TUSD BE'!$AM$8,2)</f>
        <v>22.55</v>
      </c>
      <c r="J7" s="45">
        <v>0</v>
      </c>
      <c r="L7" s="137"/>
      <c r="M7" s="138"/>
      <c r="N7" s="138"/>
      <c r="O7" s="138"/>
      <c r="P7" s="93" t="s">
        <v>752</v>
      </c>
      <c r="Q7" s="45">
        <v>0</v>
      </c>
      <c r="R7" s="45">
        <f ca="1">ROUND('TUSD BE'!$AM$19+'TUSD BF'!$AM$19+'TUSD CVA'!$AM$19,2)</f>
        <v>609.11</v>
      </c>
      <c r="S7" s="45">
        <f>ROUND('TE BE'!$AA$10+'TE BF'!$AA$10+'TE CVA'!$AA$10,2)</f>
        <v>330.73</v>
      </c>
      <c r="T7" s="45">
        <v>0</v>
      </c>
      <c r="U7" s="45">
        <f ca="1">ROUND('TUSD BE'!$AM$19,2)</f>
        <v>639.62</v>
      </c>
      <c r="V7" s="45">
        <f>ROUND('TE BE'!$AA$10,2)</f>
        <v>253.58</v>
      </c>
    </row>
    <row r="8" spans="1:22" ht="11.25" customHeight="1" x14ac:dyDescent="0.3">
      <c r="A8" s="133"/>
      <c r="B8" s="133"/>
      <c r="C8" s="133"/>
      <c r="D8" s="93" t="s">
        <v>752</v>
      </c>
      <c r="E8" s="45">
        <f ca="1">ROUND('TUSD BE'!$AM$6+'TUSD BF'!$AM$6+'TUSD CVA'!$AM$6,2)</f>
        <v>81.040000000000006</v>
      </c>
      <c r="F8" s="45">
        <f ca="1">ROUND('TUSD BE'!$AM$8+'TUSD BF'!$AM$8+'TUSD CVA'!$AM$8,2)</f>
        <v>28.74</v>
      </c>
      <c r="G8" s="45">
        <v>0</v>
      </c>
      <c r="H8" s="45">
        <f ca="1">ROUND('TUSD BE'!$AM$6,2)</f>
        <v>83.44</v>
      </c>
      <c r="I8" s="45">
        <f ca="1">ROUND('TUSD BE'!$AM$8,2)</f>
        <v>22.55</v>
      </c>
      <c r="J8" s="45">
        <v>0</v>
      </c>
      <c r="L8" s="137"/>
      <c r="M8" s="93" t="s">
        <v>760</v>
      </c>
      <c r="N8" s="93" t="s">
        <v>758</v>
      </c>
      <c r="O8" s="93" t="s">
        <v>758</v>
      </c>
      <c r="P8" s="93" t="s">
        <v>754</v>
      </c>
      <c r="Q8" s="45">
        <v>0</v>
      </c>
      <c r="R8" s="45">
        <f ca="1">ROUND('TUSD BE'!$AM$25+'TUSD BF'!$AM$25+'TUSD CVA'!$AM$25,2)</f>
        <v>982.06</v>
      </c>
      <c r="S8" s="45">
        <f>ROUND('TE BE'!$AA$16+'TE BF'!$AA$16+'TE CVA'!$AA$16,2)</f>
        <v>330.73</v>
      </c>
      <c r="T8" s="45">
        <v>0</v>
      </c>
      <c r="U8" s="45">
        <f ca="1">ROUND('TUSD BE'!$AM$25,2)</f>
        <v>1047.6500000000001</v>
      </c>
      <c r="V8" s="45">
        <f>ROUND('TE BE'!$AA$16,2)</f>
        <v>253.58</v>
      </c>
    </row>
    <row r="9" spans="1:22" ht="11.25" customHeight="1" x14ac:dyDescent="0.3">
      <c r="A9" s="133"/>
      <c r="B9" s="132" t="s">
        <v>38</v>
      </c>
      <c r="C9" s="132" t="s">
        <v>25</v>
      </c>
      <c r="D9" s="93" t="s">
        <v>754</v>
      </c>
      <c r="E9" s="45">
        <f ca="1">ROUND('TUSD BE'!$AM$10+'TUSD BF'!$AM$10+'TUSD CVA'!$AM$10,2)</f>
        <v>81.040000000000006</v>
      </c>
      <c r="F9" s="45">
        <v>0</v>
      </c>
      <c r="G9" s="45">
        <v>0</v>
      </c>
      <c r="H9" s="45">
        <f ca="1">ROUND('TUSD BE'!$AM$10,2)</f>
        <v>83.44</v>
      </c>
      <c r="I9" s="45">
        <v>0</v>
      </c>
      <c r="J9" s="45">
        <v>0</v>
      </c>
      <c r="L9" s="137"/>
      <c r="M9" s="93" t="s">
        <v>762</v>
      </c>
      <c r="N9" s="93" t="s">
        <v>758</v>
      </c>
      <c r="O9" s="93" t="s">
        <v>758</v>
      </c>
      <c r="P9" s="93" t="s">
        <v>754</v>
      </c>
      <c r="Q9" s="45">
        <v>0</v>
      </c>
      <c r="R9" s="45">
        <f ca="1">ROUND('TUSD BE'!$AM$20+'TUSD BF'!$AM$20+'TUSD CVA'!$AM$20,2)</f>
        <v>982.06</v>
      </c>
      <c r="S9" s="45">
        <f>ROUND('TE BE'!$AA$11+'TE BF'!$AA$11+'TE CVA'!$AA$11,2)</f>
        <v>330.73</v>
      </c>
      <c r="T9" s="45">
        <v>0</v>
      </c>
      <c r="U9" s="45">
        <f ca="1">ROUND('TUSD BE'!$AM$20,2)</f>
        <v>1047.6500000000001</v>
      </c>
      <c r="V9" s="45">
        <f>ROUND('TE BE'!$AA$11,2)</f>
        <v>253.58</v>
      </c>
    </row>
    <row r="10" spans="1:22" ht="11.25" customHeight="1" x14ac:dyDescent="0.3">
      <c r="A10" s="133"/>
      <c r="B10" s="133"/>
      <c r="C10" s="133"/>
      <c r="D10" s="93" t="s">
        <v>751</v>
      </c>
      <c r="E10" s="45">
        <v>0</v>
      </c>
      <c r="F10" s="45">
        <f ca="1">ROUND('TUSD BE'!$AM$11+'TUSD BF'!$AM$11+'TUSD CVA'!$AM$11,2)</f>
        <v>5047.46</v>
      </c>
      <c r="G10" s="45">
        <f>ROUND('TE BE'!$AA$5+'TE BF'!$AA$5+'TE CVA'!$AA$5,2)</f>
        <v>330.73</v>
      </c>
      <c r="H10" s="45">
        <v>0</v>
      </c>
      <c r="I10" s="45">
        <f ca="1">ROUND('TUSD BE'!$AM$11,2)</f>
        <v>5459.16</v>
      </c>
      <c r="J10" s="45">
        <f>ROUND('TE BE'!$AA$5,2)</f>
        <v>253.58</v>
      </c>
      <c r="L10" s="137"/>
      <c r="M10" s="93" t="s">
        <v>760</v>
      </c>
      <c r="N10" s="93" t="s">
        <v>758</v>
      </c>
      <c r="O10" s="93" t="s">
        <v>761</v>
      </c>
      <c r="P10" s="93" t="s">
        <v>754</v>
      </c>
      <c r="Q10" s="45">
        <v>0</v>
      </c>
      <c r="R10" s="45">
        <f ca="1">ROUND('TUSD BE'!$AM$26+'TUSD BF'!$AM$26+'TUSD CVA'!$AM$26,2)</f>
        <v>860.64</v>
      </c>
      <c r="S10" s="45">
        <f>ROUND('TE BE'!$AA$17+'TE BF'!$AA$17+'TE CVA'!$AA$17,2)</f>
        <v>330.73</v>
      </c>
      <c r="T10" s="45">
        <v>0</v>
      </c>
      <c r="U10" s="45">
        <f ca="1">ROUND('TUSD BE'!$AM$26,2)</f>
        <v>926.07</v>
      </c>
      <c r="V10" s="45">
        <f>ROUND('TE BE'!$AA$17,2)</f>
        <v>253.58</v>
      </c>
    </row>
    <row r="11" spans="1:22" ht="11.25" customHeight="1" x14ac:dyDescent="0.3">
      <c r="A11" s="133"/>
      <c r="B11" s="133"/>
      <c r="C11" s="133"/>
      <c r="D11" s="93" t="s">
        <v>752</v>
      </c>
      <c r="E11" s="45">
        <v>0</v>
      </c>
      <c r="F11" s="45">
        <f ca="1">ROUND('TUSD BE'!$AM$12+'TUSD BF'!$AM$12+'TUSD CVA'!$AM$12,2)</f>
        <v>133.18</v>
      </c>
      <c r="G11" s="45">
        <f>ROUND('TE BE'!$AA$6+'TE BF'!$AA$6+'TE CVA'!$AA$6,2)</f>
        <v>330.73</v>
      </c>
      <c r="H11" s="45">
        <v>0</v>
      </c>
      <c r="I11" s="45">
        <f ca="1">ROUND('TUSD BE'!$AM$12,2)</f>
        <v>127.12</v>
      </c>
      <c r="J11" s="45">
        <f>ROUND('TE BE'!$AA$6,2)</f>
        <v>253.58</v>
      </c>
      <c r="L11" s="138"/>
      <c r="M11" s="93" t="s">
        <v>762</v>
      </c>
      <c r="N11" s="93" t="s">
        <v>758</v>
      </c>
      <c r="O11" s="93" t="s">
        <v>761</v>
      </c>
      <c r="P11" s="93" t="s">
        <v>754</v>
      </c>
      <c r="Q11" s="45">
        <v>0</v>
      </c>
      <c r="R11" s="45">
        <f ca="1">ROUND('TUSD BE'!$AM$21+'TUSD BF'!$AM$21+'TUSD CVA'!$AM$21,2)</f>
        <v>860.64</v>
      </c>
      <c r="S11" s="45">
        <f>ROUND('TE BE'!$AA$12+'TE BF'!$AA$12+'TE CVA'!$AA$12,2)</f>
        <v>330.73</v>
      </c>
      <c r="T11" s="45">
        <v>0</v>
      </c>
      <c r="U11" s="45">
        <f ca="1">ROUND('TUSD BE'!$AM$21,2)</f>
        <v>926.07</v>
      </c>
      <c r="V11" s="45">
        <f>ROUND('TE BE'!$AA$12,2)</f>
        <v>253.58</v>
      </c>
    </row>
    <row r="12" spans="1:22" ht="11.25" customHeight="1" x14ac:dyDescent="0.3">
      <c r="A12" s="133"/>
      <c r="B12" s="132" t="s">
        <v>755</v>
      </c>
      <c r="C12" s="132" t="s">
        <v>25</v>
      </c>
      <c r="D12" s="93" t="s">
        <v>754</v>
      </c>
      <c r="E12" s="45">
        <f ca="1">ROUND('TUSD BE'!$AM$10+'TUSD BF'!$AM$10+'TUSD CVA'!$AM$10,2)</f>
        <v>81.040000000000006</v>
      </c>
      <c r="F12" s="45">
        <v>0</v>
      </c>
      <c r="G12" s="45">
        <v>0</v>
      </c>
      <c r="H12" s="45">
        <f ca="1">ROUND('TUSD BE'!$AM$10,2)</f>
        <v>83.44</v>
      </c>
      <c r="I12" s="45">
        <v>0</v>
      </c>
      <c r="J12" s="45">
        <v>0</v>
      </c>
      <c r="L12" s="136" t="s">
        <v>43</v>
      </c>
      <c r="M12" s="136" t="s">
        <v>757</v>
      </c>
      <c r="N12" s="136" t="s">
        <v>763</v>
      </c>
      <c r="O12" s="136" t="s">
        <v>764</v>
      </c>
      <c r="P12" s="93" t="s">
        <v>751</v>
      </c>
      <c r="Q12" s="45">
        <v>0</v>
      </c>
      <c r="R12" s="45">
        <f ca="1">ROUND(('TUSD BE'!$AM$30+'TUSD BF'!$AM$30+'TUSD CVA'!$AM$30)*(1-CUSTOS!$M$38),2)</f>
        <v>2142.5</v>
      </c>
      <c r="S12" s="45">
        <f>ROUND(('TE BE'!$AA$21+'TE BF'!$AA$21+'TE CVA'!$AA$21)*(1-CUSTOS!$M$38),2)</f>
        <v>310.89</v>
      </c>
      <c r="T12" s="45">
        <v>0</v>
      </c>
      <c r="U12" s="45">
        <f ca="1">ROUND('TUSD BE'!$AM$30*(1-CUSTOS!$M$38),2)</f>
        <v>2318.88</v>
      </c>
      <c r="V12" s="45">
        <f>ROUND('TE BE'!$AA$21*(1-CUSTOS!$M$38),2)</f>
        <v>238.37</v>
      </c>
    </row>
    <row r="13" spans="1:22" ht="11.25" customHeight="1" x14ac:dyDescent="0.3">
      <c r="A13" s="133"/>
      <c r="B13" s="133"/>
      <c r="C13" s="133"/>
      <c r="D13" s="93" t="s">
        <v>751</v>
      </c>
      <c r="E13" s="45">
        <v>0</v>
      </c>
      <c r="F13" s="45">
        <f ca="1">ROUND('TUSD BE'!$AM$13+'TUSD BF'!$AM$13+'TUSD CVA'!$AM$13,2)</f>
        <v>4943.0200000000004</v>
      </c>
      <c r="G13" s="45">
        <v>0</v>
      </c>
      <c r="H13" s="45">
        <v>0</v>
      </c>
      <c r="I13" s="45">
        <f ca="1">ROUND('TUSD BE'!$AM$13,2)</f>
        <v>5354.59</v>
      </c>
      <c r="J13" s="45">
        <v>0</v>
      </c>
      <c r="L13" s="137"/>
      <c r="M13" s="137"/>
      <c r="N13" s="137"/>
      <c r="O13" s="137"/>
      <c r="P13" s="93" t="s">
        <v>759</v>
      </c>
      <c r="Q13" s="45">
        <v>0</v>
      </c>
      <c r="R13" s="45">
        <f ca="1">ROUND(('TUSD BE'!$AM$31+'TUSD BF'!$AM$31+'TUSD CVA'!$AM$31)*(1-CUSTOS!$M$38),2)</f>
        <v>1349.91</v>
      </c>
      <c r="S13" s="45">
        <f>ROUND(('TE BE'!$AA$22+'TE BF'!$AA$22+'TE CVA'!$AA$22)*(1-CUSTOS!$M$38),2)</f>
        <v>310.89</v>
      </c>
      <c r="T13" s="45">
        <v>0</v>
      </c>
      <c r="U13" s="45">
        <f ca="1">ROUND('TUSD BE'!$AM$31*(1-CUSTOS!$M$38),2)</f>
        <v>1451.72</v>
      </c>
      <c r="V13" s="45">
        <f>ROUND('TE BE'!$AA$22*(1-CUSTOS!$M$38),2)</f>
        <v>238.37</v>
      </c>
    </row>
    <row r="14" spans="1:22" ht="11.25" customHeight="1" x14ac:dyDescent="0.3">
      <c r="A14" s="133"/>
      <c r="B14" s="133"/>
      <c r="C14" s="133"/>
      <c r="D14" s="93" t="s">
        <v>752</v>
      </c>
      <c r="E14" s="45">
        <v>0</v>
      </c>
      <c r="F14" s="45">
        <f ca="1">ROUND('TUSD BE'!$AM$14+'TUSD BF'!$AM$14+'TUSD CVA'!$AM$14,2)</f>
        <v>28.74</v>
      </c>
      <c r="G14" s="45">
        <v>0</v>
      </c>
      <c r="H14" s="45">
        <v>0</v>
      </c>
      <c r="I14" s="45">
        <f ca="1">ROUND('TUSD BE'!$AM$14,2)</f>
        <v>22.55</v>
      </c>
      <c r="J14" s="45">
        <v>0</v>
      </c>
      <c r="L14" s="137"/>
      <c r="M14" s="138"/>
      <c r="N14" s="138"/>
      <c r="O14" s="138"/>
      <c r="P14" s="93" t="s">
        <v>752</v>
      </c>
      <c r="Q14" s="45">
        <v>0</v>
      </c>
      <c r="R14" s="45">
        <f ca="1">ROUND(('TUSD BE'!$AM$32+'TUSD BF'!$AM$32+'TUSD CVA'!$AM$32)*(1-CUSTOS!$M$38),2)</f>
        <v>557.32000000000005</v>
      </c>
      <c r="S14" s="45">
        <f>ROUND(('TE BE'!$AA$23+'TE BF'!$AA$23+'TE CVA'!$AA$23)*(1-CUSTOS!$M$38),2)</f>
        <v>310.89</v>
      </c>
      <c r="T14" s="45">
        <v>0</v>
      </c>
      <c r="U14" s="45">
        <f ca="1">ROUND('TUSD BE'!$AM$32*(1-CUSTOS!$M$38),2)</f>
        <v>584.55999999999995</v>
      </c>
      <c r="V14" s="45">
        <f>ROUND('TE BE'!$AA$23*(1-CUSTOS!$M$38),2)</f>
        <v>238.37</v>
      </c>
    </row>
    <row r="15" spans="1:22" ht="11.25" customHeight="1" x14ac:dyDescent="0.3">
      <c r="A15" s="133"/>
      <c r="B15" s="93" t="s">
        <v>81</v>
      </c>
      <c r="C15" s="93" t="s">
        <v>25</v>
      </c>
      <c r="D15" s="93" t="s">
        <v>754</v>
      </c>
      <c r="E15" s="45">
        <f ca="1">ROUND('TUSD BE'!$AM$9+'TUSD BF'!$AM$9+'TUSD CVA'!$AM$9,2)</f>
        <v>18.46</v>
      </c>
      <c r="F15" s="45">
        <v>0</v>
      </c>
      <c r="G15" s="45">
        <v>0</v>
      </c>
      <c r="H15" s="45">
        <f ca="1">ROUND('TUSD BE'!$AM$9,2)</f>
        <v>22.8</v>
      </c>
      <c r="I15" s="45">
        <v>0</v>
      </c>
      <c r="J15" s="45">
        <v>0</v>
      </c>
      <c r="L15" s="137"/>
      <c r="M15" s="93" t="s">
        <v>760</v>
      </c>
      <c r="N15" s="93" t="s">
        <v>763</v>
      </c>
      <c r="O15" s="93" t="s">
        <v>764</v>
      </c>
      <c r="P15" s="93" t="s">
        <v>754</v>
      </c>
      <c r="Q15" s="45">
        <v>0</v>
      </c>
      <c r="R15" s="45">
        <f ca="1">ROUND(('TUSD BE'!$AM$42+'TUSD BF'!$AM$42+'TUSD CVA'!$AM$42)*(1-CUSTOS!$M$38),2)</f>
        <v>923.13</v>
      </c>
      <c r="S15" s="45">
        <f>ROUND(('TE BE'!$AA$33+'TE BF'!$AA$33+'TE CVA'!$AA$33)*(1-CUSTOS!$M$38),2)</f>
        <v>310.89</v>
      </c>
      <c r="T15" s="45">
        <v>0</v>
      </c>
      <c r="U15" s="45">
        <f ca="1">ROUND(('TUSD BE'!$AM$42)*(1-CUSTOS!$M$38),2)</f>
        <v>984.79</v>
      </c>
      <c r="V15" s="45">
        <f>ROUND(('TE BE'!$AA$33)*(1-CUSTOS!$M$38),2)</f>
        <v>238.37</v>
      </c>
    </row>
    <row r="16" spans="1:22" ht="11.25" customHeight="1" x14ac:dyDescent="0.3">
      <c r="L16" s="137"/>
      <c r="M16" s="93" t="s">
        <v>762</v>
      </c>
      <c r="N16" s="93" t="s">
        <v>763</v>
      </c>
      <c r="O16" s="93" t="s">
        <v>764</v>
      </c>
      <c r="P16" s="93" t="s">
        <v>754</v>
      </c>
      <c r="Q16" s="45">
        <v>0</v>
      </c>
      <c r="R16" s="45">
        <f ca="1">ROUND(('TUSD BE'!$AM$33+'TUSD BF'!$AM$33+'TUSD CVA'!$AM$33)*(1-CUSTOS!$M$38),2)</f>
        <v>923.13</v>
      </c>
      <c r="S16" s="45">
        <f>ROUND(('TE BE'!$AA$24+'TE BF'!$AA$24+'TE CVA'!$AA$24)*(1-CUSTOS!$M$38),2)</f>
        <v>310.89</v>
      </c>
      <c r="T16" s="45">
        <v>0</v>
      </c>
      <c r="U16" s="45">
        <f ca="1">ROUND(('TUSD BE'!$AM$33)*(1-CUSTOS!$M$38),2)</f>
        <v>984.79</v>
      </c>
      <c r="V16" s="45">
        <f>ROUND(('TE BE'!$AA$24)*(1-CUSTOS!$M$38),2)</f>
        <v>238.37</v>
      </c>
    </row>
    <row r="17" spans="12:22" ht="11.25" customHeight="1" x14ac:dyDescent="0.3">
      <c r="L17" s="137"/>
      <c r="M17" s="136" t="s">
        <v>757</v>
      </c>
      <c r="N17" s="136" t="s">
        <v>763</v>
      </c>
      <c r="O17" s="136" t="s">
        <v>765</v>
      </c>
      <c r="P17" s="93" t="s">
        <v>751</v>
      </c>
      <c r="Q17" s="45">
        <v>0</v>
      </c>
      <c r="R17" s="45">
        <f ca="1">ROUND(('TUSD BE'!$AM$34+'TUSD BF'!$AM$34+'TUSD CVA'!$AM$34)*(1-CUSTOS!$M$39),2)</f>
        <v>2142.5</v>
      </c>
      <c r="S17" s="45">
        <f>ROUND(('TE BE'!$AA$25+'TE BF'!$AA$25+'TE CVA'!$AA$25)*(1-CUSTOS!$M$39),2)</f>
        <v>310.89</v>
      </c>
      <c r="T17" s="45">
        <v>0</v>
      </c>
      <c r="U17" s="45">
        <f ca="1">ROUND('TUSD BE'!$AM$34*(1-CUSTOS!$M$39),2)</f>
        <v>2318.88</v>
      </c>
      <c r="V17" s="45">
        <f>ROUND('TE BE'!$AA$25*(1-CUSTOS!$M$39),2)</f>
        <v>238.37</v>
      </c>
    </row>
    <row r="18" spans="12:22" ht="11.25" customHeight="1" x14ac:dyDescent="0.3">
      <c r="L18" s="137"/>
      <c r="M18" s="137"/>
      <c r="N18" s="137"/>
      <c r="O18" s="137"/>
      <c r="P18" s="93" t="s">
        <v>759</v>
      </c>
      <c r="Q18" s="45">
        <v>0</v>
      </c>
      <c r="R18" s="45">
        <f ca="1">ROUND(('TUSD BE'!$AM$35+'TUSD BF'!$AM$35+'TUSD CVA'!$AM$35)*(1-CUSTOS!$M$39),2)</f>
        <v>1349.91</v>
      </c>
      <c r="S18" s="45">
        <f>ROUND(('TE BE'!$AA$26+'TE BF'!$AA$26+'TE CVA'!$AA$26)*(1-CUSTOS!$M$39),2)</f>
        <v>310.89</v>
      </c>
      <c r="T18" s="45">
        <v>0</v>
      </c>
      <c r="U18" s="45">
        <f ca="1">ROUND('TUSD BE'!$AM$35*(1-CUSTOS!$M$39),2)</f>
        <v>1451.72</v>
      </c>
      <c r="V18" s="45">
        <f>ROUND('TE BE'!$AA$26*(1-CUSTOS!$M$39),2)</f>
        <v>238.37</v>
      </c>
    </row>
    <row r="19" spans="12:22" ht="11.25" customHeight="1" x14ac:dyDescent="0.3">
      <c r="L19" s="137"/>
      <c r="M19" s="138"/>
      <c r="N19" s="138"/>
      <c r="O19" s="138"/>
      <c r="P19" s="93" t="s">
        <v>752</v>
      </c>
      <c r="Q19" s="45">
        <v>0</v>
      </c>
      <c r="R19" s="45">
        <f ca="1">ROUND(('TUSD BE'!$AM$36+'TUSD BF'!$AM$36+'TUSD CVA'!$AM$36)*(1-CUSTOS!$M$39),2)</f>
        <v>557.32000000000005</v>
      </c>
      <c r="S19" s="45">
        <f>ROUND(('TE BE'!$AA$27+'TE BF'!$AA$27+'TE CVA'!$AA$27)*(1-CUSTOS!$M$39),2)</f>
        <v>310.89</v>
      </c>
      <c r="T19" s="45">
        <v>0</v>
      </c>
      <c r="U19" s="45">
        <f ca="1">ROUND('TUSD BE'!$AM$36*(1-CUSTOS!$M$39),2)</f>
        <v>584.55999999999995</v>
      </c>
      <c r="V19" s="45">
        <f>ROUND('TE BE'!$AA$27*(1-CUSTOS!$M$39),2)</f>
        <v>238.37</v>
      </c>
    </row>
    <row r="20" spans="12:22" ht="11.25" customHeight="1" x14ac:dyDescent="0.3">
      <c r="L20" s="137"/>
      <c r="M20" s="93" t="s">
        <v>760</v>
      </c>
      <c r="N20" s="93" t="s">
        <v>763</v>
      </c>
      <c r="O20" s="93" t="s">
        <v>765</v>
      </c>
      <c r="P20" s="93" t="s">
        <v>754</v>
      </c>
      <c r="Q20" s="45">
        <v>0</v>
      </c>
      <c r="R20" s="45">
        <f ca="1">ROUND(('TUSD BE'!$AM$42+'TUSD BF'!$AM$42+'TUSD CVA'!$AM$42)*(1-CUSTOS!$M$39),2)</f>
        <v>923.13</v>
      </c>
      <c r="S20" s="45">
        <f>ROUND(('TE BE'!$AA$33+'TE BF'!$AA$33+'TE CVA'!$AA$33)*(1-CUSTOS!$M$39),2)</f>
        <v>310.89</v>
      </c>
      <c r="T20" s="45">
        <v>0</v>
      </c>
      <c r="U20" s="45">
        <f ca="1">ROUND(('TUSD BE'!$AM$42)*(1-CUSTOS!$M$39),2)</f>
        <v>984.79</v>
      </c>
      <c r="V20" s="45">
        <f>ROUND(('TE BE'!$AA$33)*(1-CUSTOS!$M$39),2)</f>
        <v>238.37</v>
      </c>
    </row>
    <row r="21" spans="12:22" ht="11.25" customHeight="1" x14ac:dyDescent="0.3">
      <c r="L21" s="137"/>
      <c r="M21" s="93" t="s">
        <v>762</v>
      </c>
      <c r="N21" s="93" t="s">
        <v>763</v>
      </c>
      <c r="O21" s="93" t="s">
        <v>765</v>
      </c>
      <c r="P21" s="93" t="s">
        <v>754</v>
      </c>
      <c r="Q21" s="45">
        <v>0</v>
      </c>
      <c r="R21" s="45">
        <f ca="1">ROUND(('TUSD BE'!$AM$33+'TUSD BF'!$AM$33+'TUSD CVA'!$AM$33)*(1-CUSTOS!$M$39),2)</f>
        <v>923.13</v>
      </c>
      <c r="S21" s="45">
        <f>ROUND(('TE BE'!$AA$24+'TE BF'!$AA$24+'TE CVA'!$AA$24)*(1-CUSTOS!$M$39),2)</f>
        <v>310.89</v>
      </c>
      <c r="T21" s="45">
        <v>0</v>
      </c>
      <c r="U21" s="45">
        <f ca="1">ROUND(('TUSD BE'!$AM$33)*(1-CUSTOS!$M$39),2)</f>
        <v>984.79</v>
      </c>
      <c r="V21" s="45">
        <f>ROUND(('TE BE'!$AA$24)*(1-CUSTOS!$M$39),2)</f>
        <v>238.37</v>
      </c>
    </row>
    <row r="22" spans="12:22" ht="11.25" customHeight="1" x14ac:dyDescent="0.3">
      <c r="L22" s="137"/>
      <c r="M22" s="136" t="s">
        <v>757</v>
      </c>
      <c r="N22" s="136" t="s">
        <v>763</v>
      </c>
      <c r="O22" s="136" t="s">
        <v>766</v>
      </c>
      <c r="P22" s="93" t="s">
        <v>751</v>
      </c>
      <c r="Q22" s="45">
        <v>0</v>
      </c>
      <c r="R22" s="45">
        <f ca="1">ROUND(('TUSD BE'!$AM$38+'TUSD BF'!$AM$38+'TUSD CVA'!$AM$38)*(1-CUSTOS!$M$40),2)</f>
        <v>2096.92</v>
      </c>
      <c r="S22" s="45">
        <f>ROUND(('TE BE'!$AA$29+'TE BF'!$AA$29+'TE CVA'!$AA$29)*(1-CUSTOS!$M$40),2)</f>
        <v>304.27</v>
      </c>
      <c r="T22" s="45">
        <v>0</v>
      </c>
      <c r="U22" s="45">
        <f ca="1">ROUND('TUSD BE'!$AM$38*(1-CUSTOS!$M$40),2)</f>
        <v>2269.54</v>
      </c>
      <c r="V22" s="45">
        <f>ROUND('TE BE'!$AA$29*(1-CUSTOS!$M$40),2)</f>
        <v>233.3</v>
      </c>
    </row>
    <row r="23" spans="12:22" ht="11.25" customHeight="1" x14ac:dyDescent="0.3">
      <c r="L23" s="137"/>
      <c r="M23" s="137"/>
      <c r="N23" s="137"/>
      <c r="O23" s="137"/>
      <c r="P23" s="93" t="s">
        <v>759</v>
      </c>
      <c r="Q23" s="45">
        <v>0</v>
      </c>
      <c r="R23" s="45">
        <f ca="1">ROUND(('TUSD BE'!$AM$39+'TUSD BF'!$AM$39+'TUSD CVA'!$AM$39)*(1-CUSTOS!$M$40),2)</f>
        <v>1321.19</v>
      </c>
      <c r="S23" s="45">
        <f>ROUND(('TE BE'!$AA$30+'TE BF'!$AA$30+'TE CVA'!$AA$30)*(1-CUSTOS!$M$40),2)</f>
        <v>304.27</v>
      </c>
      <c r="T23" s="45">
        <v>0</v>
      </c>
      <c r="U23" s="45">
        <f ca="1">ROUND('TUSD BE'!$AM$39*(1-CUSTOS!$M$40),2)</f>
        <v>1420.83</v>
      </c>
      <c r="V23" s="45">
        <f>ROUND('TE BE'!$AA$30*(1-CUSTOS!$M$40),2)</f>
        <v>233.3</v>
      </c>
    </row>
    <row r="24" spans="12:22" ht="11.25" customHeight="1" x14ac:dyDescent="0.3">
      <c r="L24" s="137"/>
      <c r="M24" s="138"/>
      <c r="N24" s="138"/>
      <c r="O24" s="138"/>
      <c r="P24" s="93" t="s">
        <v>752</v>
      </c>
      <c r="Q24" s="45">
        <v>0</v>
      </c>
      <c r="R24" s="45">
        <f ca="1">ROUND(('TUSD BE'!$AM$40+'TUSD BF'!$AM$40+'TUSD CVA'!$AM$40)*(1-CUSTOS!$M$40),2)</f>
        <v>545.47</v>
      </c>
      <c r="S24" s="45">
        <f>ROUND(('TE BE'!$AA$31+'TE BF'!$AA$31+'TE CVA'!$AA$31)*(1-CUSTOS!$M$40),2)</f>
        <v>304.27</v>
      </c>
      <c r="T24" s="45">
        <v>0</v>
      </c>
      <c r="U24" s="45">
        <f ca="1">ROUND('TUSD BE'!$AM$40*(1-CUSTOS!$M$40),2)</f>
        <v>572.13</v>
      </c>
      <c r="V24" s="45">
        <f>ROUND('TE BE'!$AA$31*(1-CUSTOS!$M$40),2)</f>
        <v>233.3</v>
      </c>
    </row>
    <row r="25" spans="12:22" ht="11.25" customHeight="1" x14ac:dyDescent="0.3">
      <c r="L25" s="137"/>
      <c r="M25" s="93" t="s">
        <v>760</v>
      </c>
      <c r="N25" s="93" t="s">
        <v>763</v>
      </c>
      <c r="O25" s="93" t="s">
        <v>766</v>
      </c>
      <c r="P25" s="93" t="s">
        <v>754</v>
      </c>
      <c r="Q25" s="45">
        <v>0</v>
      </c>
      <c r="R25" s="45">
        <f ca="1">ROUND(('TUSD BE'!$AM$42+'TUSD BF'!$AM$42+'TUSD CVA'!$AM$42)*(1-CUSTOS!$M$40),2)</f>
        <v>903.49</v>
      </c>
      <c r="S25" s="45">
        <f>ROUND(('TE BE'!$AA$33+'TE BF'!$AA$33+'TE CVA'!$AA$33)*(1-CUSTOS!$M$40),2)</f>
        <v>304.27</v>
      </c>
      <c r="T25" s="45">
        <v>0</v>
      </c>
      <c r="U25" s="45">
        <f ca="1">ROUND(('TUSD BE'!$AM$42)*(1-CUSTOS!$M$40),2)</f>
        <v>963.84</v>
      </c>
      <c r="V25" s="45">
        <f>ROUND(('TE BE'!$AA$33)*(1-CUSTOS!$M$40),2)</f>
        <v>233.3</v>
      </c>
    </row>
    <row r="26" spans="12:22" ht="11.25" customHeight="1" x14ac:dyDescent="0.3">
      <c r="L26" s="138"/>
      <c r="M26" s="93" t="s">
        <v>762</v>
      </c>
      <c r="N26" s="93" t="s">
        <v>763</v>
      </c>
      <c r="O26" s="93" t="s">
        <v>766</v>
      </c>
      <c r="P26" s="93" t="s">
        <v>754</v>
      </c>
      <c r="Q26" s="45">
        <v>0</v>
      </c>
      <c r="R26" s="45">
        <f ca="1">ROUND(('TUSD BE'!$AM$33+'TUSD BF'!$AM$33+'TUSD CVA'!$AM$33)*(1-CUSTOS!$M$40),2)</f>
        <v>903.49</v>
      </c>
      <c r="S26" s="45">
        <f>ROUND(('TE BE'!$AA$24+'TE BF'!$AA$24+'TE CVA'!$AA$24)*(1-CUSTOS!$M$40),2)</f>
        <v>304.27</v>
      </c>
      <c r="T26" s="45">
        <v>0</v>
      </c>
      <c r="U26" s="45">
        <f ca="1">ROUND(('TUSD BE'!$AM$33)*(1-CUSTOS!$M$40),2)</f>
        <v>963.84</v>
      </c>
      <c r="V26" s="45">
        <f>ROUND(('TE BE'!$AA$24)*(1-CUSTOS!$M$40),2)</f>
        <v>233.3</v>
      </c>
    </row>
    <row r="27" spans="12:22" ht="11.25" customHeight="1" x14ac:dyDescent="0.3">
      <c r="L27" s="136" t="s">
        <v>35</v>
      </c>
      <c r="M27" s="136" t="s">
        <v>757</v>
      </c>
      <c r="N27" s="136" t="s">
        <v>754</v>
      </c>
      <c r="O27" s="136" t="s">
        <v>754</v>
      </c>
      <c r="P27" s="93" t="s">
        <v>751</v>
      </c>
      <c r="Q27" s="45">
        <v>0</v>
      </c>
      <c r="R27" s="45">
        <f ca="1">ROUND(('TUSD BE'!$AM$45+'TUSD BF'!$AM$45+'TUSD CVA'!$AM$45)*(1-CUSTOS!$M$31),2)</f>
        <v>2644.09</v>
      </c>
      <c r="S27" s="45">
        <f>ROUND(('TE BE'!$AA$36+'TE BF'!$AA$36+'TE CVA'!$AA$36)*(1-CUSTOS!$M$31),2)</f>
        <v>330.73</v>
      </c>
      <c r="T27" s="45">
        <v>0</v>
      </c>
      <c r="U27" s="45">
        <f ca="1">ROUND('TUSD BE'!$AM$45*(1-CUSTOS!$M$31),2)</f>
        <v>2866.05</v>
      </c>
      <c r="V27" s="45">
        <f>ROUND('TE BE'!$AA$36*(1-CUSTOS!$M$31),2)</f>
        <v>253.58</v>
      </c>
    </row>
    <row r="28" spans="12:22" ht="11.25" customHeight="1" x14ac:dyDescent="0.3">
      <c r="L28" s="137"/>
      <c r="M28" s="137"/>
      <c r="N28" s="137"/>
      <c r="O28" s="137"/>
      <c r="P28" s="93" t="s">
        <v>759</v>
      </c>
      <c r="Q28" s="45">
        <v>0</v>
      </c>
      <c r="R28" s="45">
        <f ca="1">ROUND(('TUSD BE'!$AM$46+'TUSD BF'!$AM$46+'TUSD CVA'!$AM$46)*(1-CUSTOS!$M$31),2)</f>
        <v>1654.98</v>
      </c>
      <c r="S28" s="45">
        <f>ROUND(('TE BE'!$AA$37+'TE BF'!$AA$37+'TE CVA'!$AA$37)*(1-CUSTOS!$M$31),2)</f>
        <v>330.73</v>
      </c>
      <c r="T28" s="45">
        <v>0</v>
      </c>
      <c r="U28" s="45">
        <f ca="1">ROUND('TUSD BE'!$AM$46*(1-CUSTOS!$M$31),2)</f>
        <v>1783.88</v>
      </c>
      <c r="V28" s="45">
        <f>ROUND('TE BE'!$AA$37*(1-CUSTOS!$M$31),2)</f>
        <v>253.58</v>
      </c>
    </row>
    <row r="29" spans="12:22" ht="11.25" customHeight="1" x14ac:dyDescent="0.3">
      <c r="L29" s="137"/>
      <c r="M29" s="138"/>
      <c r="N29" s="138"/>
      <c r="O29" s="138"/>
      <c r="P29" s="93" t="s">
        <v>752</v>
      </c>
      <c r="Q29" s="45">
        <v>0</v>
      </c>
      <c r="R29" s="45">
        <f ca="1">ROUND(('TUSD BE'!$AM$47+'TUSD BF'!$AM$47+'TUSD CVA'!$AM$47)*(1-CUSTOS!$M$31),2)</f>
        <v>665.87</v>
      </c>
      <c r="S29" s="45">
        <f>ROUND(('TE BE'!$AA$38+'TE BF'!$AA$38+'TE CVA'!$AA$38)*(1-CUSTOS!$M$31),2)</f>
        <v>330.73</v>
      </c>
      <c r="T29" s="45">
        <v>0</v>
      </c>
      <c r="U29" s="45">
        <f ca="1">ROUND('TUSD BE'!$AM$47*(1-CUSTOS!$M$31),2)</f>
        <v>701.71</v>
      </c>
      <c r="V29" s="45">
        <f>ROUND('TE BE'!$AA$38*(1-CUSTOS!$M$31),2)</f>
        <v>253.58</v>
      </c>
    </row>
    <row r="30" spans="12:22" ht="11.25" customHeight="1" x14ac:dyDescent="0.3">
      <c r="L30" s="137"/>
      <c r="M30" s="93" t="s">
        <v>760</v>
      </c>
      <c r="N30" s="93" t="s">
        <v>754</v>
      </c>
      <c r="O30" s="93" t="s">
        <v>754</v>
      </c>
      <c r="P30" s="93" t="s">
        <v>754</v>
      </c>
      <c r="Q30" s="45">
        <v>0</v>
      </c>
      <c r="R30" s="45">
        <f ca="1">ROUND(('TUSD BE'!$AM$49+'TUSD BF'!$AM$49+'TUSD CVA'!$AM$49)*(1-CUSTOS!$M$31),2)</f>
        <v>982.06</v>
      </c>
      <c r="S30" s="45">
        <f>ROUND(('TE BE'!$AA$40+'TE BF'!$AA$40+'TE CVA'!$AA$40)*(1-CUSTOS!$M$31),2)</f>
        <v>330.73</v>
      </c>
      <c r="T30" s="45">
        <v>0</v>
      </c>
      <c r="U30" s="45">
        <f ca="1">ROUND(('TUSD BE'!$AM$49)*(1-CUSTOS!$M$31),2)</f>
        <v>1047.6500000000001</v>
      </c>
      <c r="V30" s="45">
        <f>ROUND(('TE BE'!$AA$40)*(1-CUSTOS!$M$31),2)</f>
        <v>253.58</v>
      </c>
    </row>
    <row r="31" spans="12:22" ht="11.25" customHeight="1" x14ac:dyDescent="0.3">
      <c r="L31" s="138"/>
      <c r="M31" s="93" t="s">
        <v>762</v>
      </c>
      <c r="N31" s="93" t="s">
        <v>754</v>
      </c>
      <c r="O31" s="93" t="s">
        <v>754</v>
      </c>
      <c r="P31" s="93" t="s">
        <v>754</v>
      </c>
      <c r="Q31" s="45">
        <v>0</v>
      </c>
      <c r="R31" s="45">
        <f ca="1">ROUND(('TUSD BE'!$AM$48+'TUSD BF'!$AM$48+'TUSD CVA'!$AM$48)*(1-CUSTOS!$M$31),2)</f>
        <v>982.06</v>
      </c>
      <c r="S31" s="45">
        <f>ROUND(('TE BE'!$AA$39+'TE BF'!$AA$39+'TE CVA'!$AA$39)*(1-CUSTOS!$M$31),2)</f>
        <v>330.73</v>
      </c>
      <c r="T31" s="45">
        <v>0</v>
      </c>
      <c r="U31" s="45">
        <f ca="1">ROUND(('TUSD BE'!$AM$48)*(1-CUSTOS!$M$31),2)</f>
        <v>1047.6500000000001</v>
      </c>
      <c r="V31" s="45">
        <f>ROUND(('TE BE'!$AA$39)*(1-CUSTOS!$M$31),2)</f>
        <v>253.58</v>
      </c>
    </row>
    <row r="32" spans="12:22" ht="11.25" customHeight="1" x14ac:dyDescent="0.3">
      <c r="L32" s="136" t="s">
        <v>46</v>
      </c>
      <c r="M32" s="136" t="s">
        <v>762</v>
      </c>
      <c r="N32" s="136" t="s">
        <v>767</v>
      </c>
      <c r="O32" s="93" t="s">
        <v>768</v>
      </c>
      <c r="P32" s="93" t="s">
        <v>754</v>
      </c>
      <c r="Q32" s="45">
        <v>0</v>
      </c>
      <c r="R32" s="45">
        <f ca="1">ROUND(('TUSD BE'!$AM$50+'TUSD BF'!$AM$50+'TUSD CVA'!$AM$50),2)</f>
        <v>540.13</v>
      </c>
      <c r="S32" s="45">
        <f>ROUND(('TE BE'!$AA$41+'TE BF'!$AA$41+'TE CVA'!$AA$41),2)</f>
        <v>181.9</v>
      </c>
      <c r="T32" s="45">
        <v>0</v>
      </c>
      <c r="U32" s="45">
        <f ca="1">ROUND(('TUSD BE'!$AM$50),2)</f>
        <v>576.21</v>
      </c>
      <c r="V32" s="45">
        <f>ROUND(('TE BE'!$AA$41),2)</f>
        <v>139.47</v>
      </c>
    </row>
    <row r="33" spans="12:22" ht="11.25" customHeight="1" x14ac:dyDescent="0.3">
      <c r="L33" s="138"/>
      <c r="M33" s="138"/>
      <c r="N33" s="138"/>
      <c r="O33" s="93" t="s">
        <v>769</v>
      </c>
      <c r="P33" s="93" t="s">
        <v>754</v>
      </c>
      <c r="Q33" s="45">
        <v>0</v>
      </c>
      <c r="R33" s="45">
        <f ca="1">ROUND(('TUSD BE'!$AM$51+'TUSD BF'!$AM$51+'TUSD CVA'!$AM$51),2)</f>
        <v>589.23</v>
      </c>
      <c r="S33" s="45">
        <f>ROUND(('TE BE'!$AA$42+'TE BF'!$AA$42+'TE CVA'!$AA$42),2)</f>
        <v>198.44</v>
      </c>
      <c r="T33" s="45">
        <v>0</v>
      </c>
      <c r="U33" s="45">
        <f ca="1">ROUND(('TUSD BE'!$AM$51),2)</f>
        <v>628.59</v>
      </c>
      <c r="V33" s="45">
        <f>ROUND(('TE BE'!$AA$42),2)</f>
        <v>152.15</v>
      </c>
    </row>
    <row r="34" spans="12:22" ht="11.25" customHeight="1" x14ac:dyDescent="0.3">
      <c r="L34" s="136" t="s">
        <v>82</v>
      </c>
      <c r="M34" s="136" t="s">
        <v>770</v>
      </c>
      <c r="N34" s="93" t="s">
        <v>83</v>
      </c>
      <c r="O34" s="93" t="s">
        <v>754</v>
      </c>
      <c r="P34" s="93" t="s">
        <v>754</v>
      </c>
      <c r="Q34" s="45">
        <f ca="1">ROUND(('TUSD BE'!$AM$15+'TUSD BF'!$AM$15+'TUSD CVA'!$AM$15),2)</f>
        <v>7.28</v>
      </c>
      <c r="R34" s="45">
        <v>0</v>
      </c>
      <c r="S34" s="45">
        <v>0</v>
      </c>
      <c r="T34" s="45">
        <f ca="1">ROUND(('TUSD BE'!$AM$15),2)</f>
        <v>8.99</v>
      </c>
      <c r="U34" s="45">
        <v>0</v>
      </c>
      <c r="V34" s="45">
        <v>0</v>
      </c>
    </row>
    <row r="35" spans="12:22" ht="11.25" customHeight="1" x14ac:dyDescent="0.3">
      <c r="L35" s="138"/>
      <c r="M35" s="138"/>
      <c r="N35" s="93" t="s">
        <v>84</v>
      </c>
      <c r="O35" s="93" t="s">
        <v>754</v>
      </c>
      <c r="P35" s="93" t="s">
        <v>754</v>
      </c>
      <c r="Q35" s="45">
        <f ca="1">ROUND(('TUSD BE'!$AM$16+'TUSD BF'!$AM$16+'TUSD CVA'!$AM$16),2)</f>
        <v>23.45</v>
      </c>
      <c r="R35" s="45">
        <v>0</v>
      </c>
      <c r="S35" s="45">
        <v>0</v>
      </c>
      <c r="T35" s="45">
        <f ca="1">ROUND(('TUSD BE'!$AM$16),2)</f>
        <v>28.96</v>
      </c>
      <c r="U35" s="45">
        <v>0</v>
      </c>
      <c r="V35" s="45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F96E-B34A-47F6-9179-53CADB50C6C4}">
  <dimension ref="A1:AN475"/>
  <sheetViews>
    <sheetView showGridLines="0" workbookViewId="0">
      <selection sqref="A1:O475 Q1:AJ13"/>
    </sheetView>
  </sheetViews>
  <sheetFormatPr defaultColWidth="9.109375" defaultRowHeight="11.25" customHeight="1" x14ac:dyDescent="0.3"/>
  <cols>
    <col min="1" max="1" width="19.109375" style="4" bestFit="1" customWidth="1"/>
    <col min="2" max="2" width="8.6640625" style="4" bestFit="1" customWidth="1"/>
    <col min="3" max="3" width="10.33203125" style="4" bestFit="1" customWidth="1"/>
    <col min="4" max="4" width="13.5546875" style="4" bestFit="1" customWidth="1"/>
    <col min="5" max="5" width="25.109375" style="4" bestFit="1" customWidth="1"/>
    <col min="6" max="6" width="12.88671875" style="4" bestFit="1" customWidth="1"/>
    <col min="7" max="8" width="10.33203125" style="4" bestFit="1" customWidth="1"/>
    <col min="9" max="9" width="8.6640625" style="5" bestFit="1" customWidth="1"/>
    <col min="10" max="10" width="10.109375" style="6" bestFit="1" customWidth="1"/>
    <col min="11" max="11" width="10.5546875" style="6" bestFit="1" customWidth="1"/>
    <col min="12" max="12" width="9.44140625" style="6" bestFit="1" customWidth="1"/>
    <col min="13" max="13" width="13.6640625" style="6" bestFit="1" customWidth="1"/>
    <col min="14" max="14" width="14.109375" style="6" bestFit="1" customWidth="1"/>
    <col min="15" max="15" width="12.88671875" style="6" bestFit="1" customWidth="1"/>
    <col min="16" max="16" width="7" style="6" bestFit="1" customWidth="1"/>
    <col min="17" max="17" width="9.33203125" style="4" bestFit="1" customWidth="1"/>
    <col min="18" max="18" width="18.88671875" style="4" bestFit="1" customWidth="1"/>
    <col min="19" max="19" width="20.33203125" style="4" bestFit="1" customWidth="1"/>
    <col min="20" max="20" width="18.109375" style="4" bestFit="1" customWidth="1"/>
    <col min="21" max="21" width="17" style="4" bestFit="1" customWidth="1"/>
    <col min="22" max="22" width="18.5546875" style="4" bestFit="1" customWidth="1"/>
    <col min="23" max="23" width="16.33203125" style="4" bestFit="1" customWidth="1"/>
    <col min="24" max="24" width="16.6640625" style="4" bestFit="1" customWidth="1"/>
    <col min="25" max="25" width="18.33203125" style="4" bestFit="1" customWidth="1"/>
    <col min="26" max="26" width="16" style="4" bestFit="1" customWidth="1"/>
    <col min="27" max="27" width="16.88671875" style="4" bestFit="1" customWidth="1"/>
    <col min="28" max="28" width="18.44140625" style="4" bestFit="1" customWidth="1"/>
    <col min="29" max="29" width="16.109375" style="4" bestFit="1" customWidth="1"/>
    <col min="30" max="30" width="17.33203125" style="4" bestFit="1" customWidth="1"/>
    <col min="31" max="31" width="21.5546875" style="4" bestFit="1" customWidth="1"/>
    <col min="32" max="32" width="11.44140625" style="4" bestFit="1" customWidth="1"/>
    <col min="33" max="33" width="12.88671875" style="4" bestFit="1" customWidth="1"/>
    <col min="34" max="34" width="10.6640625" style="4" bestFit="1" customWidth="1"/>
    <col min="35" max="35" width="11.6640625" style="4" bestFit="1" customWidth="1"/>
    <col min="36" max="36" width="16" style="4" bestFit="1" customWidth="1"/>
    <col min="37" max="37" width="9.109375" style="4"/>
    <col min="38" max="38" width="8.6640625" style="4" bestFit="1" customWidth="1"/>
    <col min="39" max="39" width="5.5546875" style="4" bestFit="1" customWidth="1"/>
    <col min="40" max="40" width="14.6640625" style="4" bestFit="1" customWidth="1"/>
    <col min="41" max="16384" width="9.109375" style="4"/>
  </cols>
  <sheetData>
    <row r="1" spans="1:40" s="1" customFormat="1" ht="11.25" customHeight="1" x14ac:dyDescent="0.3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72" t="s">
        <v>8</v>
      </c>
      <c r="J1" s="86" t="s">
        <v>717</v>
      </c>
      <c r="K1" s="86" t="s">
        <v>718</v>
      </c>
      <c r="L1" s="86" t="s">
        <v>719</v>
      </c>
      <c r="M1" s="86" t="s">
        <v>720</v>
      </c>
      <c r="N1" s="86" t="s">
        <v>721</v>
      </c>
      <c r="O1" s="86" t="s">
        <v>722</v>
      </c>
      <c r="P1" s="85"/>
      <c r="Q1" s="130" t="s">
        <v>723</v>
      </c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L1" s="52" t="s">
        <v>744</v>
      </c>
      <c r="AM1" s="52" t="s">
        <v>59</v>
      </c>
      <c r="AN1" s="52" t="s">
        <v>745</v>
      </c>
    </row>
    <row r="2" spans="1:40" ht="11.25" customHeight="1" x14ac:dyDescent="0.2">
      <c r="A2" s="53" t="s">
        <v>21</v>
      </c>
      <c r="B2" s="53" t="s">
        <v>37</v>
      </c>
      <c r="C2" s="53" t="s">
        <v>41</v>
      </c>
      <c r="D2" s="53" t="s">
        <v>40</v>
      </c>
      <c r="E2" s="53" t="s">
        <v>25</v>
      </c>
      <c r="F2" s="53" t="s">
        <v>25</v>
      </c>
      <c r="G2" s="53" t="s">
        <v>25</v>
      </c>
      <c r="H2" s="53" t="s">
        <v>34</v>
      </c>
      <c r="I2" s="73">
        <v>44287</v>
      </c>
      <c r="J2" s="74">
        <f ca="1">EFEITO!$J$2*EFEITO!$Y$2</f>
        <v>8104.0976339510662</v>
      </c>
      <c r="K2" s="74">
        <f ca="1">EFEITO!$L$2*EFEITO!$Z$2</f>
        <v>4344.0718541479546</v>
      </c>
      <c r="L2" s="74">
        <f>EFEITO!$N$2*EFEITO!$AA$2</f>
        <v>10788.110025291582</v>
      </c>
      <c r="M2" s="74">
        <f ca="1">$J$2-EFEITO!$K$2*EFEITO!$Y$2</f>
        <v>0</v>
      </c>
      <c r="N2" s="74">
        <f ca="1">$K$2-EFEITO!$M$2*EFEITO!$Z$2</f>
        <v>0</v>
      </c>
      <c r="O2" s="74">
        <f>$L$2-EFEITO!$O$2*EFEITO!$AA$2</f>
        <v>0</v>
      </c>
      <c r="P2" s="57"/>
      <c r="Q2" s="44" t="s">
        <v>62</v>
      </c>
      <c r="R2" s="44" t="s">
        <v>725</v>
      </c>
      <c r="S2" s="44" t="s">
        <v>726</v>
      </c>
      <c r="T2" s="44" t="s">
        <v>727</v>
      </c>
      <c r="U2" s="44" t="s">
        <v>728</v>
      </c>
      <c r="V2" s="44" t="s">
        <v>729</v>
      </c>
      <c r="W2" s="44" t="s">
        <v>730</v>
      </c>
      <c r="X2" s="75" t="s">
        <v>731</v>
      </c>
      <c r="Y2" s="75" t="s">
        <v>732</v>
      </c>
      <c r="Z2" s="75" t="s">
        <v>733</v>
      </c>
      <c r="AA2" s="75" t="s">
        <v>734</v>
      </c>
      <c r="AB2" s="75" t="s">
        <v>735</v>
      </c>
      <c r="AC2" s="75" t="s">
        <v>736</v>
      </c>
      <c r="AD2" s="75" t="s">
        <v>737</v>
      </c>
      <c r="AE2" s="75" t="s">
        <v>738</v>
      </c>
      <c r="AF2" s="75" t="s">
        <v>739</v>
      </c>
      <c r="AG2" s="75" t="s">
        <v>740</v>
      </c>
      <c r="AH2" s="75" t="s">
        <v>741</v>
      </c>
      <c r="AI2" s="75" t="s">
        <v>742</v>
      </c>
      <c r="AJ2" s="75" t="s">
        <v>743</v>
      </c>
      <c r="AL2" s="53"/>
      <c r="AM2" s="53"/>
      <c r="AN2" s="53"/>
    </row>
    <row r="3" spans="1:40" ht="11.25" customHeight="1" x14ac:dyDescent="0.2">
      <c r="A3" s="53" t="s">
        <v>21</v>
      </c>
      <c r="B3" s="53" t="s">
        <v>37</v>
      </c>
      <c r="C3" s="53" t="s">
        <v>41</v>
      </c>
      <c r="D3" s="53" t="s">
        <v>40</v>
      </c>
      <c r="E3" s="53" t="s">
        <v>25</v>
      </c>
      <c r="F3" s="53" t="s">
        <v>25</v>
      </c>
      <c r="G3" s="53" t="s">
        <v>25</v>
      </c>
      <c r="H3" s="53" t="s">
        <v>34</v>
      </c>
      <c r="I3" s="73">
        <v>44317</v>
      </c>
      <c r="J3" s="74">
        <f ca="1">EFEITO!$J$3*EFEITO!$Y$3</f>
        <v>8104.0976339510662</v>
      </c>
      <c r="K3" s="74">
        <f ca="1">EFEITO!$L$3*EFEITO!$Z$3</f>
        <v>4060.8062471773951</v>
      </c>
      <c r="L3" s="74">
        <f>EFEITO!$N$3*EFEITO!$AA$3</f>
        <v>10084.645479358378</v>
      </c>
      <c r="M3" s="74">
        <f ca="1">$J$3-EFEITO!$K$3*EFEITO!$Y$3</f>
        <v>0</v>
      </c>
      <c r="N3" s="74">
        <f ca="1">$K$3-EFEITO!$M$3*EFEITO!$Z$3</f>
        <v>0</v>
      </c>
      <c r="O3" s="74">
        <f>$L$3-EFEITO!$O$3*EFEITO!$AA$3</f>
        <v>0</v>
      </c>
      <c r="P3" s="57"/>
      <c r="Q3" s="74" t="s">
        <v>724</v>
      </c>
      <c r="R3" s="74">
        <f>SUMIF($B$2:$B$475,$Q$3,$J$2:$J$475)</f>
        <v>0</v>
      </c>
      <c r="S3" s="74">
        <f>SUMIF($B$2:$B$475,$Q$3,$K$2:$K$475)</f>
        <v>0</v>
      </c>
      <c r="T3" s="74">
        <f>SUMIF($B$2:$B$475,$Q$3,$L$2:$L$475)</f>
        <v>0</v>
      </c>
      <c r="U3" s="74">
        <f>SUMIF($B$2:$B$475,$Q$3,$M$2:$M$475)</f>
        <v>0</v>
      </c>
      <c r="V3" s="74">
        <f>SUMIF($B$2:$B$475,$Q$3,$N$2:$N$475)</f>
        <v>0</v>
      </c>
      <c r="W3" s="74">
        <f>SUMIF($B$2:$B$475,$Q$3,$O$2:$O$475)</f>
        <v>0</v>
      </c>
      <c r="X3" s="54">
        <f>$R$3-$U$3</f>
        <v>0</v>
      </c>
      <c r="Y3" s="54">
        <f>$S$3-$V$3</f>
        <v>0</v>
      </c>
      <c r="Z3" s="54">
        <f>$T$3-$W$3</f>
        <v>0</v>
      </c>
      <c r="AA3" s="54">
        <f>SUMIF(EFEITO!$B$2:$B$475,$Q$3,EFEITO!$AE$2:$AE$475)</f>
        <v>0</v>
      </c>
      <c r="AB3" s="54">
        <f>SUMIF(EFEITO!$B$2:$B$475,$Q$3,EFEITO!$AF$2:$AF$475)</f>
        <v>0</v>
      </c>
      <c r="AC3" s="54">
        <f>SUMIF(EFEITO!$B$2:$B$475,$Q$3,EFEITO!$AG$2:$AH$475)</f>
        <v>0</v>
      </c>
      <c r="AD3" s="54">
        <f>SUMIF(SUBSIDIO!$B$2:$B$475,$Q$3,SUBSIDIO!$AD$2:$AD$475)</f>
        <v>0</v>
      </c>
      <c r="AE3" s="54">
        <f>SUMIF(SUBSIDIO!$B$2:$B$475,$Q$3,SUBSIDIO!$AE$2:$AE$475)</f>
        <v>0</v>
      </c>
      <c r="AF3" s="54" t="str">
        <f>IF(ABS($X$3-$AA$3)&lt;0.01,"OK","ERRO")</f>
        <v>OK</v>
      </c>
      <c r="AG3" s="54" t="str">
        <f>IF(ABS($Y$3-$AB$3)&lt;0.01,"OK","ERRO")</f>
        <v>OK</v>
      </c>
      <c r="AH3" s="54" t="str">
        <f>IF(ABS($Z$3-$AC$3)&lt;0.01,"OK","ERRO")</f>
        <v>OK</v>
      </c>
      <c r="AI3" s="54" t="str">
        <f>IF(ABS($U$3-$AD$3)&lt;0.01,"OK","ERRO")</f>
        <v>OK</v>
      </c>
      <c r="AJ3" s="54" t="str">
        <f>IF(ABS(($V$3+$W$3)-$AE$3)&lt;0.01,"OK","ERRO")</f>
        <v>OK</v>
      </c>
    </row>
    <row r="4" spans="1:40" ht="11.25" customHeight="1" x14ac:dyDescent="0.2">
      <c r="A4" s="53" t="s">
        <v>21</v>
      </c>
      <c r="B4" s="53" t="s">
        <v>37</v>
      </c>
      <c r="C4" s="53" t="s">
        <v>41</v>
      </c>
      <c r="D4" s="53" t="s">
        <v>40</v>
      </c>
      <c r="E4" s="53" t="s">
        <v>25</v>
      </c>
      <c r="F4" s="53" t="s">
        <v>25</v>
      </c>
      <c r="G4" s="53" t="s">
        <v>25</v>
      </c>
      <c r="H4" s="53" t="s">
        <v>34</v>
      </c>
      <c r="I4" s="73">
        <v>44348</v>
      </c>
      <c r="J4" s="74">
        <f ca="1">EFEITO!$J$4*EFEITO!$Y$4</f>
        <v>8104.0976339510662</v>
      </c>
      <c r="K4" s="74">
        <f ca="1">EFEITO!$L$4*EFEITO!$Z$4</f>
        <v>3572.9821200814094</v>
      </c>
      <c r="L4" s="74">
        <f>EFEITO!$N$4*EFEITO!$AA$4</f>
        <v>8873.1783276172737</v>
      </c>
      <c r="M4" s="74">
        <f ca="1">$J$4-EFEITO!$K$4*EFEITO!$Y$4</f>
        <v>0</v>
      </c>
      <c r="N4" s="74">
        <f ca="1">$K$4-EFEITO!$M$4*EFEITO!$Z$4</f>
        <v>0</v>
      </c>
      <c r="O4" s="74">
        <f>$L$4-EFEITO!$O$4*EFEITO!$AA$4</f>
        <v>0</v>
      </c>
      <c r="P4" s="57"/>
      <c r="Q4" s="74" t="s">
        <v>602</v>
      </c>
      <c r="R4" s="74">
        <f>SUMIF($B$2:$B$475,$Q$4,$J$2:$J$475)</f>
        <v>0</v>
      </c>
      <c r="S4" s="74">
        <f>SUMIF($B$2:$B$475,$Q$4,$K$2:$K$475)</f>
        <v>0</v>
      </c>
      <c r="T4" s="74">
        <f>SUMIF($B$2:$B$475,$Q$4,$L$2:$L$475)</f>
        <v>0</v>
      </c>
      <c r="U4" s="74">
        <f>SUMIF($B$2:$B$475,$Q$4,$M$2:$M$475)</f>
        <v>0</v>
      </c>
      <c r="V4" s="74">
        <f>SUMIF($B$2:$B$475,$Q$4,$N$2:$N$475)</f>
        <v>0</v>
      </c>
      <c r="W4" s="74">
        <f>SUMIF($B$2:$B$475,$Q$4,$O$2:$O$475)</f>
        <v>0</v>
      </c>
      <c r="X4" s="54">
        <f>$R$4-$U$4</f>
        <v>0</v>
      </c>
      <c r="Y4" s="54">
        <f>$S$4-$V$4</f>
        <v>0</v>
      </c>
      <c r="Z4" s="54">
        <f>$T$4-$W$4</f>
        <v>0</v>
      </c>
      <c r="AA4" s="54">
        <f>SUMIF(EFEITO!$B$2:$B$475,$Q$4,EFEITO!$AE$2:$AE$475)</f>
        <v>0</v>
      </c>
      <c r="AB4" s="54">
        <f>SUMIF(EFEITO!$B$2:$B$475,$Q$4,EFEITO!$AF$2:$AF$475)</f>
        <v>0</v>
      </c>
      <c r="AC4" s="54">
        <f>SUMIF(EFEITO!$B$2:$B$475,$Q$4,EFEITO!$AG$2:$AH$475)</f>
        <v>0</v>
      </c>
      <c r="AD4" s="54">
        <f>SUMIF(SUBSIDIO!$B$2:$B$475,$Q$4,SUBSIDIO!$AD$2:$AD$475)</f>
        <v>0</v>
      </c>
      <c r="AE4" s="54">
        <f>SUMIF(SUBSIDIO!$B$2:$B$475,$Q$4,SUBSIDIO!$AE$2:$AE$475)</f>
        <v>0</v>
      </c>
      <c r="AF4" s="54" t="str">
        <f>IF(ABS($X$4-$AA$4)&lt;0.01,"OK","ERRO")</f>
        <v>OK</v>
      </c>
      <c r="AG4" s="54" t="str">
        <f>IF(ABS($Y$4-$AB$4)&lt;0.01,"OK","ERRO")</f>
        <v>OK</v>
      </c>
      <c r="AH4" s="54" t="str">
        <f>IF(ABS($Z$4-$AC$4)&lt;0.01,"OK","ERRO")</f>
        <v>OK</v>
      </c>
      <c r="AI4" s="54" t="str">
        <f>IF(ABS($U$4-$AD$4)&lt;0.01,"OK","ERRO")</f>
        <v>OK</v>
      </c>
      <c r="AJ4" s="54" t="str">
        <f>IF(ABS(($V$4+$W$4)-$AE$4)&lt;0.01,"OK","ERRO")</f>
        <v>OK</v>
      </c>
    </row>
    <row r="5" spans="1:40" ht="11.25" customHeight="1" x14ac:dyDescent="0.2">
      <c r="A5" s="53" t="s">
        <v>21</v>
      </c>
      <c r="B5" s="53" t="s">
        <v>37</v>
      </c>
      <c r="C5" s="53" t="s">
        <v>41</v>
      </c>
      <c r="D5" s="53" t="s">
        <v>40</v>
      </c>
      <c r="E5" s="53" t="s">
        <v>25</v>
      </c>
      <c r="F5" s="53" t="s">
        <v>25</v>
      </c>
      <c r="G5" s="53" t="s">
        <v>25</v>
      </c>
      <c r="H5" s="53" t="s">
        <v>34</v>
      </c>
      <c r="I5" s="73">
        <v>44378</v>
      </c>
      <c r="J5" s="74">
        <f ca="1">EFEITO!$J$5*EFEITO!$Y$5</f>
        <v>8104.0976339510662</v>
      </c>
      <c r="K5" s="74">
        <f ca="1">EFEITO!$L$5*EFEITO!$Z$5</f>
        <v>3344.5850744986587</v>
      </c>
      <c r="L5" s="74">
        <f>EFEITO!$N$5*EFEITO!$AA$5</f>
        <v>8305.9748973044188</v>
      </c>
      <c r="M5" s="74">
        <f ca="1">$J$5-EFEITO!$K$5*EFEITO!$Y$5</f>
        <v>0</v>
      </c>
      <c r="N5" s="74">
        <f ca="1">$K$5-EFEITO!$M$5*EFEITO!$Z$5</f>
        <v>0</v>
      </c>
      <c r="O5" s="74">
        <f>$L$5-EFEITO!$O$5*EFEITO!$AA$5</f>
        <v>0</v>
      </c>
      <c r="P5" s="57"/>
      <c r="Q5" s="74" t="s">
        <v>603</v>
      </c>
      <c r="R5" s="74">
        <f>SUMIF($B$2:$B$475,$Q$5,$J$2:$J$475)</f>
        <v>0</v>
      </c>
      <c r="S5" s="74">
        <f>SUMIF($B$2:$B$475,$Q$5,$K$2:$K$475)</f>
        <v>0</v>
      </c>
      <c r="T5" s="74">
        <f>SUMIF($B$2:$B$475,$Q$5,$L$2:$L$475)</f>
        <v>0</v>
      </c>
      <c r="U5" s="74">
        <f>SUMIF($B$2:$B$475,$Q$5,$M$2:$M$475)</f>
        <v>0</v>
      </c>
      <c r="V5" s="74">
        <f>SUMIF($B$2:$B$475,$Q$5,$N$2:$N$475)</f>
        <v>0</v>
      </c>
      <c r="W5" s="74">
        <f>SUMIF($B$2:$B$475,$Q$5,$O$2:$O$475)</f>
        <v>0</v>
      </c>
      <c r="X5" s="54">
        <f>$R$5-$U$5</f>
        <v>0</v>
      </c>
      <c r="Y5" s="54">
        <f>$S$5-$V$5</f>
        <v>0</v>
      </c>
      <c r="Z5" s="54">
        <f>$T$5-$W$5</f>
        <v>0</v>
      </c>
      <c r="AA5" s="54">
        <f>SUMIF(EFEITO!$B$2:$B$475,$Q$5,EFEITO!$AE$2:$AE$475)</f>
        <v>0</v>
      </c>
      <c r="AB5" s="54">
        <f>SUMIF(EFEITO!$B$2:$B$475,$Q$5,EFEITO!$AF$2:$AF$475)</f>
        <v>0</v>
      </c>
      <c r="AC5" s="54">
        <f>SUMIF(EFEITO!$B$2:$B$475,$Q$5,EFEITO!$AG$2:$AH$475)</f>
        <v>0</v>
      </c>
      <c r="AD5" s="54">
        <f>SUMIF(SUBSIDIO!$B$2:$B$475,$Q$5,SUBSIDIO!$AD$2:$AD$475)</f>
        <v>0</v>
      </c>
      <c r="AE5" s="54">
        <f>SUMIF(SUBSIDIO!$B$2:$B$475,$Q$5,SUBSIDIO!$AE$2:$AE$475)</f>
        <v>0</v>
      </c>
      <c r="AF5" s="54" t="str">
        <f>IF(ABS($X$5-$AA$5)&lt;0.01,"OK","ERRO")</f>
        <v>OK</v>
      </c>
      <c r="AG5" s="54" t="str">
        <f>IF(ABS($Y$5-$AB$5)&lt;0.01,"OK","ERRO")</f>
        <v>OK</v>
      </c>
      <c r="AH5" s="54" t="str">
        <f>IF(ABS($Z$5-$AC$5)&lt;0.01,"OK","ERRO")</f>
        <v>OK</v>
      </c>
      <c r="AI5" s="54" t="str">
        <f>IF(ABS($U$5-$AD$5)&lt;0.01,"OK","ERRO")</f>
        <v>OK</v>
      </c>
      <c r="AJ5" s="54" t="str">
        <f>IF(ABS(($V$5+$W$5)-$AE$5)&lt;0.01,"OK","ERRO")</f>
        <v>OK</v>
      </c>
    </row>
    <row r="6" spans="1:40" ht="11.25" customHeight="1" x14ac:dyDescent="0.2">
      <c r="A6" s="53" t="s">
        <v>21</v>
      </c>
      <c r="B6" s="53" t="s">
        <v>37</v>
      </c>
      <c r="C6" s="53" t="s">
        <v>41</v>
      </c>
      <c r="D6" s="53" t="s">
        <v>40</v>
      </c>
      <c r="E6" s="53" t="s">
        <v>25</v>
      </c>
      <c r="F6" s="53" t="s">
        <v>25</v>
      </c>
      <c r="G6" s="53" t="s">
        <v>25</v>
      </c>
      <c r="H6" s="53" t="s">
        <v>34</v>
      </c>
      <c r="I6" s="73">
        <v>44409</v>
      </c>
      <c r="J6" s="74">
        <f ca="1">EFEITO!$J$6*EFEITO!$Y$6</f>
        <v>8104.0976339510662</v>
      </c>
      <c r="K6" s="74">
        <f ca="1">EFEITO!$L$6*EFEITO!$Z$6</f>
        <v>3628.3833859487122</v>
      </c>
      <c r="L6" s="74">
        <f>EFEITO!$N$6*EFEITO!$AA$6</f>
        <v>9010.7623666902473</v>
      </c>
      <c r="M6" s="74">
        <f ca="1">$J$6-EFEITO!$K$6*EFEITO!$Y$6</f>
        <v>0</v>
      </c>
      <c r="N6" s="74">
        <f ca="1">$K$6-EFEITO!$M$6*EFEITO!$Z$6</f>
        <v>0</v>
      </c>
      <c r="O6" s="74">
        <f>$L$6-EFEITO!$O$6*EFEITO!$AA$6</f>
        <v>0</v>
      </c>
      <c r="P6" s="57"/>
      <c r="Q6" s="74" t="s">
        <v>604</v>
      </c>
      <c r="R6" s="74">
        <f>SUMIF($B$2:$B$475,$Q$6,$J$2:$J$475)</f>
        <v>0</v>
      </c>
      <c r="S6" s="74">
        <f>SUMIF($B$2:$B$475,$Q$6,$K$2:$K$475)</f>
        <v>0</v>
      </c>
      <c r="T6" s="74">
        <f>SUMIF($B$2:$B$475,$Q$6,$L$2:$L$475)</f>
        <v>0</v>
      </c>
      <c r="U6" s="74">
        <f>SUMIF($B$2:$B$475,$Q$6,$M$2:$M$475)</f>
        <v>0</v>
      </c>
      <c r="V6" s="74">
        <f>SUMIF($B$2:$B$475,$Q$6,$N$2:$N$475)</f>
        <v>0</v>
      </c>
      <c r="W6" s="74">
        <f>SUMIF($B$2:$B$475,$Q$6,$O$2:$O$475)</f>
        <v>0</v>
      </c>
      <c r="X6" s="54">
        <f>$R$6-$U$6</f>
        <v>0</v>
      </c>
      <c r="Y6" s="54">
        <f>$S$6-$V$6</f>
        <v>0</v>
      </c>
      <c r="Z6" s="54">
        <f>$T$6-$W$6</f>
        <v>0</v>
      </c>
      <c r="AA6" s="54">
        <f>SUMIF(EFEITO!$B$2:$B$475,$Q$6,EFEITO!$AE$2:$AE$475)</f>
        <v>0</v>
      </c>
      <c r="AB6" s="54">
        <f>SUMIF(EFEITO!$B$2:$B$475,$Q$6,EFEITO!$AF$2:$AF$475)</f>
        <v>0</v>
      </c>
      <c r="AC6" s="54">
        <f>SUMIF(EFEITO!$B$2:$B$475,$Q$6,EFEITO!$AG$2:$AH$475)</f>
        <v>0</v>
      </c>
      <c r="AD6" s="54">
        <f>SUMIF(SUBSIDIO!$B$2:$B$475,$Q$6,SUBSIDIO!$AD$2:$AD$475)</f>
        <v>0</v>
      </c>
      <c r="AE6" s="54">
        <f>SUMIF(SUBSIDIO!$B$2:$B$475,$Q$6,SUBSIDIO!$AE$2:$AE$475)</f>
        <v>0</v>
      </c>
      <c r="AF6" s="54" t="str">
        <f>IF(ABS($X$6-$AA$6)&lt;0.01,"OK","ERRO")</f>
        <v>OK</v>
      </c>
      <c r="AG6" s="54" t="str">
        <f>IF(ABS($Y$6-$AB$6)&lt;0.01,"OK","ERRO")</f>
        <v>OK</v>
      </c>
      <c r="AH6" s="54" t="str">
        <f>IF(ABS($Z$6-$AC$6)&lt;0.01,"OK","ERRO")</f>
        <v>OK</v>
      </c>
      <c r="AI6" s="54" t="str">
        <f>IF(ABS($U$6-$AD$6)&lt;0.01,"OK","ERRO")</f>
        <v>OK</v>
      </c>
      <c r="AJ6" s="54" t="str">
        <f>IF(ABS(($V$6+$W$6)-$AE$6)&lt;0.01,"OK","ERRO")</f>
        <v>OK</v>
      </c>
    </row>
    <row r="7" spans="1:40" ht="11.25" customHeight="1" x14ac:dyDescent="0.2">
      <c r="A7" s="53" t="s">
        <v>21</v>
      </c>
      <c r="B7" s="53" t="s">
        <v>37</v>
      </c>
      <c r="C7" s="53" t="s">
        <v>41</v>
      </c>
      <c r="D7" s="53" t="s">
        <v>40</v>
      </c>
      <c r="E7" s="53" t="s">
        <v>25</v>
      </c>
      <c r="F7" s="53" t="s">
        <v>25</v>
      </c>
      <c r="G7" s="53" t="s">
        <v>25</v>
      </c>
      <c r="H7" s="53" t="s">
        <v>34</v>
      </c>
      <c r="I7" s="73">
        <v>44440</v>
      </c>
      <c r="J7" s="74">
        <f ca="1">EFEITO!$J$7*EFEITO!$Y$7</f>
        <v>8104.0976339510662</v>
      </c>
      <c r="K7" s="74">
        <f ca="1">EFEITO!$L$7*EFEITO!$Z$7</f>
        <v>4014.4609574614778</v>
      </c>
      <c r="L7" s="74">
        <f>EFEITO!$N$7*EFEITO!$AA$7</f>
        <v>9969.5511389800249</v>
      </c>
      <c r="M7" s="74">
        <f ca="1">$J$7-EFEITO!$K$7*EFEITO!$Y$7</f>
        <v>0</v>
      </c>
      <c r="N7" s="74">
        <f ca="1">$K$7-EFEITO!$M$7*EFEITO!$Z$7</f>
        <v>0</v>
      </c>
      <c r="O7" s="74">
        <f>$L$7-EFEITO!$O$7*EFEITO!$AA$7</f>
        <v>0</v>
      </c>
      <c r="P7" s="57"/>
      <c r="Q7" s="74" t="s">
        <v>37</v>
      </c>
      <c r="R7" s="74">
        <f ca="1">SUMIF($B$2:$B$475,$Q$7,$J$2:$J$475)</f>
        <v>1914727.1522590928</v>
      </c>
      <c r="S7" s="74">
        <f ca="1">SUMIF($B$2:$B$475,$Q$7,$K$2:$K$475)</f>
        <v>679141.23113041755</v>
      </c>
      <c r="T7" s="74">
        <f>SUMIF($B$2:$B$475,$Q$7,$L$2:$L$475)</f>
        <v>1106936.6858628232</v>
      </c>
      <c r="U7" s="74">
        <f ca="1">SUMIF($B$2:$B$475,$Q$7,$M$2:$M$475)</f>
        <v>6658.3266160542153</v>
      </c>
      <c r="V7" s="74">
        <f ca="1">SUMIF($B$2:$B$475,$Q$7,$N$2:$N$475)</f>
        <v>16576.48555995795</v>
      </c>
      <c r="W7" s="74">
        <f>SUMIF($B$2:$B$475,$Q$7,$O$2:$O$475)</f>
        <v>32719.210906658602</v>
      </c>
      <c r="X7" s="54">
        <f ca="1">$R$7-$U$7</f>
        <v>1908068.8256430386</v>
      </c>
      <c r="Y7" s="54">
        <f ca="1">$S$7-$V$7</f>
        <v>662564.74557045964</v>
      </c>
      <c r="Z7" s="54">
        <f>$T$7-$W$7</f>
        <v>1074217.4749561646</v>
      </c>
      <c r="AA7" s="54">
        <f ca="1">SUMIF(EFEITO!$B$2:$B$475,$Q$7,EFEITO!$AE$2:$AE$475)</f>
        <v>1908068.8256430402</v>
      </c>
      <c r="AB7" s="54">
        <f ca="1">SUMIF(EFEITO!$B$2:$B$475,$Q$7,EFEITO!$AF$2:$AF$475)</f>
        <v>662564.74557045975</v>
      </c>
      <c r="AC7" s="54">
        <f>SUMIF(EFEITO!$B$2:$B$475,$Q$7,EFEITO!$AG$2:$AH$475)</f>
        <v>1074217.4749561648</v>
      </c>
      <c r="AD7" s="54">
        <f ca="1">SUMIF(SUBSIDIO!$B$2:$B$475,$Q$7,SUBSIDIO!$AD$2:$AD$475)</f>
        <v>6658.3266160541934</v>
      </c>
      <c r="AE7" s="54">
        <f ca="1">SUMIF(SUBSIDIO!$B$2:$B$475,$Q$7,SUBSIDIO!$AE$2:$AE$475)</f>
        <v>49295.696466616544</v>
      </c>
      <c r="AF7" s="54" t="str">
        <f ca="1">IF(ABS($X$7-$AA$7)&lt;0.01,"OK","ERRO")</f>
        <v>OK</v>
      </c>
      <c r="AG7" s="54" t="str">
        <f ca="1">IF(ABS($Y$7-$AB$7)&lt;0.01,"OK","ERRO")</f>
        <v>OK</v>
      </c>
      <c r="AH7" s="54" t="str">
        <f>IF(ABS($Z$7-$AC$7)&lt;0.01,"OK","ERRO")</f>
        <v>OK</v>
      </c>
      <c r="AI7" s="54" t="str">
        <f ca="1">IF(ABS($U$7-$AD$7)&lt;0.01,"OK","ERRO")</f>
        <v>OK</v>
      </c>
      <c r="AJ7" s="54" t="str">
        <f ca="1">IF(ABS(($V$7+$W$7)-$AE$7)&lt;0.01,"OK","ERRO")</f>
        <v>OK</v>
      </c>
    </row>
    <row r="8" spans="1:40" ht="11.25" customHeight="1" x14ac:dyDescent="0.2">
      <c r="A8" s="53" t="s">
        <v>21</v>
      </c>
      <c r="B8" s="53" t="s">
        <v>37</v>
      </c>
      <c r="C8" s="53" t="s">
        <v>41</v>
      </c>
      <c r="D8" s="53" t="s">
        <v>40</v>
      </c>
      <c r="E8" s="53" t="s">
        <v>25</v>
      </c>
      <c r="F8" s="53" t="s">
        <v>25</v>
      </c>
      <c r="G8" s="53" t="s">
        <v>25</v>
      </c>
      <c r="H8" s="53" t="s">
        <v>34</v>
      </c>
      <c r="I8" s="73">
        <v>44470</v>
      </c>
      <c r="J8" s="74">
        <f ca="1">EFEITO!$J$8*EFEITO!$Y$8</f>
        <v>8104.0976339510662</v>
      </c>
      <c r="K8" s="74">
        <f ca="1">EFEITO!$L$8*EFEITO!$Z$8</f>
        <v>4004.4727484709788</v>
      </c>
      <c r="L8" s="74">
        <f>EFEITO!$N$8*EFEITO!$AA$8</f>
        <v>9944.7463242433114</v>
      </c>
      <c r="M8" s="74">
        <f ca="1">$J$8-EFEITO!$K$8*EFEITO!$Y$8</f>
        <v>0</v>
      </c>
      <c r="N8" s="74">
        <f ca="1">$K$8-EFEITO!$M$8*EFEITO!$Z$8</f>
        <v>0</v>
      </c>
      <c r="O8" s="74">
        <f>$L$8-EFEITO!$O$8*EFEITO!$AA$8</f>
        <v>0</v>
      </c>
      <c r="P8" s="57"/>
      <c r="Q8" s="74" t="s">
        <v>605</v>
      </c>
      <c r="R8" s="74">
        <f>SUMIF($B$2:$B$475,$Q$8,$J$2:$J$475)</f>
        <v>0</v>
      </c>
      <c r="S8" s="74">
        <f>SUMIF($B$2:$B$475,$Q$8,$K$2:$K$475)</f>
        <v>0</v>
      </c>
      <c r="T8" s="74">
        <f>SUMIF($B$2:$B$475,$Q$8,$L$2:$L$475)</f>
        <v>0</v>
      </c>
      <c r="U8" s="74">
        <f>SUMIF($B$2:$B$475,$Q$8,$M$2:$M$475)</f>
        <v>0</v>
      </c>
      <c r="V8" s="74">
        <f>SUMIF($B$2:$B$475,$Q$8,$N$2:$N$475)</f>
        <v>0</v>
      </c>
      <c r="W8" s="74">
        <f>SUMIF($B$2:$B$475,$Q$8,$O$2:$O$475)</f>
        <v>0</v>
      </c>
      <c r="X8" s="54">
        <f>$R$8-$U$8</f>
        <v>0</v>
      </c>
      <c r="Y8" s="54">
        <f>$S$8-$V$8</f>
        <v>0</v>
      </c>
      <c r="Z8" s="54">
        <f>$T$8-$W$8</f>
        <v>0</v>
      </c>
      <c r="AA8" s="54">
        <f>SUMIF(EFEITO!$B$2:$B$475,$Q$8,EFEITO!$AE$2:$AE$475)</f>
        <v>0</v>
      </c>
      <c r="AB8" s="54">
        <f>SUMIF(EFEITO!$B$2:$B$475,$Q$8,EFEITO!$AF$2:$AF$475)</f>
        <v>0</v>
      </c>
      <c r="AC8" s="54">
        <f>SUMIF(EFEITO!$B$2:$B$475,$Q$8,EFEITO!$AG$2:$AH$475)</f>
        <v>0</v>
      </c>
      <c r="AD8" s="54">
        <f>SUMIF(SUBSIDIO!$B$2:$B$475,$Q$8,SUBSIDIO!$AD$2:$AD$475)</f>
        <v>0</v>
      </c>
      <c r="AE8" s="54">
        <f>SUMIF(SUBSIDIO!$B$2:$B$475,$Q$8,SUBSIDIO!$AE$2:$AE$475)</f>
        <v>0</v>
      </c>
      <c r="AF8" s="54" t="str">
        <f>IF(ABS($X$8-$AA$8)&lt;0.01,"OK","ERRO")</f>
        <v>OK</v>
      </c>
      <c r="AG8" s="54" t="str">
        <f>IF(ABS($Y$8-$AB$8)&lt;0.01,"OK","ERRO")</f>
        <v>OK</v>
      </c>
      <c r="AH8" s="54" t="str">
        <f>IF(ABS($Z$8-$AC$8)&lt;0.01,"OK","ERRO")</f>
        <v>OK</v>
      </c>
      <c r="AI8" s="54" t="str">
        <f>IF(ABS($U$8-$AD$8)&lt;0.01,"OK","ERRO")</f>
        <v>OK</v>
      </c>
      <c r="AJ8" s="54" t="str">
        <f>IF(ABS(($V$8+$W$8)-$AE$8)&lt;0.01,"OK","ERRO")</f>
        <v>OK</v>
      </c>
    </row>
    <row r="9" spans="1:40" ht="11.25" customHeight="1" x14ac:dyDescent="0.2">
      <c r="A9" s="53" t="s">
        <v>21</v>
      </c>
      <c r="B9" s="53" t="s">
        <v>37</v>
      </c>
      <c r="C9" s="53" t="s">
        <v>41</v>
      </c>
      <c r="D9" s="53" t="s">
        <v>40</v>
      </c>
      <c r="E9" s="53" t="s">
        <v>25</v>
      </c>
      <c r="F9" s="53" t="s">
        <v>25</v>
      </c>
      <c r="G9" s="53" t="s">
        <v>25</v>
      </c>
      <c r="H9" s="53" t="s">
        <v>34</v>
      </c>
      <c r="I9" s="73">
        <v>44501</v>
      </c>
      <c r="J9" s="74">
        <f ca="1">EFEITO!$J$9*EFEITO!$Y$9</f>
        <v>8104.0976339510662</v>
      </c>
      <c r="K9" s="74">
        <f ca="1">EFEITO!$L$9*EFEITO!$Z$9</f>
        <v>4163.4850355997278</v>
      </c>
      <c r="L9" s="74">
        <f>EFEITO!$N$9*EFEITO!$AA$9</f>
        <v>10339.638974851798</v>
      </c>
      <c r="M9" s="74">
        <f ca="1">$J$9-EFEITO!$K$9*EFEITO!$Y$9</f>
        <v>0</v>
      </c>
      <c r="N9" s="74">
        <f ca="1">$K$9-EFEITO!$M$9*EFEITO!$Z$9</f>
        <v>0</v>
      </c>
      <c r="O9" s="74">
        <f>$L$9-EFEITO!$O$9*EFEITO!$AA$9</f>
        <v>0</v>
      </c>
      <c r="P9" s="57"/>
      <c r="Q9" s="74" t="s">
        <v>22</v>
      </c>
      <c r="R9" s="74">
        <f>SUMIF($B$2:$B$475,$Q$9,$J$2:$J$475)</f>
        <v>0</v>
      </c>
      <c r="S9" s="74">
        <f ca="1">SUMIF($B$2:$B$475,$Q$9,$K$2:$K$475)</f>
        <v>9853990.7996568214</v>
      </c>
      <c r="T9" s="74">
        <f>SUMIF($B$2:$B$475,$Q$9,$L$2:$L$475)</f>
        <v>3325968.7975919791</v>
      </c>
      <c r="U9" s="74">
        <f>SUMIF($B$2:$B$475,$Q$9,$M$2:$M$475)</f>
        <v>0</v>
      </c>
      <c r="V9" s="74">
        <f ca="1">SUMIF($B$2:$B$475,$Q$9,$N$2:$N$475)</f>
        <v>52819.49561919758</v>
      </c>
      <c r="W9" s="74">
        <f>SUMIF($B$2:$B$475,$Q$9,$O$2:$O$475)</f>
        <v>20297.746825966628</v>
      </c>
      <c r="X9" s="54">
        <f>$R$9-$U$9</f>
        <v>0</v>
      </c>
      <c r="Y9" s="54">
        <f ca="1">$S$9-$V$9</f>
        <v>9801171.3040376231</v>
      </c>
      <c r="Z9" s="54">
        <f>$T$9-$W$9</f>
        <v>3305671.0507660126</v>
      </c>
      <c r="AA9" s="54">
        <f>SUMIF(EFEITO!$B$2:$B$475,$Q$9,EFEITO!$AE$2:$AE$475)</f>
        <v>0</v>
      </c>
      <c r="AB9" s="54">
        <f ca="1">SUMIF(EFEITO!$B$2:$B$475,$Q$9,EFEITO!$AF$2:$AF$475)</f>
        <v>9801171.3040376194</v>
      </c>
      <c r="AC9" s="54">
        <f>SUMIF(EFEITO!$B$2:$B$475,$Q$9,EFEITO!$AG$2:$AH$475)</f>
        <v>3305671.0507660136</v>
      </c>
      <c r="AD9" s="54">
        <f>SUMIF(SUBSIDIO!$B$2:$B$475,$Q$9,SUBSIDIO!$AD$2:$AD$475)</f>
        <v>0</v>
      </c>
      <c r="AE9" s="54">
        <f ca="1">SUMIF(SUBSIDIO!$B$2:$B$475,$Q$9,SUBSIDIO!$AE$2:$AE$475)</f>
        <v>73117.2424451642</v>
      </c>
      <c r="AF9" s="54" t="str">
        <f>IF(ABS($X$9-$AA$9)&lt;0.01,"OK","ERRO")</f>
        <v>OK</v>
      </c>
      <c r="AG9" s="54" t="str">
        <f ca="1">IF(ABS($Y$9-$AB$9)&lt;0.01,"OK","ERRO")</f>
        <v>OK</v>
      </c>
      <c r="AH9" s="54" t="str">
        <f>IF(ABS($Z$9-$AC$9)&lt;0.01,"OK","ERRO")</f>
        <v>OK</v>
      </c>
      <c r="AI9" s="54" t="str">
        <f>IF(ABS($U$9-$AD$9)&lt;0.01,"OK","ERRO")</f>
        <v>OK</v>
      </c>
      <c r="AJ9" s="54" t="str">
        <f ca="1">IF(ABS(($V$9+$W$9)-$AE$9)&lt;0.01,"OK","ERRO")</f>
        <v>OK</v>
      </c>
    </row>
    <row r="10" spans="1:40" ht="11.25" customHeight="1" x14ac:dyDescent="0.2">
      <c r="A10" s="53" t="s">
        <v>21</v>
      </c>
      <c r="B10" s="53" t="s">
        <v>37</v>
      </c>
      <c r="C10" s="53" t="s">
        <v>41</v>
      </c>
      <c r="D10" s="53" t="s">
        <v>40</v>
      </c>
      <c r="E10" s="53" t="s">
        <v>25</v>
      </c>
      <c r="F10" s="53" t="s">
        <v>25</v>
      </c>
      <c r="G10" s="53" t="s">
        <v>25</v>
      </c>
      <c r="H10" s="53" t="s">
        <v>34</v>
      </c>
      <c r="I10" s="73">
        <v>44531</v>
      </c>
      <c r="J10" s="74">
        <f ca="1">EFEITO!$J$10*EFEITO!$Y$10</f>
        <v>8104.0976339510662</v>
      </c>
      <c r="K10" s="74">
        <f ca="1">EFEITO!$L$10*EFEITO!$Z$10</f>
        <v>4811.5200349033221</v>
      </c>
      <c r="L10" s="74">
        <f>EFEITO!$N$10*EFEITO!$AA$10</f>
        <v>11948.975354969789</v>
      </c>
      <c r="M10" s="74">
        <f ca="1">$J$10-EFEITO!$K$10*EFEITO!$Y$10</f>
        <v>0</v>
      </c>
      <c r="N10" s="74">
        <f ca="1">$K$10-EFEITO!$M$10*EFEITO!$Z$10</f>
        <v>0</v>
      </c>
      <c r="O10" s="74">
        <f>$L$10-EFEITO!$O$10*EFEITO!$AA$10</f>
        <v>0</v>
      </c>
      <c r="P10" s="57"/>
      <c r="Q10" s="74" t="s">
        <v>43</v>
      </c>
      <c r="R10" s="74">
        <f>SUMIF($B$2:$B$475,$Q$10,$J$2:$J$475)</f>
        <v>0</v>
      </c>
      <c r="S10" s="74">
        <f ca="1">SUMIF($B$2:$B$475,$Q$10,$K$2:$K$475)</f>
        <v>589478.93551033479</v>
      </c>
      <c r="T10" s="74">
        <f>SUMIF($B$2:$B$475,$Q$10,$L$2:$L$475)</f>
        <v>198520.86987863661</v>
      </c>
      <c r="U10" s="74">
        <f>SUMIF($B$2:$B$475,$Q$10,$M$2:$M$475)</f>
        <v>0</v>
      </c>
      <c r="V10" s="74">
        <f ca="1">SUMIF($B$2:$B$475,$Q$10,$N$2:$N$475)</f>
        <v>40184.17179822531</v>
      </c>
      <c r="W10" s="74">
        <f>SUMIF($B$2:$B$475,$Q$10,$O$2:$O$475)</f>
        <v>13532.963198812065</v>
      </c>
      <c r="X10" s="54">
        <f>$R$10-$U$10</f>
        <v>0</v>
      </c>
      <c r="Y10" s="54">
        <f ca="1">$S$10-$V$10</f>
        <v>549294.76371210953</v>
      </c>
      <c r="Z10" s="54">
        <f>$T$10-$W$10</f>
        <v>184987.90667982455</v>
      </c>
      <c r="AA10" s="54">
        <f>SUMIF(EFEITO!$B$2:$B$475,$Q$10,EFEITO!$AE$2:$AE$475)</f>
        <v>0</v>
      </c>
      <c r="AB10" s="54">
        <f ca="1">SUMIF(EFEITO!$B$2:$B$475,$Q$10,EFEITO!$AF$2:$AF$475)</f>
        <v>549294.76371210942</v>
      </c>
      <c r="AC10" s="54">
        <f>SUMIF(EFEITO!$B$2:$B$475,$Q$10,EFEITO!$AG$2:$AH$475)</f>
        <v>184987.90667982455</v>
      </c>
      <c r="AD10" s="54">
        <f>SUMIF(SUBSIDIO!$B$2:$B$475,$Q$10,SUBSIDIO!$AD$2:$AD$475)</f>
        <v>0</v>
      </c>
      <c r="AE10" s="54">
        <f ca="1">SUMIF(SUBSIDIO!$B$2:$B$475,$Q$10,SUBSIDIO!$AE$2:$AE$475)</f>
        <v>53717.134997037327</v>
      </c>
      <c r="AF10" s="54" t="str">
        <f>IF(ABS($X$10-$AA$10)&lt;0.01,"OK","ERRO")</f>
        <v>OK</v>
      </c>
      <c r="AG10" s="54" t="str">
        <f ca="1">IF(ABS($Y$10-$AB$10)&lt;0.01,"OK","ERRO")</f>
        <v>OK</v>
      </c>
      <c r="AH10" s="54" t="str">
        <f>IF(ABS($Z$10-$AC$10)&lt;0.01,"OK","ERRO")</f>
        <v>OK</v>
      </c>
      <c r="AI10" s="54" t="str">
        <f>IF(ABS($U$10-$AD$10)&lt;0.01,"OK","ERRO")</f>
        <v>OK</v>
      </c>
      <c r="AJ10" s="54" t="str">
        <f ca="1">IF(ABS(($V$10+$W$10)-$AE$10)&lt;0.01,"OK","ERRO")</f>
        <v>OK</v>
      </c>
    </row>
    <row r="11" spans="1:40" ht="11.25" customHeight="1" x14ac:dyDescent="0.2">
      <c r="A11" s="53" t="s">
        <v>21</v>
      </c>
      <c r="B11" s="53" t="s">
        <v>37</v>
      </c>
      <c r="C11" s="53" t="s">
        <v>41</v>
      </c>
      <c r="D11" s="53" t="s">
        <v>40</v>
      </c>
      <c r="E11" s="53" t="s">
        <v>25</v>
      </c>
      <c r="F11" s="53" t="s">
        <v>25</v>
      </c>
      <c r="G11" s="53" t="s">
        <v>25</v>
      </c>
      <c r="H11" s="53" t="s">
        <v>34</v>
      </c>
      <c r="I11" s="73">
        <v>44562</v>
      </c>
      <c r="J11" s="74">
        <f ca="1">EFEITO!$J$11*EFEITO!$Y$11</f>
        <v>8428.2615393091091</v>
      </c>
      <c r="K11" s="74">
        <f ca="1">EFEITO!$L$11*EFEITO!$Z$11</f>
        <v>5446.503774459331</v>
      </c>
      <c r="L11" s="74">
        <f>EFEITO!$N$11*EFEITO!$AA$11</f>
        <v>13525.900110498478</v>
      </c>
      <c r="M11" s="74">
        <f ca="1">$J$11-EFEITO!$K$11*EFEITO!$Y$11</f>
        <v>0</v>
      </c>
      <c r="N11" s="74">
        <f ca="1">$K$11-EFEITO!$M$11*EFEITO!$Z$11</f>
        <v>0</v>
      </c>
      <c r="O11" s="74">
        <f>$L$11-EFEITO!$O$11*EFEITO!$AA$11</f>
        <v>0</v>
      </c>
      <c r="P11" s="57"/>
      <c r="Q11" s="74" t="s">
        <v>35</v>
      </c>
      <c r="R11" s="74">
        <f>SUMIF($B$2:$B$475,$Q$11,$J$2:$J$475)</f>
        <v>0</v>
      </c>
      <c r="S11" s="74">
        <f ca="1">SUMIF($B$2:$B$475,$Q$11,$K$2:$K$475)</f>
        <v>1770022.7297197345</v>
      </c>
      <c r="T11" s="74">
        <f>SUMIF($B$2:$B$475,$Q$11,$L$2:$L$475)</f>
        <v>596126.17502672784</v>
      </c>
      <c r="U11" s="74">
        <f>SUMIF($B$2:$B$475,$Q$11,$M$2:$M$475)</f>
        <v>0</v>
      </c>
      <c r="V11" s="74">
        <f ca="1">SUMIF($B$2:$B$475,$Q$11,$N$2:$N$475)</f>
        <v>5363.6240023089649</v>
      </c>
      <c r="W11" s="74">
        <f>SUMIF($B$2:$B$475,$Q$11,$O$2:$O$475)</f>
        <v>1806.3262968310851</v>
      </c>
      <c r="X11" s="54">
        <f>$R$11-$U$11</f>
        <v>0</v>
      </c>
      <c r="Y11" s="54">
        <f ca="1">$S$11-$V$11</f>
        <v>1764659.1057174255</v>
      </c>
      <c r="Z11" s="54">
        <f>$T$11-$W$11</f>
        <v>594319.84872989671</v>
      </c>
      <c r="AA11" s="54">
        <f>SUMIF(EFEITO!$B$2:$B$475,$Q$11,EFEITO!$AE$2:$AE$475)</f>
        <v>0</v>
      </c>
      <c r="AB11" s="54">
        <f ca="1">SUMIF(EFEITO!$B$2:$B$475,$Q$11,EFEITO!$AF$2:$AF$475)</f>
        <v>1764659.1057174259</v>
      </c>
      <c r="AC11" s="54">
        <f>SUMIF(EFEITO!$B$2:$B$475,$Q$11,EFEITO!$AG$2:$AH$475)</f>
        <v>594319.84872989671</v>
      </c>
      <c r="AD11" s="54">
        <f>SUMIF(SUBSIDIO!$B$2:$B$475,$Q$11,SUBSIDIO!$AD$2:$AD$475)</f>
        <v>0</v>
      </c>
      <c r="AE11" s="54">
        <f ca="1">SUMIF(SUBSIDIO!$B$2:$B$475,$Q$11,SUBSIDIO!$AE$2:$AE$475)</f>
        <v>7169.9502991400468</v>
      </c>
      <c r="AF11" s="54" t="str">
        <f>IF(ABS($X$11-$AA$11)&lt;0.01,"OK","ERRO")</f>
        <v>OK</v>
      </c>
      <c r="AG11" s="54" t="str">
        <f ca="1">IF(ABS($Y$11-$AB$11)&lt;0.01,"OK","ERRO")</f>
        <v>OK</v>
      </c>
      <c r="AH11" s="54" t="str">
        <f>IF(ABS($Z$11-$AC$11)&lt;0.01,"OK","ERRO")</f>
        <v>OK</v>
      </c>
      <c r="AI11" s="54" t="str">
        <f>IF(ABS($U$11-$AD$11)&lt;0.01,"OK","ERRO")</f>
        <v>OK</v>
      </c>
      <c r="AJ11" s="54" t="str">
        <f ca="1">IF(ABS(($V$11+$W$11)-$AE$11)&lt;0.01,"OK","ERRO")</f>
        <v>OK</v>
      </c>
    </row>
    <row r="12" spans="1:40" ht="11.25" customHeight="1" x14ac:dyDescent="0.2">
      <c r="A12" s="53" t="s">
        <v>21</v>
      </c>
      <c r="B12" s="53" t="s">
        <v>37</v>
      </c>
      <c r="C12" s="53" t="s">
        <v>41</v>
      </c>
      <c r="D12" s="53" t="s">
        <v>40</v>
      </c>
      <c r="E12" s="53" t="s">
        <v>25</v>
      </c>
      <c r="F12" s="53" t="s">
        <v>25</v>
      </c>
      <c r="G12" s="53" t="s">
        <v>25</v>
      </c>
      <c r="H12" s="53" t="s">
        <v>34</v>
      </c>
      <c r="I12" s="73">
        <v>44593</v>
      </c>
      <c r="J12" s="74">
        <f ca="1">EFEITO!$J$12*EFEITO!$Y$12</f>
        <v>8185.1386102905772</v>
      </c>
      <c r="K12" s="74">
        <f ca="1">EFEITO!$L$12*EFEITO!$Z$12</f>
        <v>4664.8931269227924</v>
      </c>
      <c r="L12" s="74">
        <f>EFEITO!$N$12*EFEITO!$AA$12</f>
        <v>11584.84067463483</v>
      </c>
      <c r="M12" s="74">
        <f ca="1">$J$12-EFEITO!$K$12*EFEITO!$Y$12</f>
        <v>0</v>
      </c>
      <c r="N12" s="74">
        <f ca="1">$K$12-EFEITO!$M$12*EFEITO!$Z$12</f>
        <v>0</v>
      </c>
      <c r="O12" s="74">
        <f>$L$12-EFEITO!$O$12*EFEITO!$AA$12</f>
        <v>0</v>
      </c>
      <c r="P12" s="57"/>
      <c r="Q12" s="74" t="s">
        <v>46</v>
      </c>
      <c r="R12" s="74">
        <f>SUMIF($B$2:$B$475,$Q$12,$J$2:$J$475)</f>
        <v>0</v>
      </c>
      <c r="S12" s="74">
        <f ca="1">SUMIF($B$2:$B$475,$Q$12,$K$2:$K$475)</f>
        <v>1709200.875562524</v>
      </c>
      <c r="T12" s="74">
        <f>SUMIF($B$2:$B$475,$Q$12,$L$2:$L$475)</f>
        <v>575613.51928588247</v>
      </c>
      <c r="U12" s="74">
        <f>SUMIF($B$2:$B$475,$Q$12,$M$2:$M$475)</f>
        <v>0</v>
      </c>
      <c r="V12" s="74">
        <f ca="1">SUMIF($B$2:$B$475,$Q$12,$N$2:$N$475)</f>
        <v>0</v>
      </c>
      <c r="W12" s="74">
        <f>SUMIF($B$2:$B$475,$Q$12,$O$2:$O$475)</f>
        <v>0</v>
      </c>
      <c r="X12" s="54">
        <f>$R$12-$U$12</f>
        <v>0</v>
      </c>
      <c r="Y12" s="54">
        <f ca="1">$S$12-$V$12</f>
        <v>1709200.875562524</v>
      </c>
      <c r="Z12" s="54">
        <f>$T$12-$W$12</f>
        <v>575613.51928588247</v>
      </c>
      <c r="AA12" s="54">
        <f>SUMIF(EFEITO!$B$2:$B$475,$Q$12,EFEITO!$AE$2:$AE$475)</f>
        <v>0</v>
      </c>
      <c r="AB12" s="54">
        <f ca="1">SUMIF(EFEITO!$B$2:$B$475,$Q$12,EFEITO!$AF$2:$AF$475)</f>
        <v>1709200.875562524</v>
      </c>
      <c r="AC12" s="54">
        <f>SUMIF(EFEITO!$B$2:$B$475,$Q$12,EFEITO!$AG$2:$AH$475)</f>
        <v>575613.51928588247</v>
      </c>
      <c r="AD12" s="54">
        <f>SUMIF(SUBSIDIO!$B$2:$B$475,$Q$12,SUBSIDIO!$AD$2:$AD$475)</f>
        <v>0</v>
      </c>
      <c r="AE12" s="54">
        <f>SUMIF(SUBSIDIO!$B$2:$B$475,$Q$12,SUBSIDIO!$AE$2:$AE$475)</f>
        <v>0</v>
      </c>
      <c r="AF12" s="54" t="str">
        <f>IF(ABS($X$12-$AA$12)&lt;0.01,"OK","ERRO")</f>
        <v>OK</v>
      </c>
      <c r="AG12" s="54" t="str">
        <f ca="1">IF(ABS($Y$12-$AB$12)&lt;0.01,"OK","ERRO")</f>
        <v>OK</v>
      </c>
      <c r="AH12" s="54" t="str">
        <f>IF(ABS($Z$12-$AC$12)&lt;0.01,"OK","ERRO")</f>
        <v>OK</v>
      </c>
      <c r="AI12" s="54" t="str">
        <f>IF(ABS($U$12-$AD$12)&lt;0.01,"OK","ERRO")</f>
        <v>OK</v>
      </c>
      <c r="AJ12" s="54" t="str">
        <f ca="1">IF(ABS(($V$12+$W$12)-$AE$12)&lt;0.01,"OK","ERRO")</f>
        <v>OK</v>
      </c>
    </row>
    <row r="13" spans="1:40" ht="11.25" customHeight="1" x14ac:dyDescent="0.2">
      <c r="A13" s="53" t="s">
        <v>21</v>
      </c>
      <c r="B13" s="53" t="s">
        <v>37</v>
      </c>
      <c r="C13" s="53" t="s">
        <v>41</v>
      </c>
      <c r="D13" s="53" t="s">
        <v>40</v>
      </c>
      <c r="E13" s="53" t="s">
        <v>25</v>
      </c>
      <c r="F13" s="53" t="s">
        <v>25</v>
      </c>
      <c r="G13" s="53" t="s">
        <v>25</v>
      </c>
      <c r="H13" s="53" t="s">
        <v>34</v>
      </c>
      <c r="I13" s="73">
        <v>44621</v>
      </c>
      <c r="J13" s="74">
        <f ca="1">EFEITO!$J$13*EFEITO!$Y$13</f>
        <v>8428.2615393091091</v>
      </c>
      <c r="K13" s="74">
        <f ca="1">EFEITO!$L$13*EFEITO!$Z$13</f>
        <v>5709.6597873290184</v>
      </c>
      <c r="L13" s="74">
        <f>EFEITO!$N$13*EFEITO!$AA$13</f>
        <v>14179.424296095098</v>
      </c>
      <c r="M13" s="74">
        <f ca="1">$J$13-EFEITO!$K$13*EFEITO!$Y$13</f>
        <v>0</v>
      </c>
      <c r="N13" s="74">
        <f ca="1">$K$13-EFEITO!$M$13*EFEITO!$Z$13</f>
        <v>0</v>
      </c>
      <c r="O13" s="74">
        <f>$L$13-EFEITO!$O$13*EFEITO!$AA$13</f>
        <v>0</v>
      </c>
      <c r="P13" s="57"/>
      <c r="Q13" s="74" t="s">
        <v>82</v>
      </c>
      <c r="R13" s="74">
        <f>SUMIF($B$2:$B$475,$Q$13,$J$2:$J$475)</f>
        <v>0</v>
      </c>
      <c r="S13" s="74">
        <f>SUMIF($B$2:$B$475,$Q$13,$K$2:$K$475)</f>
        <v>0</v>
      </c>
      <c r="T13" s="74">
        <f>SUMIF($B$2:$B$475,$Q$13,$L$2:$L$475)</f>
        <v>0</v>
      </c>
      <c r="U13" s="74">
        <f>SUMIF($B$2:$B$475,$Q$13,$M$2:$M$475)</f>
        <v>0</v>
      </c>
      <c r="V13" s="74">
        <f>SUMIF($B$2:$B$475,$Q$13,$N$2:$N$475)</f>
        <v>0</v>
      </c>
      <c r="W13" s="74">
        <f>SUMIF($B$2:$B$475,$Q$13,$O$2:$O$475)</f>
        <v>0</v>
      </c>
      <c r="X13" s="54">
        <f>$R$13-$U$13</f>
        <v>0</v>
      </c>
      <c r="Y13" s="54">
        <f>$S$13-$V$13</f>
        <v>0</v>
      </c>
      <c r="Z13" s="54">
        <f>$T$13-$W$13</f>
        <v>0</v>
      </c>
      <c r="AA13" s="54">
        <f>SUMIF(EFEITO!$B$2:$B$475,$Q$13,EFEITO!$AE$2:$AE$475)</f>
        <v>0</v>
      </c>
      <c r="AB13" s="54">
        <f>SUMIF(EFEITO!$B$2:$B$475,$Q$13,EFEITO!$AF$2:$AF$475)</f>
        <v>0</v>
      </c>
      <c r="AC13" s="54">
        <f>SUMIF(EFEITO!$B$2:$B$475,$Q$13,EFEITO!$AG$2:$AH$475)</f>
        <v>0</v>
      </c>
      <c r="AD13" s="54">
        <f>SUMIF(SUBSIDIO!$B$2:$B$475,$Q$13,SUBSIDIO!$AD$2:$AD$475)</f>
        <v>0</v>
      </c>
      <c r="AE13" s="54">
        <f>SUMIF(SUBSIDIO!$B$2:$B$475,$Q$13,SUBSIDIO!$AE$2:$AE$475)</f>
        <v>0</v>
      </c>
      <c r="AF13" s="54" t="str">
        <f>IF(ABS($X$13-$AA$13)&lt;0.01,"OK","ERRO")</f>
        <v>OK</v>
      </c>
      <c r="AG13" s="54" t="str">
        <f>IF(ABS($Y$13-$AB$13)&lt;0.01,"OK","ERRO")</f>
        <v>OK</v>
      </c>
      <c r="AH13" s="54" t="str">
        <f>IF(ABS($Z$13-$AC$13)&lt;0.01,"OK","ERRO")</f>
        <v>OK</v>
      </c>
      <c r="AI13" s="54" t="str">
        <f>IF(ABS($U$13-$AD$13)&lt;0.01,"OK","ERRO")</f>
        <v>OK</v>
      </c>
      <c r="AJ13" s="54" t="str">
        <f>IF(ABS(($V$13+$W$13)-$AE$13)&lt;0.01,"OK","ERRO")</f>
        <v>OK</v>
      </c>
    </row>
    <row r="14" spans="1:40" ht="11.25" customHeight="1" x14ac:dyDescent="0.2">
      <c r="A14" s="53" t="s">
        <v>21</v>
      </c>
      <c r="B14" s="53" t="s">
        <v>37</v>
      </c>
      <c r="C14" s="53" t="s">
        <v>41</v>
      </c>
      <c r="D14" s="53" t="s">
        <v>40</v>
      </c>
      <c r="E14" s="53" t="s">
        <v>25</v>
      </c>
      <c r="F14" s="53" t="s">
        <v>25</v>
      </c>
      <c r="G14" s="53" t="s">
        <v>25</v>
      </c>
      <c r="H14" s="53" t="s">
        <v>39</v>
      </c>
      <c r="I14" s="73">
        <v>44287</v>
      </c>
      <c r="J14" s="74">
        <f ca="1">EFEITO!$J$14*EFEITO!$Y$14</f>
        <v>20433.499890736242</v>
      </c>
      <c r="K14" s="74">
        <f ca="1">EFEITO!$L$14*EFEITO!$Z$14</f>
        <v>453.99739264816145</v>
      </c>
      <c r="L14" s="74">
        <f>EFEITO!$N$14*EFEITO!$AA$14</f>
        <v>1127.461512499433</v>
      </c>
      <c r="M14" s="74">
        <f ca="1">$J$14-EFEITO!$K$14*EFEITO!$Y$14</f>
        <v>0</v>
      </c>
      <c r="N14" s="74">
        <f ca="1">$K$14-EFEITO!$M$14*EFEITO!$Z$14</f>
        <v>0</v>
      </c>
      <c r="O14" s="74">
        <f>$L$14-EFEITO!$O$14*EFEITO!$AA$14</f>
        <v>0</v>
      </c>
      <c r="P14" s="57"/>
      <c r="Q14" s="57"/>
      <c r="R14" s="57"/>
      <c r="S14" s="57"/>
      <c r="T14" s="57"/>
      <c r="U14" s="57"/>
      <c r="V14" s="57"/>
      <c r="W14" s="57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53" t="s">
        <v>21</v>
      </c>
      <c r="B15" s="53" t="s">
        <v>37</v>
      </c>
      <c r="C15" s="53" t="s">
        <v>41</v>
      </c>
      <c r="D15" s="53" t="s">
        <v>40</v>
      </c>
      <c r="E15" s="53" t="s">
        <v>25</v>
      </c>
      <c r="F15" s="53" t="s">
        <v>25</v>
      </c>
      <c r="G15" s="53" t="s">
        <v>25</v>
      </c>
      <c r="H15" s="53" t="s">
        <v>39</v>
      </c>
      <c r="I15" s="73">
        <v>44317</v>
      </c>
      <c r="J15" s="74">
        <f ca="1">EFEITO!$J$15*EFEITO!$Y$15</f>
        <v>20433.499890736242</v>
      </c>
      <c r="K15" s="74">
        <f ca="1">EFEITO!$L$15*EFEITO!$Z$15</f>
        <v>447.07223441474866</v>
      </c>
      <c r="L15" s="74">
        <f>EFEITO!$N$15*EFEITO!$AA$15</f>
        <v>1110.2635076153115</v>
      </c>
      <c r="M15" s="74">
        <f ca="1">$J$15-EFEITO!$K$15*EFEITO!$Y$15</f>
        <v>0</v>
      </c>
      <c r="N15" s="74">
        <f ca="1">$K$15-EFEITO!$M$15*EFEITO!$Z$15</f>
        <v>0</v>
      </c>
      <c r="O15" s="74">
        <f>$L$15-EFEITO!$O$15*EFEITO!$AA$15</f>
        <v>0</v>
      </c>
      <c r="P15" s="57"/>
      <c r="Q15" s="57"/>
      <c r="R15" s="57"/>
      <c r="S15" s="57"/>
      <c r="T15" s="57"/>
      <c r="U15" s="57"/>
      <c r="V15" s="57"/>
      <c r="W15" s="57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53" t="s">
        <v>21</v>
      </c>
      <c r="B16" s="53" t="s">
        <v>37</v>
      </c>
      <c r="C16" s="53" t="s">
        <v>41</v>
      </c>
      <c r="D16" s="53" t="s">
        <v>40</v>
      </c>
      <c r="E16" s="53" t="s">
        <v>25</v>
      </c>
      <c r="F16" s="53" t="s">
        <v>25</v>
      </c>
      <c r="G16" s="53" t="s">
        <v>25</v>
      </c>
      <c r="H16" s="53" t="s">
        <v>39</v>
      </c>
      <c r="I16" s="73">
        <v>44348</v>
      </c>
      <c r="J16" s="74">
        <f ca="1">EFEITO!$J$16*EFEITO!$Y$16</f>
        <v>20433.499890736242</v>
      </c>
      <c r="K16" s="74">
        <f ca="1">EFEITO!$L$16*EFEITO!$Z$16</f>
        <v>411.91373876819108</v>
      </c>
      <c r="L16" s="74">
        <f>EFEITO!$N$16*EFEITO!$AA$16</f>
        <v>1022.9505597420787</v>
      </c>
      <c r="M16" s="74">
        <f ca="1">$J$16-EFEITO!$K$16*EFEITO!$Y$16</f>
        <v>0</v>
      </c>
      <c r="N16" s="74">
        <f ca="1">$K$16-EFEITO!$M$16*EFEITO!$Z$16</f>
        <v>0</v>
      </c>
      <c r="O16" s="74">
        <f>$L$16-EFEITO!$O$16*EFEITO!$AA$16</f>
        <v>0</v>
      </c>
      <c r="P16" s="57"/>
      <c r="Q16" s="57"/>
      <c r="R16" s="57"/>
      <c r="S16" s="57"/>
      <c r="T16" s="57"/>
      <c r="U16" s="57"/>
      <c r="V16" s="57"/>
      <c r="W16" s="57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53" t="s">
        <v>21</v>
      </c>
      <c r="B17" s="53" t="s">
        <v>37</v>
      </c>
      <c r="C17" s="53" t="s">
        <v>41</v>
      </c>
      <c r="D17" s="53" t="s">
        <v>40</v>
      </c>
      <c r="E17" s="53" t="s">
        <v>25</v>
      </c>
      <c r="F17" s="53" t="s">
        <v>25</v>
      </c>
      <c r="G17" s="53" t="s">
        <v>25</v>
      </c>
      <c r="H17" s="53" t="s">
        <v>39</v>
      </c>
      <c r="I17" s="73">
        <v>44378</v>
      </c>
      <c r="J17" s="74">
        <f ca="1">EFEITO!$J$17*EFEITO!$Y$17</f>
        <v>20433.499890736242</v>
      </c>
      <c r="K17" s="74">
        <f ca="1">EFEITO!$L$17*EFEITO!$Z$17</f>
        <v>403.7899954559183</v>
      </c>
      <c r="L17" s="74">
        <f>EFEITO!$N$17*EFEITO!$AA$17</f>
        <v>1002.7759770895515</v>
      </c>
      <c r="M17" s="74">
        <f ca="1">$J$17-EFEITO!$K$17*EFEITO!$Y$17</f>
        <v>0</v>
      </c>
      <c r="N17" s="74">
        <f ca="1">$K$17-EFEITO!$M$17*EFEITO!$Z$17</f>
        <v>0</v>
      </c>
      <c r="O17" s="74">
        <f>$L$17-EFEITO!$O$17*EFEITO!$AA$17</f>
        <v>0</v>
      </c>
      <c r="P17" s="57"/>
      <c r="Q17" s="57"/>
      <c r="R17" s="57"/>
      <c r="S17" s="57"/>
      <c r="T17" s="57"/>
      <c r="U17" s="57"/>
      <c r="V17" s="57"/>
      <c r="W17" s="57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53" t="s">
        <v>21</v>
      </c>
      <c r="B18" s="53" t="s">
        <v>37</v>
      </c>
      <c r="C18" s="53" t="s">
        <v>41</v>
      </c>
      <c r="D18" s="53" t="s">
        <v>40</v>
      </c>
      <c r="E18" s="53" t="s">
        <v>25</v>
      </c>
      <c r="F18" s="53" t="s">
        <v>25</v>
      </c>
      <c r="G18" s="53" t="s">
        <v>25</v>
      </c>
      <c r="H18" s="53" t="s">
        <v>39</v>
      </c>
      <c r="I18" s="73">
        <v>44409</v>
      </c>
      <c r="J18" s="74">
        <f ca="1">EFEITO!$J$18*EFEITO!$Y$18</f>
        <v>20433.499890736242</v>
      </c>
      <c r="K18" s="74">
        <f ca="1">EFEITO!$L$18*EFEITO!$Z$18</f>
        <v>421.50241939907039</v>
      </c>
      <c r="L18" s="74">
        <f>EFEITO!$N$18*EFEITO!$AA$18</f>
        <v>1046.763181889324</v>
      </c>
      <c r="M18" s="74">
        <f ca="1">$J$18-EFEITO!$K$18*EFEITO!$Y$18</f>
        <v>0</v>
      </c>
      <c r="N18" s="74">
        <f ca="1">$K$18-EFEITO!$M$18*EFEITO!$Z$18</f>
        <v>0</v>
      </c>
      <c r="O18" s="74">
        <f>$L$18-EFEITO!$O$18*EFEITO!$AA$18</f>
        <v>0</v>
      </c>
      <c r="P18" s="57"/>
      <c r="Q18" s="57"/>
      <c r="R18" s="57"/>
      <c r="S18" s="57"/>
      <c r="T18" s="57"/>
      <c r="U18" s="57"/>
      <c r="V18" s="57"/>
      <c r="W18" s="57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53" t="s">
        <v>21</v>
      </c>
      <c r="B19" s="53" t="s">
        <v>37</v>
      </c>
      <c r="C19" s="53" t="s">
        <v>41</v>
      </c>
      <c r="D19" s="53" t="s">
        <v>40</v>
      </c>
      <c r="E19" s="53" t="s">
        <v>25</v>
      </c>
      <c r="F19" s="53" t="s">
        <v>25</v>
      </c>
      <c r="G19" s="53" t="s">
        <v>25</v>
      </c>
      <c r="H19" s="53" t="s">
        <v>39</v>
      </c>
      <c r="I19" s="73">
        <v>44440</v>
      </c>
      <c r="J19" s="74">
        <f ca="1">EFEITO!$J$19*EFEITO!$Y$19</f>
        <v>20433.499890736242</v>
      </c>
      <c r="K19" s="74">
        <f ca="1">EFEITO!$L$19*EFEITO!$Z$19</f>
        <v>453.46468816866815</v>
      </c>
      <c r="L19" s="74">
        <f>EFEITO!$N$19*EFEITO!$AA$19</f>
        <v>1126.1385890468082</v>
      </c>
      <c r="M19" s="74">
        <f ca="1">$J$19-EFEITO!$K$19*EFEITO!$Y$19</f>
        <v>0</v>
      </c>
      <c r="N19" s="74">
        <f ca="1">$K$19-EFEITO!$M$19*EFEITO!$Z$19</f>
        <v>0</v>
      </c>
      <c r="O19" s="74">
        <f>$L$19-EFEITO!$O$19*EFEITO!$AA$19</f>
        <v>0</v>
      </c>
      <c r="P19" s="57"/>
      <c r="Q19" s="57"/>
      <c r="R19" s="57"/>
      <c r="S19" s="57"/>
      <c r="T19" s="57"/>
      <c r="U19" s="57"/>
      <c r="V19" s="57"/>
      <c r="W19" s="57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53" t="s">
        <v>21</v>
      </c>
      <c r="B20" s="53" t="s">
        <v>37</v>
      </c>
      <c r="C20" s="53" t="s">
        <v>41</v>
      </c>
      <c r="D20" s="53" t="s">
        <v>40</v>
      </c>
      <c r="E20" s="53" t="s">
        <v>25</v>
      </c>
      <c r="F20" s="53" t="s">
        <v>25</v>
      </c>
      <c r="G20" s="53" t="s">
        <v>25</v>
      </c>
      <c r="H20" s="53" t="s">
        <v>39</v>
      </c>
      <c r="I20" s="73">
        <v>44470</v>
      </c>
      <c r="J20" s="74">
        <f ca="1">EFEITO!$J$20*EFEITO!$Y$20</f>
        <v>20433.499890736242</v>
      </c>
      <c r="K20" s="74">
        <f ca="1">EFEITO!$L$20*EFEITO!$Z$20</f>
        <v>413.51185220667099</v>
      </c>
      <c r="L20" s="74">
        <f>EFEITO!$N$20*EFEITO!$AA$20</f>
        <v>1026.919330099953</v>
      </c>
      <c r="M20" s="74">
        <f ca="1">$J$20-EFEITO!$K$20*EFEITO!$Y$20</f>
        <v>0</v>
      </c>
      <c r="N20" s="74">
        <f ca="1">$K$20-EFEITO!$M$20*EFEITO!$Z$20</f>
        <v>0</v>
      </c>
      <c r="O20" s="74">
        <f>$L$20-EFEITO!$O$20*EFEITO!$AA$20</f>
        <v>0</v>
      </c>
      <c r="P20" s="57"/>
      <c r="Q20" s="57"/>
      <c r="R20" s="57"/>
      <c r="S20" s="57"/>
      <c r="T20" s="57"/>
      <c r="U20" s="57"/>
      <c r="V20" s="57"/>
      <c r="W20" s="57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53" t="s">
        <v>21</v>
      </c>
      <c r="B21" s="53" t="s">
        <v>37</v>
      </c>
      <c r="C21" s="53" t="s">
        <v>41</v>
      </c>
      <c r="D21" s="53" t="s">
        <v>40</v>
      </c>
      <c r="E21" s="53" t="s">
        <v>25</v>
      </c>
      <c r="F21" s="53" t="s">
        <v>25</v>
      </c>
      <c r="G21" s="53" t="s">
        <v>25</v>
      </c>
      <c r="H21" s="53" t="s">
        <v>39</v>
      </c>
      <c r="I21" s="73">
        <v>44501</v>
      </c>
      <c r="J21" s="74">
        <f ca="1">EFEITO!$J$21*EFEITO!$Y$21</f>
        <v>20433.499890736242</v>
      </c>
      <c r="K21" s="74">
        <f ca="1">EFEITO!$L$21*EFEITO!$Z$21</f>
        <v>446.40635381538198</v>
      </c>
      <c r="L21" s="74">
        <f>EFEITO!$N$21*EFEITO!$AA$21</f>
        <v>1108.6098532995304</v>
      </c>
      <c r="M21" s="74">
        <f ca="1">$J$21-EFEITO!$K$21*EFEITO!$Y$21</f>
        <v>0</v>
      </c>
      <c r="N21" s="74">
        <f ca="1">$K$21-EFEITO!$M$21*EFEITO!$Z$21</f>
        <v>0</v>
      </c>
      <c r="O21" s="74">
        <f>$L$21-EFEITO!$O$21*EFEITO!$AA$21</f>
        <v>0</v>
      </c>
      <c r="P21" s="57"/>
      <c r="Q21" s="57"/>
      <c r="R21" s="57"/>
      <c r="S21" s="57"/>
      <c r="T21" s="57"/>
      <c r="U21" s="57"/>
      <c r="V21" s="57"/>
      <c r="W21" s="57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53" t="s">
        <v>21</v>
      </c>
      <c r="B22" s="53" t="s">
        <v>37</v>
      </c>
      <c r="C22" s="53" t="s">
        <v>41</v>
      </c>
      <c r="D22" s="53" t="s">
        <v>40</v>
      </c>
      <c r="E22" s="53" t="s">
        <v>25</v>
      </c>
      <c r="F22" s="53" t="s">
        <v>25</v>
      </c>
      <c r="G22" s="53" t="s">
        <v>25</v>
      </c>
      <c r="H22" s="53" t="s">
        <v>39</v>
      </c>
      <c r="I22" s="73">
        <v>44531</v>
      </c>
      <c r="J22" s="74">
        <f ca="1">EFEITO!$J$22*EFEITO!$Y$22</f>
        <v>20433.499890736242</v>
      </c>
      <c r="K22" s="74">
        <f ca="1">EFEITO!$L$22*EFEITO!$Z$22</f>
        <v>529.90778097595614</v>
      </c>
      <c r="L22" s="74">
        <f>EFEITO!$N$22*EFEITO!$AA$22</f>
        <v>1315.9781044984582</v>
      </c>
      <c r="M22" s="74">
        <f ca="1">$J$22-EFEITO!$K$22*EFEITO!$Y$22</f>
        <v>0</v>
      </c>
      <c r="N22" s="74">
        <f ca="1">$K$22-EFEITO!$M$22*EFEITO!$Z$22</f>
        <v>0</v>
      </c>
      <c r="O22" s="74">
        <f>$L$22-EFEITO!$O$22*EFEITO!$AA$22</f>
        <v>0</v>
      </c>
      <c r="P22" s="57"/>
      <c r="Q22" s="57"/>
      <c r="R22" s="57"/>
      <c r="S22" s="57"/>
      <c r="T22" s="57"/>
      <c r="U22" s="57"/>
      <c r="V22" s="57"/>
      <c r="W22" s="57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53" t="s">
        <v>21</v>
      </c>
      <c r="B23" s="53" t="s">
        <v>37</v>
      </c>
      <c r="C23" s="53" t="s">
        <v>41</v>
      </c>
      <c r="D23" s="53" t="s">
        <v>40</v>
      </c>
      <c r="E23" s="53" t="s">
        <v>25</v>
      </c>
      <c r="F23" s="53" t="s">
        <v>25</v>
      </c>
      <c r="G23" s="53" t="s">
        <v>25</v>
      </c>
      <c r="H23" s="53" t="s">
        <v>39</v>
      </c>
      <c r="I23" s="73">
        <v>44562</v>
      </c>
      <c r="J23" s="74">
        <f ca="1">EFEITO!$J$23*EFEITO!$Y$23</f>
        <v>20433.499890736242</v>
      </c>
      <c r="K23" s="74">
        <f ca="1">EFEITO!$L$23*EFEITO!$Z$23</f>
        <v>548.15290939860142</v>
      </c>
      <c r="L23" s="74">
        <f>EFEITO!$N$23*EFEITO!$AA$23</f>
        <v>1361.2882327508553</v>
      </c>
      <c r="M23" s="74">
        <f ca="1">$J$23-EFEITO!$K$23*EFEITO!$Y$23</f>
        <v>0</v>
      </c>
      <c r="N23" s="74">
        <f ca="1">$K$23-EFEITO!$M$23*EFEITO!$Z$23</f>
        <v>0</v>
      </c>
      <c r="O23" s="74">
        <f>$L$23-EFEITO!$O$23*EFEITO!$AA$23</f>
        <v>0</v>
      </c>
      <c r="P23" s="57"/>
      <c r="Q23" s="57"/>
      <c r="R23" s="57"/>
      <c r="S23" s="57"/>
      <c r="T23" s="57"/>
      <c r="U23" s="57"/>
      <c r="V23" s="57"/>
      <c r="W23" s="57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53" t="s">
        <v>21</v>
      </c>
      <c r="B24" s="53" t="s">
        <v>37</v>
      </c>
      <c r="C24" s="53" t="s">
        <v>41</v>
      </c>
      <c r="D24" s="53" t="s">
        <v>40</v>
      </c>
      <c r="E24" s="53" t="s">
        <v>25</v>
      </c>
      <c r="F24" s="53" t="s">
        <v>25</v>
      </c>
      <c r="G24" s="53" t="s">
        <v>25</v>
      </c>
      <c r="H24" s="53" t="s">
        <v>39</v>
      </c>
      <c r="I24" s="73">
        <v>44593</v>
      </c>
      <c r="J24" s="74">
        <f ca="1">EFEITO!$J$24*EFEITO!$Y$24</f>
        <v>20433.499890736242</v>
      </c>
      <c r="K24" s="74">
        <f ca="1">EFEITO!$L$24*EFEITO!$Z$24</f>
        <v>489.55541665433901</v>
      </c>
      <c r="L24" s="74">
        <f>EFEITO!$N$24*EFEITO!$AA$24</f>
        <v>1215.7666529621342</v>
      </c>
      <c r="M24" s="74">
        <f ca="1">$J$24-EFEITO!$K$24*EFEITO!$Y$24</f>
        <v>0</v>
      </c>
      <c r="N24" s="74">
        <f ca="1">$K$24-EFEITO!$M$24*EFEITO!$Z$24</f>
        <v>0</v>
      </c>
      <c r="O24" s="74">
        <f>$L$24-EFEITO!$O$24*EFEITO!$AA$24</f>
        <v>0</v>
      </c>
      <c r="P24" s="57"/>
      <c r="Q24" s="57"/>
      <c r="R24" s="57"/>
      <c r="S24" s="57"/>
      <c r="T24" s="57"/>
      <c r="U24" s="57"/>
      <c r="V24" s="57"/>
      <c r="W24" s="57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53" t="s">
        <v>21</v>
      </c>
      <c r="B25" s="53" t="s">
        <v>37</v>
      </c>
      <c r="C25" s="53" t="s">
        <v>41</v>
      </c>
      <c r="D25" s="53" t="s">
        <v>40</v>
      </c>
      <c r="E25" s="53" t="s">
        <v>25</v>
      </c>
      <c r="F25" s="53" t="s">
        <v>25</v>
      </c>
      <c r="G25" s="53" t="s">
        <v>25</v>
      </c>
      <c r="H25" s="53" t="s">
        <v>39</v>
      </c>
      <c r="I25" s="73">
        <v>44621</v>
      </c>
      <c r="J25" s="74">
        <f ca="1">EFEITO!$J$25*EFEITO!$Y$25</f>
        <v>20433.499890736242</v>
      </c>
      <c r="K25" s="74">
        <f ca="1">EFEITO!$L$25*EFEITO!$Z$25</f>
        <v>617.93719621222328</v>
      </c>
      <c r="L25" s="74">
        <f>EFEITO!$N$25*EFEITO!$AA$25</f>
        <v>1534.5912050446959</v>
      </c>
      <c r="M25" s="74">
        <f ca="1">$J$25-EFEITO!$K$25*EFEITO!$Y$25</f>
        <v>0</v>
      </c>
      <c r="N25" s="74">
        <f ca="1">$K$25-EFEITO!$M$25*EFEITO!$Z$25</f>
        <v>0</v>
      </c>
      <c r="O25" s="74">
        <f>$L$25-EFEITO!$O$25*EFEITO!$AA$25</f>
        <v>0</v>
      </c>
      <c r="P25" s="57"/>
      <c r="Q25" s="57"/>
      <c r="R25" s="57"/>
      <c r="S25" s="57"/>
      <c r="T25" s="57"/>
      <c r="U25" s="57"/>
      <c r="V25" s="57"/>
      <c r="W25" s="57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53" t="s">
        <v>21</v>
      </c>
      <c r="B26" s="53" t="s">
        <v>37</v>
      </c>
      <c r="C26" s="53" t="s">
        <v>38</v>
      </c>
      <c r="D26" s="53" t="s">
        <v>40</v>
      </c>
      <c r="E26" s="53" t="s">
        <v>25</v>
      </c>
      <c r="F26" s="53" t="s">
        <v>25</v>
      </c>
      <c r="G26" s="53" t="s">
        <v>25</v>
      </c>
      <c r="H26" s="53" t="s">
        <v>34</v>
      </c>
      <c r="I26" s="73">
        <v>44287</v>
      </c>
      <c r="J26" s="74">
        <f>EFEITO!$J$26*EFEITO!$Y$26</f>
        <v>0</v>
      </c>
      <c r="K26" s="74">
        <f ca="1">EFEITO!$L$26*EFEITO!$Z$26</f>
        <v>10095.282590877452</v>
      </c>
      <c r="L26" s="74">
        <f>EFEITO!$N$26*EFEITO!$AA$26</f>
        <v>25070.722350691412</v>
      </c>
      <c r="M26" s="74">
        <f>$J$26-EFEITO!$K$26*EFEITO!$Y$26</f>
        <v>0</v>
      </c>
      <c r="N26" s="74">
        <f ca="1">$K$26-EFEITO!$M$26*EFEITO!$Z$26</f>
        <v>0</v>
      </c>
      <c r="O26" s="74">
        <f>$L$26-EFEITO!$O$26*EFEITO!$AA$26</f>
        <v>0</v>
      </c>
      <c r="P26" s="57"/>
      <c r="Q26" s="57"/>
      <c r="R26" s="57"/>
      <c r="S26" s="57"/>
      <c r="T26" s="57"/>
      <c r="U26" s="57"/>
      <c r="V26" s="57"/>
      <c r="W26" s="57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53" t="s">
        <v>21</v>
      </c>
      <c r="B27" s="53" t="s">
        <v>37</v>
      </c>
      <c r="C27" s="53" t="s">
        <v>38</v>
      </c>
      <c r="D27" s="53" t="s">
        <v>40</v>
      </c>
      <c r="E27" s="53" t="s">
        <v>25</v>
      </c>
      <c r="F27" s="53" t="s">
        <v>25</v>
      </c>
      <c r="G27" s="53" t="s">
        <v>25</v>
      </c>
      <c r="H27" s="53" t="s">
        <v>34</v>
      </c>
      <c r="I27" s="73">
        <v>44317</v>
      </c>
      <c r="J27" s="74">
        <f>EFEITO!$J$27*EFEITO!$Y$27</f>
        <v>0</v>
      </c>
      <c r="K27" s="74">
        <f ca="1">EFEITO!$L$27*EFEITO!$Z$27</f>
        <v>9980.4847755466453</v>
      </c>
      <c r="L27" s="74">
        <f>EFEITO!$N$27*EFEITO!$AA$27</f>
        <v>24785.632346650778</v>
      </c>
      <c r="M27" s="74">
        <f>$J$27-EFEITO!$K$27*EFEITO!$Y$27</f>
        <v>0</v>
      </c>
      <c r="N27" s="74">
        <f ca="1">$K$27-EFEITO!$M$27*EFEITO!$Z$27</f>
        <v>0</v>
      </c>
      <c r="O27" s="74">
        <f>$L$27-EFEITO!$O$27*EFEITO!$AA$27</f>
        <v>0</v>
      </c>
      <c r="P27" s="57"/>
      <c r="Q27" s="57"/>
      <c r="R27" s="57"/>
      <c r="S27" s="57"/>
      <c r="T27" s="57"/>
      <c r="U27" s="57"/>
      <c r="V27" s="57"/>
      <c r="W27" s="57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53" t="s">
        <v>21</v>
      </c>
      <c r="B28" s="53" t="s">
        <v>37</v>
      </c>
      <c r="C28" s="53" t="s">
        <v>38</v>
      </c>
      <c r="D28" s="53" t="s">
        <v>40</v>
      </c>
      <c r="E28" s="53" t="s">
        <v>25</v>
      </c>
      <c r="F28" s="53" t="s">
        <v>25</v>
      </c>
      <c r="G28" s="53" t="s">
        <v>25</v>
      </c>
      <c r="H28" s="53" t="s">
        <v>34</v>
      </c>
      <c r="I28" s="73">
        <v>44348</v>
      </c>
      <c r="J28" s="74">
        <f>EFEITO!$J$28*EFEITO!$Y$28</f>
        <v>0</v>
      </c>
      <c r="K28" s="74">
        <f ca="1">EFEITO!$L$28*EFEITO!$Z$28</f>
        <v>9408.6265168105929</v>
      </c>
      <c r="L28" s="74">
        <f>EFEITO!$N$28*EFEITO!$AA$28</f>
        <v>23365.474020258123</v>
      </c>
      <c r="M28" s="74">
        <f>$J$28-EFEITO!$K$28*EFEITO!$Y$28</f>
        <v>0</v>
      </c>
      <c r="N28" s="74">
        <f ca="1">$K$28-EFEITO!$M$28*EFEITO!$Z$28</f>
        <v>0</v>
      </c>
      <c r="O28" s="74">
        <f>$L$28-EFEITO!$O$28*EFEITO!$AA$28</f>
        <v>0</v>
      </c>
      <c r="P28" s="57"/>
      <c r="Q28" s="57"/>
      <c r="R28" s="57"/>
      <c r="S28" s="57"/>
      <c r="T28" s="57"/>
      <c r="U28" s="57"/>
      <c r="V28" s="57"/>
      <c r="W28" s="57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53" t="s">
        <v>21</v>
      </c>
      <c r="B29" s="53" t="s">
        <v>37</v>
      </c>
      <c r="C29" s="53" t="s">
        <v>38</v>
      </c>
      <c r="D29" s="53" t="s">
        <v>40</v>
      </c>
      <c r="E29" s="53" t="s">
        <v>25</v>
      </c>
      <c r="F29" s="53" t="s">
        <v>25</v>
      </c>
      <c r="G29" s="53" t="s">
        <v>25</v>
      </c>
      <c r="H29" s="53" t="s">
        <v>34</v>
      </c>
      <c r="I29" s="73">
        <v>44378</v>
      </c>
      <c r="J29" s="74">
        <f>EFEITO!$J$29*EFEITO!$Y$29</f>
        <v>0</v>
      </c>
      <c r="K29" s="74">
        <f ca="1">EFEITO!$L$29*EFEITO!$Z$29</f>
        <v>9268.9247670634759</v>
      </c>
      <c r="L29" s="74">
        <f>EFEITO!$N$29*EFEITO!$AA$29</f>
        <v>23018.537344807286</v>
      </c>
      <c r="M29" s="74">
        <f>$J$29-EFEITO!$K$29*EFEITO!$Y$29</f>
        <v>0</v>
      </c>
      <c r="N29" s="74">
        <f ca="1">$K$29-EFEITO!$M$29*EFEITO!$Z$29</f>
        <v>0</v>
      </c>
      <c r="O29" s="74">
        <f>$L$29-EFEITO!$O$29*EFEITO!$AA$29</f>
        <v>0</v>
      </c>
      <c r="P29" s="57"/>
      <c r="Q29" s="57"/>
      <c r="R29" s="57"/>
      <c r="S29" s="57"/>
      <c r="T29" s="57"/>
      <c r="U29" s="57"/>
      <c r="V29" s="57"/>
      <c r="W29" s="57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53" t="s">
        <v>21</v>
      </c>
      <c r="B30" s="53" t="s">
        <v>37</v>
      </c>
      <c r="C30" s="53" t="s">
        <v>38</v>
      </c>
      <c r="D30" s="53" t="s">
        <v>40</v>
      </c>
      <c r="E30" s="53" t="s">
        <v>25</v>
      </c>
      <c r="F30" s="53" t="s">
        <v>25</v>
      </c>
      <c r="G30" s="53" t="s">
        <v>25</v>
      </c>
      <c r="H30" s="53" t="s">
        <v>34</v>
      </c>
      <c r="I30" s="73">
        <v>44409</v>
      </c>
      <c r="J30" s="74">
        <f>EFEITO!$J$30*EFEITO!$Y$30</f>
        <v>0</v>
      </c>
      <c r="K30" s="74">
        <f ca="1">EFEITO!$L$30*EFEITO!$Z$30</f>
        <v>9308.2117224261074</v>
      </c>
      <c r="L30" s="74">
        <f>EFEITO!$N$30*EFEITO!$AA$30</f>
        <v>23116.102949438362</v>
      </c>
      <c r="M30" s="74">
        <f>$J$30-EFEITO!$K$30*EFEITO!$Y$30</f>
        <v>0</v>
      </c>
      <c r="N30" s="74">
        <f ca="1">$K$30-EFEITO!$M$30*EFEITO!$Z$30</f>
        <v>0</v>
      </c>
      <c r="O30" s="74">
        <f>$L$30-EFEITO!$O$30*EFEITO!$AA$30</f>
        <v>0</v>
      </c>
      <c r="P30" s="57"/>
      <c r="Q30" s="57"/>
      <c r="R30" s="57"/>
      <c r="S30" s="57"/>
      <c r="T30" s="57"/>
      <c r="U30" s="57"/>
      <c r="V30" s="57"/>
      <c r="W30" s="57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53" t="s">
        <v>21</v>
      </c>
      <c r="B31" s="53" t="s">
        <v>37</v>
      </c>
      <c r="C31" s="53" t="s">
        <v>38</v>
      </c>
      <c r="D31" s="53" t="s">
        <v>40</v>
      </c>
      <c r="E31" s="53" t="s">
        <v>25</v>
      </c>
      <c r="F31" s="53" t="s">
        <v>25</v>
      </c>
      <c r="G31" s="53" t="s">
        <v>25</v>
      </c>
      <c r="H31" s="53" t="s">
        <v>34</v>
      </c>
      <c r="I31" s="73">
        <v>44440</v>
      </c>
      <c r="J31" s="74">
        <f>EFEITO!$J$31*EFEITO!$Y$31</f>
        <v>0</v>
      </c>
      <c r="K31" s="74">
        <f ca="1">EFEITO!$L$31*EFEITO!$Z$31</f>
        <v>11021.389328476545</v>
      </c>
      <c r="L31" s="74">
        <f>EFEITO!$N$31*EFEITO!$AA$31</f>
        <v>27370.624773079515</v>
      </c>
      <c r="M31" s="74">
        <f>$J$31-EFEITO!$K$31*EFEITO!$Y$31</f>
        <v>0</v>
      </c>
      <c r="N31" s="74">
        <f ca="1">$K$31-EFEITO!$M$31*EFEITO!$Z$31</f>
        <v>0</v>
      </c>
      <c r="O31" s="74">
        <f>$L$31-EFEITO!$O$31*EFEITO!$AA$31</f>
        <v>0</v>
      </c>
      <c r="P31" s="57"/>
      <c r="Q31" s="57"/>
      <c r="R31" s="57"/>
      <c r="S31" s="57"/>
      <c r="T31" s="57"/>
      <c r="U31" s="57"/>
      <c r="V31" s="57"/>
      <c r="W31" s="57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53" t="s">
        <v>21</v>
      </c>
      <c r="B32" s="53" t="s">
        <v>37</v>
      </c>
      <c r="C32" s="53" t="s">
        <v>38</v>
      </c>
      <c r="D32" s="53" t="s">
        <v>40</v>
      </c>
      <c r="E32" s="53" t="s">
        <v>25</v>
      </c>
      <c r="F32" s="53" t="s">
        <v>25</v>
      </c>
      <c r="G32" s="53" t="s">
        <v>25</v>
      </c>
      <c r="H32" s="53" t="s">
        <v>34</v>
      </c>
      <c r="I32" s="73">
        <v>44470</v>
      </c>
      <c r="J32" s="74">
        <f>EFEITO!$J$32*EFEITO!$Y$32</f>
        <v>0</v>
      </c>
      <c r="K32" s="74">
        <f ca="1">EFEITO!$L$32*EFEITO!$Z$32</f>
        <v>11459.006058380288</v>
      </c>
      <c r="L32" s="74">
        <f>EFEITO!$N$32*EFEITO!$AA$32</f>
        <v>28457.406389410738</v>
      </c>
      <c r="M32" s="74">
        <f>$J$32-EFEITO!$K$32*EFEITO!$Y$32</f>
        <v>0</v>
      </c>
      <c r="N32" s="74">
        <f ca="1">$K$32-EFEITO!$M$32*EFEITO!$Z$32</f>
        <v>0</v>
      </c>
      <c r="O32" s="74">
        <f>$L$32-EFEITO!$O$32*EFEITO!$AA$32</f>
        <v>0</v>
      </c>
      <c r="P32" s="57"/>
      <c r="Q32" s="57"/>
      <c r="R32" s="57"/>
      <c r="S32" s="57"/>
      <c r="T32" s="57"/>
      <c r="U32" s="57"/>
      <c r="V32" s="57"/>
      <c r="W32" s="57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53" t="s">
        <v>21</v>
      </c>
      <c r="B33" s="53" t="s">
        <v>37</v>
      </c>
      <c r="C33" s="53" t="s">
        <v>38</v>
      </c>
      <c r="D33" s="53" t="s">
        <v>40</v>
      </c>
      <c r="E33" s="53" t="s">
        <v>25</v>
      </c>
      <c r="F33" s="53" t="s">
        <v>25</v>
      </c>
      <c r="G33" s="53" t="s">
        <v>25</v>
      </c>
      <c r="H33" s="53" t="s">
        <v>34</v>
      </c>
      <c r="I33" s="73">
        <v>44501</v>
      </c>
      <c r="J33" s="74">
        <f>EFEITO!$J$33*EFEITO!$Y$33</f>
        <v>0</v>
      </c>
      <c r="K33" s="74">
        <f ca="1">EFEITO!$L$33*EFEITO!$Z$33</f>
        <v>11493.365497307608</v>
      </c>
      <c r="L33" s="74">
        <f>EFEITO!$N$33*EFEITO!$AA$33</f>
        <v>28542.734952105038</v>
      </c>
      <c r="M33" s="74">
        <f>$J$33-EFEITO!$K$33*EFEITO!$Y$33</f>
        <v>0</v>
      </c>
      <c r="N33" s="74">
        <f ca="1">$K$33-EFEITO!$M$33*EFEITO!$Z$33</f>
        <v>0</v>
      </c>
      <c r="O33" s="74">
        <f>$L$33-EFEITO!$O$33*EFEITO!$AA$33</f>
        <v>0</v>
      </c>
      <c r="P33" s="57"/>
      <c r="Q33" s="57"/>
      <c r="R33" s="57"/>
      <c r="S33" s="57"/>
      <c r="T33" s="57"/>
      <c r="U33" s="57"/>
      <c r="V33" s="57"/>
      <c r="W33" s="57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53" t="s">
        <v>21</v>
      </c>
      <c r="B34" s="53" t="s">
        <v>37</v>
      </c>
      <c r="C34" s="53" t="s">
        <v>38</v>
      </c>
      <c r="D34" s="53" t="s">
        <v>40</v>
      </c>
      <c r="E34" s="53" t="s">
        <v>25</v>
      </c>
      <c r="F34" s="53" t="s">
        <v>25</v>
      </c>
      <c r="G34" s="53" t="s">
        <v>25</v>
      </c>
      <c r="H34" s="53" t="s">
        <v>34</v>
      </c>
      <c r="I34" s="73">
        <v>44531</v>
      </c>
      <c r="J34" s="74">
        <f>EFEITO!$J$34*EFEITO!$Y$34</f>
        <v>0</v>
      </c>
      <c r="K34" s="74">
        <f ca="1">EFEITO!$L$34*EFEITO!$Z$34</f>
        <v>13840.727786194815</v>
      </c>
      <c r="L34" s="74">
        <f>EFEITO!$N$34*EFEITO!$AA$34</f>
        <v>34372.197146095947</v>
      </c>
      <c r="M34" s="74">
        <f>$J$34-EFEITO!$K$34*EFEITO!$Y$34</f>
        <v>0</v>
      </c>
      <c r="N34" s="74">
        <f ca="1">$K$34-EFEITO!$M$34*EFEITO!$Z$34</f>
        <v>0</v>
      </c>
      <c r="O34" s="74">
        <f>$L$34-EFEITO!$O$34*EFEITO!$AA$34</f>
        <v>0</v>
      </c>
      <c r="P34" s="57"/>
      <c r="Q34" s="57"/>
      <c r="R34" s="57"/>
      <c r="S34" s="57"/>
      <c r="T34" s="57"/>
      <c r="U34" s="57"/>
      <c r="V34" s="57"/>
      <c r="W34" s="57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53" t="s">
        <v>21</v>
      </c>
      <c r="B35" s="53" t="s">
        <v>37</v>
      </c>
      <c r="C35" s="53" t="s">
        <v>38</v>
      </c>
      <c r="D35" s="53" t="s">
        <v>40</v>
      </c>
      <c r="E35" s="53" t="s">
        <v>25</v>
      </c>
      <c r="F35" s="53" t="s">
        <v>25</v>
      </c>
      <c r="G35" s="53" t="s">
        <v>25</v>
      </c>
      <c r="H35" s="53" t="s">
        <v>34</v>
      </c>
      <c r="I35" s="73">
        <v>44562</v>
      </c>
      <c r="J35" s="74">
        <f>EFEITO!$J$35*EFEITO!$Y$35</f>
        <v>0</v>
      </c>
      <c r="K35" s="74">
        <f ca="1">EFEITO!$L$35*EFEITO!$Z$35</f>
        <v>16095.266319530316</v>
      </c>
      <c r="L35" s="74">
        <f>EFEITO!$N$35*EFEITO!$AA$35</f>
        <v>39971.13992846699</v>
      </c>
      <c r="M35" s="74">
        <f>$J$35-EFEITO!$K$35*EFEITO!$Y$35</f>
        <v>0</v>
      </c>
      <c r="N35" s="74">
        <f ca="1">$K$35-EFEITO!$M$35*EFEITO!$Z$35</f>
        <v>0</v>
      </c>
      <c r="O35" s="74">
        <f>$L$35-EFEITO!$O$35*EFEITO!$AA$35</f>
        <v>0</v>
      </c>
      <c r="P35" s="57"/>
      <c r="Q35" s="57"/>
      <c r="R35" s="57"/>
      <c r="S35" s="57"/>
      <c r="T35" s="57"/>
      <c r="U35" s="57"/>
      <c r="V35" s="57"/>
      <c r="W35" s="57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53" t="s">
        <v>21</v>
      </c>
      <c r="B36" s="53" t="s">
        <v>37</v>
      </c>
      <c r="C36" s="53" t="s">
        <v>38</v>
      </c>
      <c r="D36" s="53" t="s">
        <v>40</v>
      </c>
      <c r="E36" s="53" t="s">
        <v>25</v>
      </c>
      <c r="F36" s="53" t="s">
        <v>25</v>
      </c>
      <c r="G36" s="53" t="s">
        <v>25</v>
      </c>
      <c r="H36" s="53" t="s">
        <v>34</v>
      </c>
      <c r="I36" s="73">
        <v>44593</v>
      </c>
      <c r="J36" s="74">
        <f>EFEITO!$J$36*EFEITO!$Y$36</f>
        <v>0</v>
      </c>
      <c r="K36" s="74">
        <f ca="1">EFEITO!$L$36*EFEITO!$Z$36</f>
        <v>14158.352832092693</v>
      </c>
      <c r="L36" s="74">
        <f>EFEITO!$N$36*EFEITO!$AA$36</f>
        <v>35160.990254723445</v>
      </c>
      <c r="M36" s="74">
        <f>$J$36-EFEITO!$K$36*EFEITO!$Y$36</f>
        <v>0</v>
      </c>
      <c r="N36" s="74">
        <f ca="1">$K$36-EFEITO!$M$36*EFEITO!$Z$36</f>
        <v>0</v>
      </c>
      <c r="O36" s="74">
        <f>$L$36-EFEITO!$O$36*EFEITO!$AA$36</f>
        <v>0</v>
      </c>
      <c r="P36" s="57"/>
      <c r="Q36" s="57"/>
      <c r="R36" s="57"/>
      <c r="S36" s="57"/>
      <c r="T36" s="57"/>
      <c r="U36" s="57"/>
      <c r="V36" s="57"/>
      <c r="W36" s="57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53" t="s">
        <v>21</v>
      </c>
      <c r="B37" s="53" t="s">
        <v>37</v>
      </c>
      <c r="C37" s="53" t="s">
        <v>38</v>
      </c>
      <c r="D37" s="53" t="s">
        <v>40</v>
      </c>
      <c r="E37" s="53" t="s">
        <v>25</v>
      </c>
      <c r="F37" s="53" t="s">
        <v>25</v>
      </c>
      <c r="G37" s="53" t="s">
        <v>25</v>
      </c>
      <c r="H37" s="53" t="s">
        <v>34</v>
      </c>
      <c r="I37" s="73">
        <v>44621</v>
      </c>
      <c r="J37" s="74">
        <f>EFEITO!$J$37*EFEITO!$Y$37</f>
        <v>0</v>
      </c>
      <c r="K37" s="74">
        <f ca="1">EFEITO!$L$37*EFEITO!$Z$37</f>
        <v>16399.440577320991</v>
      </c>
      <c r="L37" s="74">
        <f>EFEITO!$N$37*EFEITO!$AA$37</f>
        <v>40726.529219915719</v>
      </c>
      <c r="M37" s="74">
        <f>$J$37-EFEITO!$K$37*EFEITO!$Y$37</f>
        <v>0</v>
      </c>
      <c r="N37" s="74">
        <f ca="1">$K$37-EFEITO!$M$37*EFEITO!$Z$37</f>
        <v>0</v>
      </c>
      <c r="O37" s="74">
        <f>$L$37-EFEITO!$O$37*EFEITO!$AA$37</f>
        <v>0</v>
      </c>
      <c r="P37" s="57"/>
      <c r="Q37" s="57"/>
      <c r="R37" s="57"/>
      <c r="S37" s="57"/>
      <c r="T37" s="57"/>
      <c r="U37" s="57"/>
      <c r="V37" s="57"/>
      <c r="W37" s="57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53" t="s">
        <v>21</v>
      </c>
      <c r="B38" s="53" t="s">
        <v>37</v>
      </c>
      <c r="C38" s="53" t="s">
        <v>38</v>
      </c>
      <c r="D38" s="53" t="s">
        <v>40</v>
      </c>
      <c r="E38" s="53" t="s">
        <v>25</v>
      </c>
      <c r="F38" s="53" t="s">
        <v>25</v>
      </c>
      <c r="G38" s="53" t="s">
        <v>25</v>
      </c>
      <c r="H38" s="53" t="s">
        <v>25</v>
      </c>
      <c r="I38" s="73">
        <v>44287</v>
      </c>
      <c r="J38" s="74">
        <f ca="1">EFEITO!$J$38*EFEITO!$Y$38</f>
        <v>31605.980772409159</v>
      </c>
      <c r="K38" s="74">
        <f>EFEITO!$L$38*EFEITO!$Z$38</f>
        <v>0</v>
      </c>
      <c r="L38" s="74">
        <f>EFEITO!$N$38*EFEITO!$AA$38</f>
        <v>0</v>
      </c>
      <c r="M38" s="74">
        <f ca="1">$J$38-EFEITO!$K$38*EFEITO!$Y$38</f>
        <v>0</v>
      </c>
      <c r="N38" s="74">
        <f>$K$38-EFEITO!$M$38*EFEITO!$Z$38</f>
        <v>0</v>
      </c>
      <c r="O38" s="74">
        <f>$L$38-EFEITO!$O$38*EFEITO!$AA$38</f>
        <v>0</v>
      </c>
      <c r="P38" s="57"/>
      <c r="Q38" s="57"/>
      <c r="R38" s="57"/>
      <c r="S38" s="57"/>
      <c r="T38" s="57"/>
      <c r="U38" s="57"/>
      <c r="V38" s="57"/>
      <c r="W38" s="57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53" t="s">
        <v>21</v>
      </c>
      <c r="B39" s="53" t="s">
        <v>37</v>
      </c>
      <c r="C39" s="53" t="s">
        <v>38</v>
      </c>
      <c r="D39" s="53" t="s">
        <v>40</v>
      </c>
      <c r="E39" s="53" t="s">
        <v>25</v>
      </c>
      <c r="F39" s="53" t="s">
        <v>25</v>
      </c>
      <c r="G39" s="53" t="s">
        <v>25</v>
      </c>
      <c r="H39" s="53" t="s">
        <v>25</v>
      </c>
      <c r="I39" s="73">
        <v>44317</v>
      </c>
      <c r="J39" s="74">
        <f ca="1">EFEITO!$J$39*EFEITO!$Y$39</f>
        <v>31768.062725088181</v>
      </c>
      <c r="K39" s="74">
        <f>EFEITO!$L$39*EFEITO!$Z$39</f>
        <v>0</v>
      </c>
      <c r="L39" s="74">
        <f>EFEITO!$N$39*EFEITO!$AA$39</f>
        <v>0</v>
      </c>
      <c r="M39" s="74">
        <f ca="1">$J$39-EFEITO!$K$39*EFEITO!$Y$39</f>
        <v>0</v>
      </c>
      <c r="N39" s="74">
        <f>$K$39-EFEITO!$M$39*EFEITO!$Z$39</f>
        <v>0</v>
      </c>
      <c r="O39" s="74">
        <f>$L$39-EFEITO!$O$39*EFEITO!$AA$39</f>
        <v>0</v>
      </c>
      <c r="P39" s="57"/>
      <c r="Q39" s="57"/>
      <c r="R39" s="57"/>
      <c r="S39" s="57"/>
      <c r="T39" s="57"/>
      <c r="U39" s="57"/>
      <c r="V39" s="57"/>
      <c r="W39" s="57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53" t="s">
        <v>21</v>
      </c>
      <c r="B40" s="53" t="s">
        <v>37</v>
      </c>
      <c r="C40" s="53" t="s">
        <v>38</v>
      </c>
      <c r="D40" s="53" t="s">
        <v>40</v>
      </c>
      <c r="E40" s="53" t="s">
        <v>25</v>
      </c>
      <c r="F40" s="53" t="s">
        <v>25</v>
      </c>
      <c r="G40" s="53" t="s">
        <v>25</v>
      </c>
      <c r="H40" s="53" t="s">
        <v>25</v>
      </c>
      <c r="I40" s="73">
        <v>44348</v>
      </c>
      <c r="J40" s="74">
        <f ca="1">EFEITO!$J$40*EFEITO!$Y$40</f>
        <v>31605.980772409159</v>
      </c>
      <c r="K40" s="74">
        <f>EFEITO!$L$40*EFEITO!$Z$40</f>
        <v>0</v>
      </c>
      <c r="L40" s="74">
        <f>EFEITO!$N$40*EFEITO!$AA$40</f>
        <v>0</v>
      </c>
      <c r="M40" s="74">
        <f ca="1">$J$40-EFEITO!$K$40*EFEITO!$Y$40</f>
        <v>0</v>
      </c>
      <c r="N40" s="74">
        <f>$K$40-EFEITO!$M$40*EFEITO!$Z$40</f>
        <v>0</v>
      </c>
      <c r="O40" s="74">
        <f>$L$40-EFEITO!$O$40*EFEITO!$AA$40</f>
        <v>0</v>
      </c>
      <c r="P40" s="57"/>
      <c r="Q40" s="57"/>
      <c r="R40" s="57"/>
      <c r="S40" s="57"/>
      <c r="T40" s="57"/>
      <c r="U40" s="57"/>
      <c r="V40" s="57"/>
      <c r="W40" s="57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53" t="s">
        <v>21</v>
      </c>
      <c r="B41" s="53" t="s">
        <v>37</v>
      </c>
      <c r="C41" s="53" t="s">
        <v>38</v>
      </c>
      <c r="D41" s="53" t="s">
        <v>40</v>
      </c>
      <c r="E41" s="53" t="s">
        <v>25</v>
      </c>
      <c r="F41" s="53" t="s">
        <v>25</v>
      </c>
      <c r="G41" s="53" t="s">
        <v>25</v>
      </c>
      <c r="H41" s="53" t="s">
        <v>25</v>
      </c>
      <c r="I41" s="73">
        <v>44378</v>
      </c>
      <c r="J41" s="74">
        <f ca="1">EFEITO!$J$41*EFEITO!$Y$41</f>
        <v>31605.980772409159</v>
      </c>
      <c r="K41" s="74">
        <f>EFEITO!$L$41*EFEITO!$Z$41</f>
        <v>0</v>
      </c>
      <c r="L41" s="74">
        <f>EFEITO!$N$41*EFEITO!$AA$41</f>
        <v>0</v>
      </c>
      <c r="M41" s="74">
        <f ca="1">$J$41-EFEITO!$K$41*EFEITO!$Y$41</f>
        <v>0</v>
      </c>
      <c r="N41" s="74">
        <f>$K$41-EFEITO!$M$41*EFEITO!$Z$41</f>
        <v>0</v>
      </c>
      <c r="O41" s="74">
        <f>$L$41-EFEITO!$O$41*EFEITO!$AA$41</f>
        <v>0</v>
      </c>
      <c r="P41" s="57"/>
      <c r="Q41" s="57"/>
      <c r="R41" s="57"/>
      <c r="S41" s="57"/>
      <c r="T41" s="57"/>
      <c r="U41" s="57"/>
      <c r="V41" s="57"/>
      <c r="W41" s="57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53" t="s">
        <v>21</v>
      </c>
      <c r="B42" s="53" t="s">
        <v>37</v>
      </c>
      <c r="C42" s="53" t="s">
        <v>38</v>
      </c>
      <c r="D42" s="53" t="s">
        <v>40</v>
      </c>
      <c r="E42" s="53" t="s">
        <v>25</v>
      </c>
      <c r="F42" s="53" t="s">
        <v>25</v>
      </c>
      <c r="G42" s="53" t="s">
        <v>25</v>
      </c>
      <c r="H42" s="53" t="s">
        <v>25</v>
      </c>
      <c r="I42" s="73">
        <v>44409</v>
      </c>
      <c r="J42" s="74">
        <f ca="1">EFEITO!$J$42*EFEITO!$Y$42</f>
        <v>23501.883138458092</v>
      </c>
      <c r="K42" s="74">
        <f>EFEITO!$L$42*EFEITO!$Z$42</f>
        <v>0</v>
      </c>
      <c r="L42" s="74">
        <f>EFEITO!$N$42*EFEITO!$AA$42</f>
        <v>0</v>
      </c>
      <c r="M42" s="74">
        <f ca="1">$J$42-EFEITO!$K$42*EFEITO!$Y$42</f>
        <v>0</v>
      </c>
      <c r="N42" s="74">
        <f>$K$42-EFEITO!$M$42*EFEITO!$Z$42</f>
        <v>0</v>
      </c>
      <c r="O42" s="74">
        <f>$L$42-EFEITO!$O$42*EFEITO!$AA$42</f>
        <v>0</v>
      </c>
      <c r="P42" s="57"/>
      <c r="Q42" s="57"/>
      <c r="R42" s="57"/>
      <c r="S42" s="57"/>
      <c r="T42" s="57"/>
      <c r="U42" s="57"/>
      <c r="V42" s="57"/>
      <c r="W42" s="57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53" t="s">
        <v>21</v>
      </c>
      <c r="B43" s="53" t="s">
        <v>37</v>
      </c>
      <c r="C43" s="53" t="s">
        <v>38</v>
      </c>
      <c r="D43" s="53" t="s">
        <v>40</v>
      </c>
      <c r="E43" s="53" t="s">
        <v>25</v>
      </c>
      <c r="F43" s="53" t="s">
        <v>25</v>
      </c>
      <c r="G43" s="53" t="s">
        <v>25</v>
      </c>
      <c r="H43" s="53" t="s">
        <v>25</v>
      </c>
      <c r="I43" s="73">
        <v>44440</v>
      </c>
      <c r="J43" s="74">
        <f ca="1">EFEITO!$J$43*EFEITO!$Y$43</f>
        <v>26014.153404982924</v>
      </c>
      <c r="K43" s="74">
        <f>EFEITO!$L$43*EFEITO!$Z$43</f>
        <v>0</v>
      </c>
      <c r="L43" s="74">
        <f>EFEITO!$N$43*EFEITO!$AA$43</f>
        <v>0</v>
      </c>
      <c r="M43" s="74">
        <f ca="1">$J$43-EFEITO!$K$43*EFEITO!$Y$43</f>
        <v>0</v>
      </c>
      <c r="N43" s="74">
        <f>$K$43-EFEITO!$M$43*EFEITO!$Z$43</f>
        <v>0</v>
      </c>
      <c r="O43" s="74">
        <f>$L$43-EFEITO!$O$43*EFEITO!$AA$43</f>
        <v>0</v>
      </c>
      <c r="P43" s="57"/>
      <c r="Q43" s="57"/>
      <c r="R43" s="57"/>
      <c r="S43" s="57"/>
      <c r="T43" s="57"/>
      <c r="U43" s="57"/>
      <c r="V43" s="57"/>
      <c r="W43" s="57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53" t="s">
        <v>21</v>
      </c>
      <c r="B44" s="53" t="s">
        <v>37</v>
      </c>
      <c r="C44" s="53" t="s">
        <v>38</v>
      </c>
      <c r="D44" s="53" t="s">
        <v>40</v>
      </c>
      <c r="E44" s="53" t="s">
        <v>25</v>
      </c>
      <c r="F44" s="53" t="s">
        <v>25</v>
      </c>
      <c r="G44" s="53" t="s">
        <v>25</v>
      </c>
      <c r="H44" s="53" t="s">
        <v>25</v>
      </c>
      <c r="I44" s="73">
        <v>44470</v>
      </c>
      <c r="J44" s="74">
        <f ca="1">EFEITO!$J$44*EFEITO!$Y$44</f>
        <v>24636.456807211242</v>
      </c>
      <c r="K44" s="74">
        <f>EFEITO!$L$44*EFEITO!$Z$44</f>
        <v>0</v>
      </c>
      <c r="L44" s="74">
        <f>EFEITO!$N$44*EFEITO!$AA$44</f>
        <v>0</v>
      </c>
      <c r="M44" s="74">
        <f ca="1">$J$44-EFEITO!$K$44*EFEITO!$Y$44</f>
        <v>0</v>
      </c>
      <c r="N44" s="74">
        <f>$K$44-EFEITO!$M$44*EFEITO!$Z$44</f>
        <v>0</v>
      </c>
      <c r="O44" s="74">
        <f>$L$44-EFEITO!$O$44*EFEITO!$AA$44</f>
        <v>0</v>
      </c>
      <c r="P44" s="57"/>
      <c r="Q44" s="57"/>
      <c r="R44" s="57"/>
      <c r="S44" s="57"/>
      <c r="T44" s="57"/>
      <c r="U44" s="57"/>
      <c r="V44" s="57"/>
      <c r="W44" s="57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53" t="s">
        <v>21</v>
      </c>
      <c r="B45" s="53" t="s">
        <v>37</v>
      </c>
      <c r="C45" s="53" t="s">
        <v>38</v>
      </c>
      <c r="D45" s="53" t="s">
        <v>40</v>
      </c>
      <c r="E45" s="53" t="s">
        <v>25</v>
      </c>
      <c r="F45" s="53" t="s">
        <v>25</v>
      </c>
      <c r="G45" s="53" t="s">
        <v>25</v>
      </c>
      <c r="H45" s="53" t="s">
        <v>25</v>
      </c>
      <c r="I45" s="73">
        <v>44501</v>
      </c>
      <c r="J45" s="74">
        <f ca="1">EFEITO!$J$45*EFEITO!$Y$45</f>
        <v>23988.128996495157</v>
      </c>
      <c r="K45" s="74">
        <f>EFEITO!$L$45*EFEITO!$Z$45</f>
        <v>0</v>
      </c>
      <c r="L45" s="74">
        <f>EFEITO!$N$45*EFEITO!$AA$45</f>
        <v>0</v>
      </c>
      <c r="M45" s="74">
        <f ca="1">$J$45-EFEITO!$K$45*EFEITO!$Y$45</f>
        <v>0</v>
      </c>
      <c r="N45" s="74">
        <f>$K$45-EFEITO!$M$45*EFEITO!$Z$45</f>
        <v>0</v>
      </c>
      <c r="O45" s="74">
        <f>$L$45-EFEITO!$O$45*EFEITO!$AA$45</f>
        <v>0</v>
      </c>
      <c r="P45" s="57"/>
      <c r="Q45" s="57"/>
      <c r="R45" s="57"/>
      <c r="S45" s="57"/>
      <c r="T45" s="57"/>
      <c r="U45" s="57"/>
      <c r="V45" s="57"/>
      <c r="W45" s="57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53" t="s">
        <v>21</v>
      </c>
      <c r="B46" s="53" t="s">
        <v>37</v>
      </c>
      <c r="C46" s="53" t="s">
        <v>38</v>
      </c>
      <c r="D46" s="53" t="s">
        <v>40</v>
      </c>
      <c r="E46" s="53" t="s">
        <v>25</v>
      </c>
      <c r="F46" s="53" t="s">
        <v>25</v>
      </c>
      <c r="G46" s="53" t="s">
        <v>25</v>
      </c>
      <c r="H46" s="53" t="s">
        <v>25</v>
      </c>
      <c r="I46" s="73">
        <v>44531</v>
      </c>
      <c r="J46" s="74">
        <f ca="1">EFEITO!$J$46*EFEITO!$Y$46</f>
        <v>26743.522192038519</v>
      </c>
      <c r="K46" s="74">
        <f>EFEITO!$L$46*EFEITO!$Z$46</f>
        <v>0</v>
      </c>
      <c r="L46" s="74">
        <f>EFEITO!$N$46*EFEITO!$AA$46</f>
        <v>0</v>
      </c>
      <c r="M46" s="74">
        <f ca="1">$J$46-EFEITO!$K$46*EFEITO!$Y$46</f>
        <v>0</v>
      </c>
      <c r="N46" s="74">
        <f>$K$46-EFEITO!$M$46*EFEITO!$Z$46</f>
        <v>0</v>
      </c>
      <c r="O46" s="74">
        <f>$L$46-EFEITO!$O$46*EFEITO!$AA$46</f>
        <v>0</v>
      </c>
      <c r="P46" s="57"/>
      <c r="Q46" s="57"/>
      <c r="R46" s="57"/>
      <c r="S46" s="57"/>
      <c r="T46" s="57"/>
      <c r="U46" s="57"/>
      <c r="V46" s="57"/>
      <c r="W46" s="57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53" t="s">
        <v>21</v>
      </c>
      <c r="B47" s="53" t="s">
        <v>37</v>
      </c>
      <c r="C47" s="53" t="s">
        <v>38</v>
      </c>
      <c r="D47" s="53" t="s">
        <v>40</v>
      </c>
      <c r="E47" s="53" t="s">
        <v>25</v>
      </c>
      <c r="F47" s="53" t="s">
        <v>25</v>
      </c>
      <c r="G47" s="53" t="s">
        <v>25</v>
      </c>
      <c r="H47" s="53" t="s">
        <v>25</v>
      </c>
      <c r="I47" s="73">
        <v>44562</v>
      </c>
      <c r="J47" s="74">
        <f ca="1">EFEITO!$J$47*EFEITO!$Y$47</f>
        <v>29985.161245618947</v>
      </c>
      <c r="K47" s="74">
        <f>EFEITO!$L$47*EFEITO!$Z$47</f>
        <v>0</v>
      </c>
      <c r="L47" s="74">
        <f>EFEITO!$N$47*EFEITO!$AA$47</f>
        <v>0</v>
      </c>
      <c r="M47" s="74">
        <f ca="1">$J$47-EFEITO!$K$47*EFEITO!$Y$47</f>
        <v>0</v>
      </c>
      <c r="N47" s="74">
        <f>$K$47-EFEITO!$M$47*EFEITO!$Z$47</f>
        <v>0</v>
      </c>
      <c r="O47" s="74">
        <f>$L$47-EFEITO!$O$47*EFEITO!$AA$47</f>
        <v>0</v>
      </c>
      <c r="P47" s="57"/>
      <c r="Q47" s="57"/>
      <c r="R47" s="57"/>
      <c r="S47" s="57"/>
      <c r="T47" s="57"/>
      <c r="U47" s="57"/>
      <c r="V47" s="57"/>
      <c r="W47" s="57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53" t="s">
        <v>21</v>
      </c>
      <c r="B48" s="53" t="s">
        <v>37</v>
      </c>
      <c r="C48" s="53" t="s">
        <v>38</v>
      </c>
      <c r="D48" s="53" t="s">
        <v>40</v>
      </c>
      <c r="E48" s="53" t="s">
        <v>25</v>
      </c>
      <c r="F48" s="53" t="s">
        <v>25</v>
      </c>
      <c r="G48" s="53" t="s">
        <v>25</v>
      </c>
      <c r="H48" s="53" t="s">
        <v>25</v>
      </c>
      <c r="I48" s="73">
        <v>44593</v>
      </c>
      <c r="J48" s="74">
        <f ca="1">EFEITO!$J$48*EFEITO!$Y$48</f>
        <v>29417.87441124237</v>
      </c>
      <c r="K48" s="74">
        <f>EFEITO!$L$48*EFEITO!$Z$48</f>
        <v>0</v>
      </c>
      <c r="L48" s="74">
        <f>EFEITO!$N$48*EFEITO!$AA$48</f>
        <v>0</v>
      </c>
      <c r="M48" s="74">
        <f ca="1">$J$48-EFEITO!$K$48*EFEITO!$Y$48</f>
        <v>0</v>
      </c>
      <c r="N48" s="74">
        <f>$K$48-EFEITO!$M$48*EFEITO!$Z$48</f>
        <v>0</v>
      </c>
      <c r="O48" s="74">
        <f>$L$48-EFEITO!$O$48*EFEITO!$AA$48</f>
        <v>0</v>
      </c>
      <c r="P48" s="57"/>
      <c r="Q48" s="57"/>
      <c r="R48" s="57"/>
      <c r="S48" s="57"/>
      <c r="T48" s="57"/>
      <c r="U48" s="57"/>
      <c r="V48" s="57"/>
      <c r="W48" s="57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53" t="s">
        <v>21</v>
      </c>
      <c r="B49" s="53" t="s">
        <v>37</v>
      </c>
      <c r="C49" s="53" t="s">
        <v>38</v>
      </c>
      <c r="D49" s="53" t="s">
        <v>40</v>
      </c>
      <c r="E49" s="53" t="s">
        <v>25</v>
      </c>
      <c r="F49" s="53" t="s">
        <v>25</v>
      </c>
      <c r="G49" s="53" t="s">
        <v>25</v>
      </c>
      <c r="H49" s="53" t="s">
        <v>25</v>
      </c>
      <c r="I49" s="73">
        <v>44621</v>
      </c>
      <c r="J49" s="74">
        <f ca="1">EFEITO!$J$49*EFEITO!$Y$49</f>
        <v>26905.604144717541</v>
      </c>
      <c r="K49" s="74">
        <f>EFEITO!$L$49*EFEITO!$Z$49</f>
        <v>0</v>
      </c>
      <c r="L49" s="74">
        <f>EFEITO!$N$49*EFEITO!$AA$49</f>
        <v>0</v>
      </c>
      <c r="M49" s="74">
        <f ca="1">$J$49-EFEITO!$K$49*EFEITO!$Y$49</f>
        <v>0</v>
      </c>
      <c r="N49" s="74">
        <f>$K$49-EFEITO!$M$49*EFEITO!$Z$49</f>
        <v>0</v>
      </c>
      <c r="O49" s="74">
        <f>$L$49-EFEITO!$O$49*EFEITO!$AA$49</f>
        <v>0</v>
      </c>
      <c r="P49" s="57"/>
      <c r="Q49" s="57"/>
      <c r="R49" s="57"/>
      <c r="S49" s="57"/>
      <c r="T49" s="57"/>
      <c r="U49" s="57"/>
      <c r="V49" s="57"/>
      <c r="W49" s="57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53" t="s">
        <v>21</v>
      </c>
      <c r="B50" s="53" t="s">
        <v>37</v>
      </c>
      <c r="C50" s="53" t="s">
        <v>38</v>
      </c>
      <c r="D50" s="53" t="s">
        <v>40</v>
      </c>
      <c r="E50" s="53" t="s">
        <v>25</v>
      </c>
      <c r="F50" s="53" t="s">
        <v>25</v>
      </c>
      <c r="G50" s="53" t="s">
        <v>25</v>
      </c>
      <c r="H50" s="53" t="s">
        <v>39</v>
      </c>
      <c r="I50" s="73">
        <v>44287</v>
      </c>
      <c r="J50" s="74">
        <f>EFEITO!$J$50*EFEITO!$Y$50</f>
        <v>0</v>
      </c>
      <c r="K50" s="74">
        <f ca="1">EFEITO!$L$50*EFEITO!$Z$50</f>
        <v>2695.3412579905334</v>
      </c>
      <c r="L50" s="74">
        <f>EFEITO!$N$50*EFEITO!$AA$50</f>
        <v>176.61028092540255</v>
      </c>
      <c r="M50" s="74">
        <f>$J$50-EFEITO!$K$50*EFEITO!$Y$50</f>
        <v>0</v>
      </c>
      <c r="N50" s="74">
        <f ca="1">$K$50-EFEITO!$M$50*EFEITO!$Z$50</f>
        <v>0</v>
      </c>
      <c r="O50" s="74">
        <f>$L$50-EFEITO!$O$50*EFEITO!$AA$50</f>
        <v>0</v>
      </c>
      <c r="P50" s="57"/>
      <c r="Q50" s="57"/>
      <c r="R50" s="57"/>
      <c r="S50" s="57"/>
      <c r="T50" s="57"/>
      <c r="U50" s="57"/>
      <c r="V50" s="57"/>
      <c r="W50" s="57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53" t="s">
        <v>21</v>
      </c>
      <c r="B51" s="53" t="s">
        <v>37</v>
      </c>
      <c r="C51" s="53" t="s">
        <v>38</v>
      </c>
      <c r="D51" s="53" t="s">
        <v>40</v>
      </c>
      <c r="E51" s="53" t="s">
        <v>25</v>
      </c>
      <c r="F51" s="53" t="s">
        <v>25</v>
      </c>
      <c r="G51" s="53" t="s">
        <v>25</v>
      </c>
      <c r="H51" s="53" t="s">
        <v>39</v>
      </c>
      <c r="I51" s="73">
        <v>44317</v>
      </c>
      <c r="J51" s="74">
        <f>EFEITO!$J$51*EFEITO!$Y$51</f>
        <v>0</v>
      </c>
      <c r="K51" s="74">
        <f ca="1">EFEITO!$L$51*EFEITO!$Z$51</f>
        <v>2377.3515590141219</v>
      </c>
      <c r="L51" s="74">
        <f>EFEITO!$N$51*EFEITO!$AA$51</f>
        <v>155.77423654656289</v>
      </c>
      <c r="M51" s="74">
        <f>$J$51-EFEITO!$K$51*EFEITO!$Y$51</f>
        <v>0</v>
      </c>
      <c r="N51" s="74">
        <f ca="1">$K$51-EFEITO!$M$51*EFEITO!$Z$51</f>
        <v>0</v>
      </c>
      <c r="O51" s="74">
        <f>$L$51-EFEITO!$O$51*EFEITO!$AA$51</f>
        <v>0</v>
      </c>
      <c r="P51" s="57"/>
      <c r="Q51" s="57"/>
      <c r="R51" s="57"/>
      <c r="S51" s="57"/>
      <c r="T51" s="57"/>
      <c r="U51" s="57"/>
      <c r="V51" s="57"/>
      <c r="W51" s="57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53" t="s">
        <v>21</v>
      </c>
      <c r="B52" s="53" t="s">
        <v>37</v>
      </c>
      <c r="C52" s="53" t="s">
        <v>38</v>
      </c>
      <c r="D52" s="53" t="s">
        <v>40</v>
      </c>
      <c r="E52" s="53" t="s">
        <v>25</v>
      </c>
      <c r="F52" s="53" t="s">
        <v>25</v>
      </c>
      <c r="G52" s="53" t="s">
        <v>25</v>
      </c>
      <c r="H52" s="53" t="s">
        <v>39</v>
      </c>
      <c r="I52" s="73">
        <v>44348</v>
      </c>
      <c r="J52" s="74">
        <f>EFEITO!$J$52*EFEITO!$Y$52</f>
        <v>0</v>
      </c>
      <c r="K52" s="74">
        <f ca="1">EFEITO!$L$52*EFEITO!$Z$52</f>
        <v>2624.6768804402195</v>
      </c>
      <c r="L52" s="74">
        <f>EFEITO!$N$52*EFEITO!$AA$52</f>
        <v>171.98004884121596</v>
      </c>
      <c r="M52" s="74">
        <f>$J$52-EFEITO!$K$52*EFEITO!$Y$52</f>
        <v>0</v>
      </c>
      <c r="N52" s="74">
        <f ca="1">$K$52-EFEITO!$M$52*EFEITO!$Z$52</f>
        <v>0</v>
      </c>
      <c r="O52" s="74">
        <f>$L$52-EFEITO!$O$52*EFEITO!$AA$52</f>
        <v>0</v>
      </c>
      <c r="P52" s="57"/>
      <c r="Q52" s="57"/>
      <c r="R52" s="57"/>
      <c r="S52" s="57"/>
      <c r="T52" s="57"/>
      <c r="U52" s="57"/>
      <c r="V52" s="57"/>
      <c r="W52" s="57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53" t="s">
        <v>21</v>
      </c>
      <c r="B53" s="53" t="s">
        <v>37</v>
      </c>
      <c r="C53" s="53" t="s">
        <v>38</v>
      </c>
      <c r="D53" s="53" t="s">
        <v>40</v>
      </c>
      <c r="E53" s="53" t="s">
        <v>25</v>
      </c>
      <c r="F53" s="53" t="s">
        <v>25</v>
      </c>
      <c r="G53" s="53" t="s">
        <v>25</v>
      </c>
      <c r="H53" s="53" t="s">
        <v>39</v>
      </c>
      <c r="I53" s="73">
        <v>44378</v>
      </c>
      <c r="J53" s="74">
        <f>EFEITO!$J$53*EFEITO!$Y$53</f>
        <v>0</v>
      </c>
      <c r="K53" s="74">
        <f ca="1">EFEITO!$L$53*EFEITO!$Z$53</f>
        <v>4684.0387404779303</v>
      </c>
      <c r="L53" s="74">
        <f>EFEITO!$N$53*EFEITO!$AA$53</f>
        <v>306.91824100893922</v>
      </c>
      <c r="M53" s="74">
        <f>$J$53-EFEITO!$K$53*EFEITO!$Y$53</f>
        <v>0</v>
      </c>
      <c r="N53" s="74">
        <f ca="1">$K$53-EFEITO!$M$53*EFEITO!$Z$53</f>
        <v>0</v>
      </c>
      <c r="O53" s="74">
        <f>$L$53-EFEITO!$O$53*EFEITO!$AA$53</f>
        <v>0</v>
      </c>
      <c r="P53" s="57"/>
      <c r="Q53" s="57"/>
      <c r="R53" s="57"/>
      <c r="S53" s="57"/>
      <c r="T53" s="57"/>
      <c r="U53" s="57"/>
      <c r="V53" s="57"/>
      <c r="W53" s="57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53" t="s">
        <v>21</v>
      </c>
      <c r="B54" s="53" t="s">
        <v>37</v>
      </c>
      <c r="C54" s="53" t="s">
        <v>38</v>
      </c>
      <c r="D54" s="53" t="s">
        <v>40</v>
      </c>
      <c r="E54" s="53" t="s">
        <v>25</v>
      </c>
      <c r="F54" s="53" t="s">
        <v>25</v>
      </c>
      <c r="G54" s="53" t="s">
        <v>25</v>
      </c>
      <c r="H54" s="53" t="s">
        <v>39</v>
      </c>
      <c r="I54" s="73">
        <v>44409</v>
      </c>
      <c r="J54" s="74">
        <f>EFEITO!$J$54*EFEITO!$Y$54</f>
        <v>0</v>
      </c>
      <c r="K54" s="74">
        <f ca="1">EFEITO!$L$54*EFEITO!$Z$54</f>
        <v>4633.5641850848497</v>
      </c>
      <c r="L54" s="74">
        <f>EFEITO!$N$54*EFEITO!$AA$54</f>
        <v>303.61093237737737</v>
      </c>
      <c r="M54" s="74">
        <f>$J$54-EFEITO!$K$54*EFEITO!$Y$54</f>
        <v>0</v>
      </c>
      <c r="N54" s="74">
        <f ca="1">$K$54-EFEITO!$M$54*EFEITO!$Z$54</f>
        <v>0</v>
      </c>
      <c r="O54" s="74">
        <f>$L$54-EFEITO!$O$54*EFEITO!$AA$54</f>
        <v>0</v>
      </c>
      <c r="P54" s="57"/>
      <c r="Q54" s="57"/>
      <c r="R54" s="57"/>
      <c r="S54" s="57"/>
      <c r="T54" s="57"/>
      <c r="U54" s="57"/>
      <c r="V54" s="57"/>
      <c r="W54" s="57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53" t="s">
        <v>21</v>
      </c>
      <c r="B55" s="53" t="s">
        <v>37</v>
      </c>
      <c r="C55" s="53" t="s">
        <v>38</v>
      </c>
      <c r="D55" s="53" t="s">
        <v>40</v>
      </c>
      <c r="E55" s="53" t="s">
        <v>25</v>
      </c>
      <c r="F55" s="53" t="s">
        <v>25</v>
      </c>
      <c r="G55" s="53" t="s">
        <v>25</v>
      </c>
      <c r="H55" s="53" t="s">
        <v>39</v>
      </c>
      <c r="I55" s="73">
        <v>44440</v>
      </c>
      <c r="J55" s="74">
        <f>EFEITO!$J$55*EFEITO!$Y$55</f>
        <v>0</v>
      </c>
      <c r="K55" s="74">
        <f ca="1">EFEITO!$L$55*EFEITO!$Z$55</f>
        <v>4295.3846639512058</v>
      </c>
      <c r="L55" s="74">
        <f>EFEITO!$N$55*EFEITO!$AA$55</f>
        <v>281.45196454591303</v>
      </c>
      <c r="M55" s="74">
        <f>$J$55-EFEITO!$K$55*EFEITO!$Y$55</f>
        <v>0</v>
      </c>
      <c r="N55" s="74">
        <f ca="1">$K$55-EFEITO!$M$55*EFEITO!$Z$55</f>
        <v>0</v>
      </c>
      <c r="O55" s="74">
        <f>$L$55-EFEITO!$O$55*EFEITO!$AA$55</f>
        <v>0</v>
      </c>
      <c r="P55" s="57"/>
      <c r="Q55" s="57"/>
      <c r="R55" s="57"/>
      <c r="S55" s="57"/>
      <c r="T55" s="57"/>
      <c r="U55" s="57"/>
      <c r="V55" s="57"/>
      <c r="W55" s="57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53" t="s">
        <v>21</v>
      </c>
      <c r="B56" s="53" t="s">
        <v>37</v>
      </c>
      <c r="C56" s="53" t="s">
        <v>38</v>
      </c>
      <c r="D56" s="53" t="s">
        <v>40</v>
      </c>
      <c r="E56" s="53" t="s">
        <v>25</v>
      </c>
      <c r="F56" s="53" t="s">
        <v>25</v>
      </c>
      <c r="G56" s="53" t="s">
        <v>25</v>
      </c>
      <c r="H56" s="53" t="s">
        <v>39</v>
      </c>
      <c r="I56" s="73">
        <v>44470</v>
      </c>
      <c r="J56" s="74">
        <f>EFEITO!$J$56*EFEITO!$Y$56</f>
        <v>0</v>
      </c>
      <c r="K56" s="74">
        <f ca="1">EFEITO!$L$56*EFEITO!$Z$56</f>
        <v>2372.3041034748139</v>
      </c>
      <c r="L56" s="74">
        <f>EFEITO!$N$56*EFEITO!$AA$56</f>
        <v>155.4435056834067</v>
      </c>
      <c r="M56" s="74">
        <f>$J$56-EFEITO!$K$56*EFEITO!$Y$56</f>
        <v>0</v>
      </c>
      <c r="N56" s="74">
        <f ca="1">$K$56-EFEITO!$M$56*EFEITO!$Z$56</f>
        <v>0</v>
      </c>
      <c r="O56" s="74">
        <f>$L$56-EFEITO!$O$56*EFEITO!$AA$56</f>
        <v>0</v>
      </c>
      <c r="P56" s="57"/>
      <c r="Q56" s="57"/>
      <c r="R56" s="57"/>
      <c r="S56" s="57"/>
      <c r="T56" s="57"/>
      <c r="U56" s="57"/>
      <c r="V56" s="57"/>
      <c r="W56" s="57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53" t="s">
        <v>21</v>
      </c>
      <c r="B57" s="53" t="s">
        <v>37</v>
      </c>
      <c r="C57" s="53" t="s">
        <v>38</v>
      </c>
      <c r="D57" s="53" t="s">
        <v>40</v>
      </c>
      <c r="E57" s="53" t="s">
        <v>25</v>
      </c>
      <c r="F57" s="53" t="s">
        <v>25</v>
      </c>
      <c r="G57" s="53" t="s">
        <v>25</v>
      </c>
      <c r="H57" s="53" t="s">
        <v>39</v>
      </c>
      <c r="I57" s="73">
        <v>44501</v>
      </c>
      <c r="J57" s="74">
        <f>EFEITO!$J$57*EFEITO!$Y$57</f>
        <v>0</v>
      </c>
      <c r="K57" s="74">
        <f ca="1">EFEITO!$L$57*EFEITO!$Z$57</f>
        <v>2190.5957040597218</v>
      </c>
      <c r="L57" s="74">
        <f>EFEITO!$N$57*EFEITO!$AA$57</f>
        <v>143.53719460978408</v>
      </c>
      <c r="M57" s="74">
        <f>$J$57-EFEITO!$K$57*EFEITO!$Y$57</f>
        <v>0</v>
      </c>
      <c r="N57" s="74">
        <f ca="1">$K$57-EFEITO!$M$57*EFEITO!$Z$57</f>
        <v>0</v>
      </c>
      <c r="O57" s="74">
        <f>$L$57-EFEITO!$O$57*EFEITO!$AA$57</f>
        <v>0</v>
      </c>
      <c r="P57" s="57"/>
      <c r="Q57" s="57"/>
      <c r="R57" s="57"/>
      <c r="S57" s="57"/>
      <c r="T57" s="57"/>
      <c r="U57" s="57"/>
      <c r="V57" s="57"/>
      <c r="W57" s="57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53" t="s">
        <v>21</v>
      </c>
      <c r="B58" s="53" t="s">
        <v>37</v>
      </c>
      <c r="C58" s="53" t="s">
        <v>38</v>
      </c>
      <c r="D58" s="53" t="s">
        <v>40</v>
      </c>
      <c r="E58" s="53" t="s">
        <v>25</v>
      </c>
      <c r="F58" s="53" t="s">
        <v>25</v>
      </c>
      <c r="G58" s="53" t="s">
        <v>25</v>
      </c>
      <c r="H58" s="53" t="s">
        <v>39</v>
      </c>
      <c r="I58" s="73">
        <v>44531</v>
      </c>
      <c r="J58" s="74">
        <f>EFEITO!$J$58*EFEITO!$Y$58</f>
        <v>0</v>
      </c>
      <c r="K58" s="74">
        <f ca="1">EFEITO!$L$58*EFEITO!$Z$58</f>
        <v>3901.6831318851728</v>
      </c>
      <c r="L58" s="74">
        <f>EFEITO!$N$58*EFEITO!$AA$58</f>
        <v>255.65495721973065</v>
      </c>
      <c r="M58" s="74">
        <f>$J$58-EFEITO!$K$58*EFEITO!$Y$58</f>
        <v>0</v>
      </c>
      <c r="N58" s="74">
        <f ca="1">$K$58-EFEITO!$M$58*EFEITO!$Z$58</f>
        <v>0</v>
      </c>
      <c r="O58" s="74">
        <f>$L$58-EFEITO!$O$58*EFEITO!$AA$58</f>
        <v>0</v>
      </c>
      <c r="P58" s="57"/>
      <c r="Q58" s="57"/>
      <c r="R58" s="57"/>
      <c r="S58" s="57"/>
      <c r="T58" s="57"/>
      <c r="U58" s="57"/>
      <c r="V58" s="57"/>
      <c r="W58" s="57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53" t="s">
        <v>21</v>
      </c>
      <c r="B59" s="53" t="s">
        <v>37</v>
      </c>
      <c r="C59" s="53" t="s">
        <v>38</v>
      </c>
      <c r="D59" s="53" t="s">
        <v>40</v>
      </c>
      <c r="E59" s="53" t="s">
        <v>25</v>
      </c>
      <c r="F59" s="53" t="s">
        <v>25</v>
      </c>
      <c r="G59" s="53" t="s">
        <v>25</v>
      </c>
      <c r="H59" s="53" t="s">
        <v>39</v>
      </c>
      <c r="I59" s="73">
        <v>44562</v>
      </c>
      <c r="J59" s="74">
        <f>EFEITO!$J$59*EFEITO!$Y$59</f>
        <v>0</v>
      </c>
      <c r="K59" s="74">
        <f ca="1">EFEITO!$L$59*EFEITO!$Z$59</f>
        <v>6162.9432134952085</v>
      </c>
      <c r="L59" s="74">
        <f>EFEITO!$N$59*EFEITO!$AA$59</f>
        <v>403.82238391370134</v>
      </c>
      <c r="M59" s="74">
        <f>$J$59-EFEITO!$K$59*EFEITO!$Y$59</f>
        <v>0</v>
      </c>
      <c r="N59" s="74">
        <f ca="1">$K$59-EFEITO!$M$59*EFEITO!$Z$59</f>
        <v>0</v>
      </c>
      <c r="O59" s="74">
        <f>$L$59-EFEITO!$O$59*EFEITO!$AA$59</f>
        <v>0</v>
      </c>
      <c r="P59" s="57"/>
      <c r="Q59" s="57"/>
      <c r="R59" s="57"/>
      <c r="S59" s="57"/>
      <c r="T59" s="57"/>
      <c r="U59" s="57"/>
      <c r="V59" s="57"/>
      <c r="W59" s="57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53" t="s">
        <v>21</v>
      </c>
      <c r="B60" s="53" t="s">
        <v>37</v>
      </c>
      <c r="C60" s="53" t="s">
        <v>38</v>
      </c>
      <c r="D60" s="53" t="s">
        <v>40</v>
      </c>
      <c r="E60" s="53" t="s">
        <v>25</v>
      </c>
      <c r="F60" s="53" t="s">
        <v>25</v>
      </c>
      <c r="G60" s="53" t="s">
        <v>25</v>
      </c>
      <c r="H60" s="53" t="s">
        <v>39</v>
      </c>
      <c r="I60" s="73">
        <v>44593</v>
      </c>
      <c r="J60" s="74">
        <f>EFEITO!$J$60*EFEITO!$Y$60</f>
        <v>0</v>
      </c>
      <c r="K60" s="74">
        <f ca="1">EFEITO!$L$60*EFEITO!$Z$60</f>
        <v>4174.2457310078107</v>
      </c>
      <c r="L60" s="74">
        <f>EFEITO!$N$60*EFEITO!$AA$60</f>
        <v>273.51442383016456</v>
      </c>
      <c r="M60" s="74">
        <f>$J$60-EFEITO!$K$60*EFEITO!$Y$60</f>
        <v>0</v>
      </c>
      <c r="N60" s="74">
        <f ca="1">$K$60-EFEITO!$M$60*EFEITO!$Z$60</f>
        <v>0</v>
      </c>
      <c r="O60" s="74">
        <f>$L$60-EFEITO!$O$60*EFEITO!$AA$60</f>
        <v>0</v>
      </c>
      <c r="P60" s="57"/>
      <c r="Q60" s="57"/>
      <c r="R60" s="57"/>
      <c r="S60" s="57"/>
      <c r="T60" s="57"/>
      <c r="U60" s="57"/>
      <c r="V60" s="57"/>
      <c r="W60" s="57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53" t="s">
        <v>21</v>
      </c>
      <c r="B61" s="53" t="s">
        <v>37</v>
      </c>
      <c r="C61" s="53" t="s">
        <v>38</v>
      </c>
      <c r="D61" s="53" t="s">
        <v>40</v>
      </c>
      <c r="E61" s="53" t="s">
        <v>25</v>
      </c>
      <c r="F61" s="53" t="s">
        <v>25</v>
      </c>
      <c r="G61" s="53" t="s">
        <v>25</v>
      </c>
      <c r="H61" s="53" t="s">
        <v>39</v>
      </c>
      <c r="I61" s="73">
        <v>44621</v>
      </c>
      <c r="J61" s="74">
        <f>EFEITO!$J$61*EFEITO!$Y$61</f>
        <v>0</v>
      </c>
      <c r="K61" s="74">
        <f ca="1">EFEITO!$L$61*EFEITO!$Z$61</f>
        <v>2715.5310801477658</v>
      </c>
      <c r="L61" s="74">
        <f>EFEITO!$N$61*EFEITO!$AA$61</f>
        <v>177.93320437802728</v>
      </c>
      <c r="M61" s="74">
        <f>$J$61-EFEITO!$K$61*EFEITO!$Y$61</f>
        <v>0</v>
      </c>
      <c r="N61" s="74">
        <f ca="1">$K$61-EFEITO!$M$61*EFEITO!$Z$61</f>
        <v>0</v>
      </c>
      <c r="O61" s="74">
        <f>$L$61-EFEITO!$O$61*EFEITO!$AA$61</f>
        <v>0</v>
      </c>
      <c r="P61" s="57"/>
      <c r="Q61" s="57"/>
      <c r="R61" s="57"/>
      <c r="S61" s="57"/>
      <c r="T61" s="57"/>
      <c r="U61" s="57"/>
      <c r="V61" s="57"/>
      <c r="W61" s="57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53" t="s">
        <v>21</v>
      </c>
      <c r="B62" s="53" t="s">
        <v>37</v>
      </c>
      <c r="C62" s="53" t="s">
        <v>38</v>
      </c>
      <c r="D62" s="53" t="s">
        <v>36</v>
      </c>
      <c r="E62" s="53" t="s">
        <v>25</v>
      </c>
      <c r="F62" s="53" t="s">
        <v>25</v>
      </c>
      <c r="G62" s="53" t="s">
        <v>25</v>
      </c>
      <c r="H62" s="53" t="s">
        <v>34</v>
      </c>
      <c r="I62" s="73">
        <v>44287</v>
      </c>
      <c r="J62" s="74">
        <f>EFEITO!$J$62*EFEITO!$Y$62</f>
        <v>0</v>
      </c>
      <c r="K62" s="74">
        <f ca="1">EFEITO!$L$62*EFEITO!$Z$62</f>
        <v>12223.570162573042</v>
      </c>
      <c r="L62" s="74">
        <f>EFEITO!$N$62*EFEITO!$AA$62</f>
        <v>30356.132274790394</v>
      </c>
      <c r="M62" s="74">
        <f>$J$62-EFEITO!$K$62*EFEITO!$Y$62</f>
        <v>0</v>
      </c>
      <c r="N62" s="74">
        <f ca="1">$K$62-EFEITO!$M$62*EFEITO!$Z$62</f>
        <v>0</v>
      </c>
      <c r="O62" s="74">
        <f>$L$62-EFEITO!$O$62*EFEITO!$AA$62</f>
        <v>0</v>
      </c>
      <c r="P62" s="57"/>
      <c r="Q62" s="57"/>
      <c r="R62" s="57"/>
      <c r="S62" s="57"/>
      <c r="T62" s="57"/>
      <c r="U62" s="57"/>
      <c r="V62" s="57"/>
      <c r="W62" s="57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53" t="s">
        <v>21</v>
      </c>
      <c r="B63" s="53" t="s">
        <v>37</v>
      </c>
      <c r="C63" s="53" t="s">
        <v>38</v>
      </c>
      <c r="D63" s="53" t="s">
        <v>36</v>
      </c>
      <c r="E63" s="53" t="s">
        <v>25</v>
      </c>
      <c r="F63" s="53" t="s">
        <v>25</v>
      </c>
      <c r="G63" s="53" t="s">
        <v>25</v>
      </c>
      <c r="H63" s="53" t="s">
        <v>34</v>
      </c>
      <c r="I63" s="73">
        <v>44317</v>
      </c>
      <c r="J63" s="74">
        <f>EFEITO!$J$63*EFEITO!$Y$63</f>
        <v>0</v>
      </c>
      <c r="K63" s="74">
        <f ca="1">EFEITO!$L$63*EFEITO!$Z$63</f>
        <v>16141.47843312636</v>
      </c>
      <c r="L63" s="74">
        <f>EFEITO!$N$63*EFEITO!$AA$63</f>
        <v>40085.903537982187</v>
      </c>
      <c r="M63" s="74">
        <f>$J$63-EFEITO!$K$63*EFEITO!$Y$63</f>
        <v>0</v>
      </c>
      <c r="N63" s="74">
        <f ca="1">$K$63-EFEITO!$M$63*EFEITO!$Z$63</f>
        <v>0</v>
      </c>
      <c r="O63" s="74">
        <f>$L$63-EFEITO!$O$63*EFEITO!$AA$63</f>
        <v>0</v>
      </c>
      <c r="P63" s="57"/>
      <c r="Q63" s="57"/>
      <c r="R63" s="57"/>
      <c r="S63" s="57"/>
      <c r="T63" s="57"/>
      <c r="U63" s="57"/>
      <c r="V63" s="57"/>
      <c r="W63" s="57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53" t="s">
        <v>21</v>
      </c>
      <c r="B64" s="53" t="s">
        <v>37</v>
      </c>
      <c r="C64" s="53" t="s">
        <v>38</v>
      </c>
      <c r="D64" s="53" t="s">
        <v>36</v>
      </c>
      <c r="E64" s="53" t="s">
        <v>25</v>
      </c>
      <c r="F64" s="53" t="s">
        <v>25</v>
      </c>
      <c r="G64" s="53" t="s">
        <v>25</v>
      </c>
      <c r="H64" s="53" t="s">
        <v>34</v>
      </c>
      <c r="I64" s="73">
        <v>44348</v>
      </c>
      <c r="J64" s="74">
        <f>EFEITO!$J$64*EFEITO!$Y$64</f>
        <v>0</v>
      </c>
      <c r="K64" s="74">
        <f ca="1">EFEITO!$L$64*EFEITO!$Z$64</f>
        <v>11617.885169389163</v>
      </c>
      <c r="L64" s="74">
        <f>EFEITO!$N$64*EFEITO!$AA$64</f>
        <v>28851.968309156066</v>
      </c>
      <c r="M64" s="74">
        <f>$J$64-EFEITO!$K$64*EFEITO!$Y$64</f>
        <v>0</v>
      </c>
      <c r="N64" s="74">
        <f ca="1">$K$64-EFEITO!$M$64*EFEITO!$Z$64</f>
        <v>0</v>
      </c>
      <c r="O64" s="74">
        <f>$L$64-EFEITO!$O$64*EFEITO!$AA$64</f>
        <v>0</v>
      </c>
      <c r="P64" s="57"/>
      <c r="Q64" s="57"/>
      <c r="R64" s="57"/>
      <c r="S64" s="57"/>
      <c r="T64" s="57"/>
      <c r="U64" s="57"/>
      <c r="V64" s="57"/>
      <c r="W64" s="57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53" t="s">
        <v>21</v>
      </c>
      <c r="B65" s="53" t="s">
        <v>37</v>
      </c>
      <c r="C65" s="53" t="s">
        <v>38</v>
      </c>
      <c r="D65" s="53" t="s">
        <v>36</v>
      </c>
      <c r="E65" s="53" t="s">
        <v>25</v>
      </c>
      <c r="F65" s="53" t="s">
        <v>25</v>
      </c>
      <c r="G65" s="53" t="s">
        <v>25</v>
      </c>
      <c r="H65" s="53" t="s">
        <v>34</v>
      </c>
      <c r="I65" s="73">
        <v>44378</v>
      </c>
      <c r="J65" s="74">
        <f>EFEITO!$J$65*EFEITO!$Y$65</f>
        <v>0</v>
      </c>
      <c r="K65" s="74">
        <f ca="1">EFEITO!$L$65*EFEITO!$Z$65</f>
        <v>13838.197439917223</v>
      </c>
      <c r="L65" s="74">
        <f>EFEITO!$N$65*EFEITO!$AA$65</f>
        <v>34365.913259695975</v>
      </c>
      <c r="M65" s="74">
        <f>$J$65-EFEITO!$K$65*EFEITO!$Y$65</f>
        <v>0</v>
      </c>
      <c r="N65" s="74">
        <f ca="1">$K$65-EFEITO!$M$65*EFEITO!$Z$65</f>
        <v>0</v>
      </c>
      <c r="O65" s="74">
        <f>$L$65-EFEITO!$O$65*EFEITO!$AA$65</f>
        <v>0</v>
      </c>
      <c r="P65" s="57"/>
      <c r="Q65" s="57"/>
      <c r="R65" s="57"/>
      <c r="S65" s="57"/>
      <c r="T65" s="57"/>
      <c r="U65" s="57"/>
      <c r="V65" s="57"/>
      <c r="W65" s="57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53" t="s">
        <v>21</v>
      </c>
      <c r="B66" s="53" t="s">
        <v>37</v>
      </c>
      <c r="C66" s="53" t="s">
        <v>38</v>
      </c>
      <c r="D66" s="53" t="s">
        <v>36</v>
      </c>
      <c r="E66" s="53" t="s">
        <v>25</v>
      </c>
      <c r="F66" s="53" t="s">
        <v>25</v>
      </c>
      <c r="G66" s="53" t="s">
        <v>25</v>
      </c>
      <c r="H66" s="53" t="s">
        <v>34</v>
      </c>
      <c r="I66" s="73">
        <v>44409</v>
      </c>
      <c r="J66" s="74">
        <f>EFEITO!$J$66*EFEITO!$Y$66</f>
        <v>0</v>
      </c>
      <c r="K66" s="74">
        <f ca="1">EFEITO!$L$66*EFEITO!$Z$66</f>
        <v>5450.8985864151509</v>
      </c>
      <c r="L66" s="74">
        <f>EFEITO!$N$66*EFEITO!$AA$66</f>
        <v>13536.814228982632</v>
      </c>
      <c r="M66" s="74">
        <f>$J$66-EFEITO!$K$66*EFEITO!$Y$66</f>
        <v>0</v>
      </c>
      <c r="N66" s="74">
        <f ca="1">$K$66-EFEITO!$M$66*EFEITO!$Z$66</f>
        <v>0</v>
      </c>
      <c r="O66" s="74">
        <f>$L$66-EFEITO!$O$66*EFEITO!$AA$66</f>
        <v>0</v>
      </c>
      <c r="P66" s="57"/>
      <c r="Q66" s="57"/>
      <c r="R66" s="57"/>
      <c r="S66" s="57"/>
      <c r="T66" s="57"/>
      <c r="U66" s="57"/>
      <c r="V66" s="57"/>
      <c r="W66" s="57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53" t="s">
        <v>21</v>
      </c>
      <c r="B67" s="53" t="s">
        <v>37</v>
      </c>
      <c r="C67" s="53" t="s">
        <v>38</v>
      </c>
      <c r="D67" s="53" t="s">
        <v>36</v>
      </c>
      <c r="E67" s="53" t="s">
        <v>25</v>
      </c>
      <c r="F67" s="53" t="s">
        <v>25</v>
      </c>
      <c r="G67" s="53" t="s">
        <v>25</v>
      </c>
      <c r="H67" s="53" t="s">
        <v>34</v>
      </c>
      <c r="I67" s="73">
        <v>44440</v>
      </c>
      <c r="J67" s="74">
        <f>EFEITO!$J$67*EFEITO!$Y$67</f>
        <v>0</v>
      </c>
      <c r="K67" s="74">
        <f ca="1">EFEITO!$L$67*EFEITO!$Z$67</f>
        <v>6371.9446314590587</v>
      </c>
      <c r="L67" s="74">
        <f>EFEITO!$N$67*EFEITO!$AA$67</f>
        <v>15824.148878570802</v>
      </c>
      <c r="M67" s="74">
        <f>$J$67-EFEITO!$K$67*EFEITO!$Y$67</f>
        <v>0</v>
      </c>
      <c r="N67" s="74">
        <f ca="1">$K$67-EFEITO!$M$67*EFEITO!$Z$67</f>
        <v>0</v>
      </c>
      <c r="O67" s="74">
        <f>$L$67-EFEITO!$O$67*EFEITO!$AA$67</f>
        <v>0</v>
      </c>
      <c r="P67" s="57"/>
      <c r="Q67" s="57"/>
      <c r="R67" s="57"/>
      <c r="S67" s="57"/>
      <c r="T67" s="57"/>
      <c r="U67" s="57"/>
      <c r="V67" s="57"/>
      <c r="W67" s="57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53" t="s">
        <v>21</v>
      </c>
      <c r="B68" s="53" t="s">
        <v>37</v>
      </c>
      <c r="C68" s="53" t="s">
        <v>38</v>
      </c>
      <c r="D68" s="53" t="s">
        <v>36</v>
      </c>
      <c r="E68" s="53" t="s">
        <v>25</v>
      </c>
      <c r="F68" s="53" t="s">
        <v>25</v>
      </c>
      <c r="G68" s="53" t="s">
        <v>25</v>
      </c>
      <c r="H68" s="53" t="s">
        <v>34</v>
      </c>
      <c r="I68" s="73">
        <v>44470</v>
      </c>
      <c r="J68" s="74">
        <f>EFEITO!$J$68*EFEITO!$Y$68</f>
        <v>0</v>
      </c>
      <c r="K68" s="74">
        <f ca="1">EFEITO!$L$68*EFEITO!$Z$68</f>
        <v>13312.018590297719</v>
      </c>
      <c r="L68" s="74">
        <f>EFEITO!$N$68*EFEITO!$AA$68</f>
        <v>33059.195619365892</v>
      </c>
      <c r="M68" s="74">
        <f>$J$68-EFEITO!$K$68*EFEITO!$Y$68</f>
        <v>0</v>
      </c>
      <c r="N68" s="74">
        <f ca="1">$K$68-EFEITO!$M$68*EFEITO!$Z$68</f>
        <v>0</v>
      </c>
      <c r="O68" s="74">
        <f>$L$68-EFEITO!$O$68*EFEITO!$AA$68</f>
        <v>0</v>
      </c>
      <c r="P68" s="57"/>
      <c r="Q68" s="57"/>
      <c r="R68" s="57"/>
      <c r="S68" s="57"/>
      <c r="T68" s="57"/>
      <c r="U68" s="57"/>
      <c r="V68" s="57"/>
      <c r="W68" s="57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53" t="s">
        <v>21</v>
      </c>
      <c r="B69" s="53" t="s">
        <v>37</v>
      </c>
      <c r="C69" s="53" t="s">
        <v>38</v>
      </c>
      <c r="D69" s="53" t="s">
        <v>36</v>
      </c>
      <c r="E69" s="53" t="s">
        <v>25</v>
      </c>
      <c r="F69" s="53" t="s">
        <v>25</v>
      </c>
      <c r="G69" s="53" t="s">
        <v>25</v>
      </c>
      <c r="H69" s="53" t="s">
        <v>34</v>
      </c>
      <c r="I69" s="73">
        <v>44501</v>
      </c>
      <c r="J69" s="74">
        <f>EFEITO!$J$69*EFEITO!$Y$69</f>
        <v>0</v>
      </c>
      <c r="K69" s="74">
        <f ca="1">EFEITO!$L$69*EFEITO!$Z$69</f>
        <v>15908.553399467915</v>
      </c>
      <c r="L69" s="74">
        <f>EFEITO!$N$69*EFEITO!$AA$69</f>
        <v>39507.455258322021</v>
      </c>
      <c r="M69" s="74">
        <f>$J$69-EFEITO!$K$69*EFEITO!$Y$69</f>
        <v>0</v>
      </c>
      <c r="N69" s="74">
        <f ca="1">$K$69-EFEITO!$M$69*EFEITO!$Z$69</f>
        <v>0</v>
      </c>
      <c r="O69" s="74">
        <f>$L$69-EFEITO!$O$69*EFEITO!$AA$69</f>
        <v>0</v>
      </c>
      <c r="P69" s="57"/>
      <c r="Q69" s="57"/>
      <c r="R69" s="57"/>
      <c r="S69" s="57"/>
      <c r="T69" s="57"/>
      <c r="U69" s="57"/>
      <c r="V69" s="57"/>
      <c r="W69" s="57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53" t="s">
        <v>21</v>
      </c>
      <c r="B70" s="53" t="s">
        <v>37</v>
      </c>
      <c r="C70" s="53" t="s">
        <v>38</v>
      </c>
      <c r="D70" s="53" t="s">
        <v>36</v>
      </c>
      <c r="E70" s="53" t="s">
        <v>25</v>
      </c>
      <c r="F70" s="53" t="s">
        <v>25</v>
      </c>
      <c r="G70" s="53" t="s">
        <v>25</v>
      </c>
      <c r="H70" s="53" t="s">
        <v>34</v>
      </c>
      <c r="I70" s="73">
        <v>44531</v>
      </c>
      <c r="J70" s="74">
        <f>EFEITO!$J$70*EFEITO!$Y$70</f>
        <v>0</v>
      </c>
      <c r="K70" s="74">
        <f ca="1">EFEITO!$L$70*EFEITO!$Z$70</f>
        <v>16377.46651754189</v>
      </c>
      <c r="L70" s="74">
        <f>EFEITO!$N$70*EFEITO!$AA$70</f>
        <v>40671.958627494947</v>
      </c>
      <c r="M70" s="74">
        <f>$J$70-EFEITO!$K$70*EFEITO!$Y$70</f>
        <v>0</v>
      </c>
      <c r="N70" s="74">
        <f ca="1">$K$70-EFEITO!$M$70*EFEITO!$Z$70</f>
        <v>0</v>
      </c>
      <c r="O70" s="74">
        <f>$L$70-EFEITO!$O$70*EFEITO!$AA$70</f>
        <v>0</v>
      </c>
      <c r="P70" s="57"/>
      <c r="Q70" s="57"/>
      <c r="R70" s="57"/>
      <c r="S70" s="57"/>
      <c r="T70" s="57"/>
      <c r="U70" s="57"/>
      <c r="V70" s="57"/>
      <c r="W70" s="57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53" t="s">
        <v>21</v>
      </c>
      <c r="B71" s="53" t="s">
        <v>37</v>
      </c>
      <c r="C71" s="53" t="s">
        <v>38</v>
      </c>
      <c r="D71" s="53" t="s">
        <v>36</v>
      </c>
      <c r="E71" s="53" t="s">
        <v>25</v>
      </c>
      <c r="F71" s="53" t="s">
        <v>25</v>
      </c>
      <c r="G71" s="53" t="s">
        <v>25</v>
      </c>
      <c r="H71" s="53" t="s">
        <v>34</v>
      </c>
      <c r="I71" s="73">
        <v>44562</v>
      </c>
      <c r="J71" s="74">
        <f>EFEITO!$J$71*EFEITO!$Y$71</f>
        <v>0</v>
      </c>
      <c r="K71" s="74">
        <f ca="1">EFEITO!$L$71*EFEITO!$Z$71</f>
        <v>18015.532791983776</v>
      </c>
      <c r="L71" s="74">
        <f>EFEITO!$N$71*EFEITO!$AA$71</f>
        <v>44739.948244316016</v>
      </c>
      <c r="M71" s="74">
        <f>$J$71-EFEITO!$K$71*EFEITO!$Y$71</f>
        <v>0</v>
      </c>
      <c r="N71" s="74">
        <f ca="1">$K$71-EFEITO!$M$71*EFEITO!$Z$71</f>
        <v>0</v>
      </c>
      <c r="O71" s="74">
        <f>$L$71-EFEITO!$O$71*EFEITO!$AA$71</f>
        <v>0</v>
      </c>
      <c r="P71" s="57"/>
      <c r="Q71" s="57"/>
      <c r="R71" s="57"/>
      <c r="S71" s="57"/>
      <c r="T71" s="57"/>
      <c r="U71" s="57"/>
      <c r="V71" s="57"/>
      <c r="W71" s="57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53" t="s">
        <v>21</v>
      </c>
      <c r="B72" s="53" t="s">
        <v>37</v>
      </c>
      <c r="C72" s="53" t="s">
        <v>38</v>
      </c>
      <c r="D72" s="53" t="s">
        <v>36</v>
      </c>
      <c r="E72" s="53" t="s">
        <v>25</v>
      </c>
      <c r="F72" s="53" t="s">
        <v>25</v>
      </c>
      <c r="G72" s="53" t="s">
        <v>25</v>
      </c>
      <c r="H72" s="53" t="s">
        <v>34</v>
      </c>
      <c r="I72" s="73">
        <v>44593</v>
      </c>
      <c r="J72" s="74">
        <f>EFEITO!$J$72*EFEITO!$Y$72</f>
        <v>0</v>
      </c>
      <c r="K72" s="74">
        <f ca="1">EFEITO!$L$72*EFEITO!$Z$72</f>
        <v>17127.780776908199</v>
      </c>
      <c r="L72" s="74">
        <f>EFEITO!$N$72*EFEITO!$AA$72</f>
        <v>42535.296310516896</v>
      </c>
      <c r="M72" s="74">
        <f>$J$72-EFEITO!$K$72*EFEITO!$Y$72</f>
        <v>0</v>
      </c>
      <c r="N72" s="74">
        <f ca="1">$K$72-EFEITO!$M$72*EFEITO!$Z$72</f>
        <v>0</v>
      </c>
      <c r="O72" s="74">
        <f>$L$72-EFEITO!$O$72*EFEITO!$AA$72</f>
        <v>0</v>
      </c>
      <c r="P72" s="57"/>
      <c r="Q72" s="57"/>
      <c r="R72" s="57"/>
      <c r="S72" s="57"/>
      <c r="T72" s="57"/>
      <c r="U72" s="57"/>
      <c r="V72" s="57"/>
      <c r="W72" s="57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53" t="s">
        <v>21</v>
      </c>
      <c r="B73" s="53" t="s">
        <v>37</v>
      </c>
      <c r="C73" s="53" t="s">
        <v>38</v>
      </c>
      <c r="D73" s="53" t="s">
        <v>36</v>
      </c>
      <c r="E73" s="53" t="s">
        <v>25</v>
      </c>
      <c r="F73" s="53" t="s">
        <v>25</v>
      </c>
      <c r="G73" s="53" t="s">
        <v>25</v>
      </c>
      <c r="H73" s="53" t="s">
        <v>34</v>
      </c>
      <c r="I73" s="73">
        <v>44621</v>
      </c>
      <c r="J73" s="74">
        <f>EFEITO!$J$73*EFEITO!$Y$73</f>
        <v>0</v>
      </c>
      <c r="K73" s="74">
        <f ca="1">EFEITO!$L$73*EFEITO!$Z$73</f>
        <v>23545.804345843426</v>
      </c>
      <c r="L73" s="74">
        <f>EFEITO!$N$73*EFEITO!$AA$73</f>
        <v>58473.87806773973</v>
      </c>
      <c r="M73" s="74">
        <f>$J$73-EFEITO!$K$73*EFEITO!$Y$73</f>
        <v>0</v>
      </c>
      <c r="N73" s="74">
        <f ca="1">$K$73-EFEITO!$M$73*EFEITO!$Z$73</f>
        <v>0</v>
      </c>
      <c r="O73" s="74">
        <f>$L$73-EFEITO!$O$73*EFEITO!$AA$73</f>
        <v>0</v>
      </c>
      <c r="P73" s="57"/>
      <c r="Q73" s="57"/>
      <c r="R73" s="57"/>
      <c r="S73" s="57"/>
      <c r="T73" s="57"/>
      <c r="U73" s="57"/>
      <c r="V73" s="57"/>
      <c r="W73" s="57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53" t="s">
        <v>21</v>
      </c>
      <c r="B74" s="53" t="s">
        <v>37</v>
      </c>
      <c r="C74" s="53" t="s">
        <v>38</v>
      </c>
      <c r="D74" s="53" t="s">
        <v>36</v>
      </c>
      <c r="E74" s="53" t="s">
        <v>25</v>
      </c>
      <c r="F74" s="53" t="s">
        <v>25</v>
      </c>
      <c r="G74" s="53" t="s">
        <v>25</v>
      </c>
      <c r="H74" s="53" t="s">
        <v>25</v>
      </c>
      <c r="I74" s="73">
        <v>44287</v>
      </c>
      <c r="J74" s="74">
        <f ca="1">EFEITO!$J$74*EFEITO!$Y$74</f>
        <v>75773.312877442469</v>
      </c>
      <c r="K74" s="74">
        <f>EFEITO!$L$74*EFEITO!$Z$74</f>
        <v>0</v>
      </c>
      <c r="L74" s="74">
        <f>EFEITO!$N$74*EFEITO!$AA$74</f>
        <v>0</v>
      </c>
      <c r="M74" s="74">
        <f ca="1">$J$74-EFEITO!$K$74*EFEITO!$Y$74</f>
        <v>0</v>
      </c>
      <c r="N74" s="74">
        <f>$K$74-EFEITO!$M$74*EFEITO!$Z$74</f>
        <v>0</v>
      </c>
      <c r="O74" s="74">
        <f>$L$74-EFEITO!$O$74*EFEITO!$AA$74</f>
        <v>0</v>
      </c>
      <c r="P74" s="57"/>
      <c r="Q74" s="57"/>
      <c r="R74" s="57"/>
      <c r="S74" s="57"/>
      <c r="T74" s="57"/>
      <c r="U74" s="57"/>
      <c r="V74" s="57"/>
      <c r="W74" s="57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53" t="s">
        <v>21</v>
      </c>
      <c r="B75" s="53" t="s">
        <v>37</v>
      </c>
      <c r="C75" s="53" t="s">
        <v>38</v>
      </c>
      <c r="D75" s="53" t="s">
        <v>36</v>
      </c>
      <c r="E75" s="53" t="s">
        <v>25</v>
      </c>
      <c r="F75" s="53" t="s">
        <v>25</v>
      </c>
      <c r="G75" s="53" t="s">
        <v>25</v>
      </c>
      <c r="H75" s="53" t="s">
        <v>25</v>
      </c>
      <c r="I75" s="73">
        <v>44317</v>
      </c>
      <c r="J75" s="74">
        <f ca="1">EFEITO!$J$75*EFEITO!$Y$75</f>
        <v>78123.501191288276</v>
      </c>
      <c r="K75" s="74">
        <f>EFEITO!$L$75*EFEITO!$Z$75</f>
        <v>0</v>
      </c>
      <c r="L75" s="74">
        <f>EFEITO!$N$75*EFEITO!$AA$75</f>
        <v>0</v>
      </c>
      <c r="M75" s="74">
        <f ca="1">$J$75-EFEITO!$K$75*EFEITO!$Y$75</f>
        <v>0</v>
      </c>
      <c r="N75" s="74">
        <f>$K$75-EFEITO!$M$75*EFEITO!$Z$75</f>
        <v>0</v>
      </c>
      <c r="O75" s="74">
        <f>$L$75-EFEITO!$O$75*EFEITO!$AA$75</f>
        <v>0</v>
      </c>
      <c r="P75" s="57"/>
      <c r="Q75" s="57"/>
      <c r="R75" s="57"/>
      <c r="S75" s="57"/>
      <c r="T75" s="57"/>
      <c r="U75" s="57"/>
      <c r="V75" s="57"/>
      <c r="W75" s="57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53" t="s">
        <v>21</v>
      </c>
      <c r="B76" s="53" t="s">
        <v>37</v>
      </c>
      <c r="C76" s="53" t="s">
        <v>38</v>
      </c>
      <c r="D76" s="53" t="s">
        <v>36</v>
      </c>
      <c r="E76" s="53" t="s">
        <v>25</v>
      </c>
      <c r="F76" s="53" t="s">
        <v>25</v>
      </c>
      <c r="G76" s="53" t="s">
        <v>25</v>
      </c>
      <c r="H76" s="53" t="s">
        <v>25</v>
      </c>
      <c r="I76" s="73">
        <v>44348</v>
      </c>
      <c r="J76" s="74">
        <f ca="1">EFEITO!$J$76*EFEITO!$Y$76</f>
        <v>76664.763617177086</v>
      </c>
      <c r="K76" s="74">
        <f>EFEITO!$L$76*EFEITO!$Z$76</f>
        <v>0</v>
      </c>
      <c r="L76" s="74">
        <f>EFEITO!$N$76*EFEITO!$AA$76</f>
        <v>0</v>
      </c>
      <c r="M76" s="74">
        <f ca="1">$J$76-EFEITO!$K$76*EFEITO!$Y$76</f>
        <v>0</v>
      </c>
      <c r="N76" s="74">
        <f>$K$76-EFEITO!$M$76*EFEITO!$Z$76</f>
        <v>0</v>
      </c>
      <c r="O76" s="74">
        <f>$L$76-EFEITO!$O$76*EFEITO!$AA$76</f>
        <v>0</v>
      </c>
      <c r="P76" s="57"/>
      <c r="Q76" s="57"/>
      <c r="R76" s="57"/>
      <c r="S76" s="57"/>
      <c r="T76" s="57"/>
      <c r="U76" s="57"/>
      <c r="V76" s="57"/>
      <c r="W76" s="57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53" t="s">
        <v>21</v>
      </c>
      <c r="B77" s="53" t="s">
        <v>37</v>
      </c>
      <c r="C77" s="53" t="s">
        <v>38</v>
      </c>
      <c r="D77" s="53" t="s">
        <v>36</v>
      </c>
      <c r="E77" s="53" t="s">
        <v>25</v>
      </c>
      <c r="F77" s="53" t="s">
        <v>25</v>
      </c>
      <c r="G77" s="53" t="s">
        <v>25</v>
      </c>
      <c r="H77" s="53" t="s">
        <v>25</v>
      </c>
      <c r="I77" s="73">
        <v>44378</v>
      </c>
      <c r="J77" s="74">
        <f ca="1">EFEITO!$J$77*EFEITO!$Y$77</f>
        <v>77313.091427893174</v>
      </c>
      <c r="K77" s="74">
        <f>EFEITO!$L$77*EFEITO!$Z$77</f>
        <v>0</v>
      </c>
      <c r="L77" s="74">
        <f>EFEITO!$N$77*EFEITO!$AA$77</f>
        <v>0</v>
      </c>
      <c r="M77" s="74">
        <f ca="1">$J$77-EFEITO!$K$77*EFEITO!$Y$77</f>
        <v>0</v>
      </c>
      <c r="N77" s="74">
        <f>$K$77-EFEITO!$M$77*EFEITO!$Z$77</f>
        <v>0</v>
      </c>
      <c r="O77" s="74">
        <f>$L$77-EFEITO!$O$77*EFEITO!$AA$77</f>
        <v>0</v>
      </c>
      <c r="P77" s="57"/>
      <c r="Q77" s="57"/>
      <c r="R77" s="57"/>
      <c r="S77" s="57"/>
      <c r="T77" s="57"/>
      <c r="U77" s="57"/>
      <c r="V77" s="57"/>
      <c r="W77" s="57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53" t="s">
        <v>21</v>
      </c>
      <c r="B78" s="53" t="s">
        <v>37</v>
      </c>
      <c r="C78" s="53" t="s">
        <v>38</v>
      </c>
      <c r="D78" s="53" t="s">
        <v>36</v>
      </c>
      <c r="E78" s="53" t="s">
        <v>25</v>
      </c>
      <c r="F78" s="53" t="s">
        <v>25</v>
      </c>
      <c r="G78" s="53" t="s">
        <v>25</v>
      </c>
      <c r="H78" s="53" t="s">
        <v>25</v>
      </c>
      <c r="I78" s="73">
        <v>44409</v>
      </c>
      <c r="J78" s="74">
        <f ca="1">EFEITO!$J$78*EFEITO!$Y$78</f>
        <v>75773.312877442469</v>
      </c>
      <c r="K78" s="74">
        <f>EFEITO!$L$78*EFEITO!$Z$78</f>
        <v>0</v>
      </c>
      <c r="L78" s="74">
        <f>EFEITO!$N$78*EFEITO!$AA$78</f>
        <v>0</v>
      </c>
      <c r="M78" s="74">
        <f ca="1">$J$78-EFEITO!$K$78*EFEITO!$Y$78</f>
        <v>0</v>
      </c>
      <c r="N78" s="74">
        <f>$K$78-EFEITO!$M$78*EFEITO!$Z$78</f>
        <v>0</v>
      </c>
      <c r="O78" s="74">
        <f>$L$78-EFEITO!$O$78*EFEITO!$AA$78</f>
        <v>0</v>
      </c>
      <c r="P78" s="57"/>
      <c r="Q78" s="57"/>
      <c r="R78" s="57"/>
      <c r="S78" s="57"/>
      <c r="T78" s="57"/>
      <c r="U78" s="57"/>
      <c r="V78" s="57"/>
      <c r="W78" s="57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53" t="s">
        <v>21</v>
      </c>
      <c r="B79" s="53" t="s">
        <v>37</v>
      </c>
      <c r="C79" s="53" t="s">
        <v>38</v>
      </c>
      <c r="D79" s="53" t="s">
        <v>36</v>
      </c>
      <c r="E79" s="53" t="s">
        <v>25</v>
      </c>
      <c r="F79" s="53" t="s">
        <v>25</v>
      </c>
      <c r="G79" s="53" t="s">
        <v>25</v>
      </c>
      <c r="H79" s="53" t="s">
        <v>25</v>
      </c>
      <c r="I79" s="73">
        <v>44440</v>
      </c>
      <c r="J79" s="74">
        <f ca="1">EFEITO!$J$79*EFEITO!$Y$79</f>
        <v>75773.312877442469</v>
      </c>
      <c r="K79" s="74">
        <f>EFEITO!$L$79*EFEITO!$Z$79</f>
        <v>0</v>
      </c>
      <c r="L79" s="74">
        <f>EFEITO!$N$79*EFEITO!$AA$79</f>
        <v>0</v>
      </c>
      <c r="M79" s="74">
        <f ca="1">$J$79-EFEITO!$K$79*EFEITO!$Y$79</f>
        <v>0</v>
      </c>
      <c r="N79" s="74">
        <f>$K$79-EFEITO!$M$79*EFEITO!$Z$79</f>
        <v>0</v>
      </c>
      <c r="O79" s="74">
        <f>$L$79-EFEITO!$O$79*EFEITO!$AA$79</f>
        <v>0</v>
      </c>
      <c r="P79" s="57"/>
      <c r="Q79" s="57"/>
      <c r="R79" s="57"/>
      <c r="S79" s="57"/>
      <c r="T79" s="57"/>
      <c r="U79" s="57"/>
      <c r="V79" s="57"/>
      <c r="W79" s="57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53" t="s">
        <v>21</v>
      </c>
      <c r="B80" s="53" t="s">
        <v>37</v>
      </c>
      <c r="C80" s="53" t="s">
        <v>38</v>
      </c>
      <c r="D80" s="53" t="s">
        <v>36</v>
      </c>
      <c r="E80" s="53" t="s">
        <v>25</v>
      </c>
      <c r="F80" s="53" t="s">
        <v>25</v>
      </c>
      <c r="G80" s="53" t="s">
        <v>25</v>
      </c>
      <c r="H80" s="53" t="s">
        <v>25</v>
      </c>
      <c r="I80" s="73">
        <v>44470</v>
      </c>
      <c r="J80" s="74">
        <f ca="1">EFEITO!$J$80*EFEITO!$Y$80</f>
        <v>75773.312877442469</v>
      </c>
      <c r="K80" s="74">
        <f>EFEITO!$L$80*EFEITO!$Z$80</f>
        <v>0</v>
      </c>
      <c r="L80" s="74">
        <f>EFEITO!$N$80*EFEITO!$AA$80</f>
        <v>0</v>
      </c>
      <c r="M80" s="74">
        <f ca="1">$J$80-EFEITO!$K$80*EFEITO!$Y$80</f>
        <v>0</v>
      </c>
      <c r="N80" s="74">
        <f>$K$80-EFEITO!$M$80*EFEITO!$Z$80</f>
        <v>0</v>
      </c>
      <c r="O80" s="74">
        <f>$L$80-EFEITO!$O$80*EFEITO!$AA$80</f>
        <v>0</v>
      </c>
      <c r="P80" s="57"/>
      <c r="Q80" s="57"/>
      <c r="R80" s="57"/>
      <c r="S80" s="57"/>
      <c r="T80" s="57"/>
      <c r="U80" s="57"/>
      <c r="V80" s="57"/>
      <c r="W80" s="57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53" t="s">
        <v>21</v>
      </c>
      <c r="B81" s="53" t="s">
        <v>37</v>
      </c>
      <c r="C81" s="53" t="s">
        <v>38</v>
      </c>
      <c r="D81" s="53" t="s">
        <v>36</v>
      </c>
      <c r="E81" s="53" t="s">
        <v>25</v>
      </c>
      <c r="F81" s="53" t="s">
        <v>25</v>
      </c>
      <c r="G81" s="53" t="s">
        <v>25</v>
      </c>
      <c r="H81" s="53" t="s">
        <v>25</v>
      </c>
      <c r="I81" s="73">
        <v>44501</v>
      </c>
      <c r="J81" s="74">
        <f ca="1">EFEITO!$J$81*EFEITO!$Y$81</f>
        <v>75773.312877442469</v>
      </c>
      <c r="K81" s="74">
        <f>EFEITO!$L$81*EFEITO!$Z$81</f>
        <v>0</v>
      </c>
      <c r="L81" s="74">
        <f>EFEITO!$N$81*EFEITO!$AA$81</f>
        <v>0</v>
      </c>
      <c r="M81" s="74">
        <f ca="1">$J$81-EFEITO!$K$81*EFEITO!$Y$81</f>
        <v>0</v>
      </c>
      <c r="N81" s="74">
        <f>$K$81-EFEITO!$M$81*EFEITO!$Z$81</f>
        <v>0</v>
      </c>
      <c r="O81" s="74">
        <f>$L$81-EFEITO!$O$81*EFEITO!$AA$81</f>
        <v>0</v>
      </c>
      <c r="P81" s="57"/>
      <c r="Q81" s="57"/>
      <c r="R81" s="57"/>
      <c r="S81" s="57"/>
      <c r="T81" s="57"/>
      <c r="U81" s="57"/>
      <c r="V81" s="57"/>
      <c r="W81" s="57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53" t="s">
        <v>21</v>
      </c>
      <c r="B82" s="53" t="s">
        <v>37</v>
      </c>
      <c r="C82" s="53" t="s">
        <v>38</v>
      </c>
      <c r="D82" s="53" t="s">
        <v>36</v>
      </c>
      <c r="E82" s="53" t="s">
        <v>25</v>
      </c>
      <c r="F82" s="53" t="s">
        <v>25</v>
      </c>
      <c r="G82" s="53" t="s">
        <v>25</v>
      </c>
      <c r="H82" s="53" t="s">
        <v>25</v>
      </c>
      <c r="I82" s="73">
        <v>44531</v>
      </c>
      <c r="J82" s="74">
        <f ca="1">EFEITO!$J$82*EFEITO!$Y$82</f>
        <v>75773.312877442469</v>
      </c>
      <c r="K82" s="74">
        <f>EFEITO!$L$82*EFEITO!$Z$82</f>
        <v>0</v>
      </c>
      <c r="L82" s="74">
        <f>EFEITO!$N$82*EFEITO!$AA$82</f>
        <v>0</v>
      </c>
      <c r="M82" s="74">
        <f ca="1">$J$82-EFEITO!$K$82*EFEITO!$Y$82</f>
        <v>0</v>
      </c>
      <c r="N82" s="74">
        <f>$K$82-EFEITO!$M$82*EFEITO!$Z$82</f>
        <v>0</v>
      </c>
      <c r="O82" s="74">
        <f>$L$82-EFEITO!$O$82*EFEITO!$AA$82</f>
        <v>0</v>
      </c>
      <c r="P82" s="57"/>
      <c r="Q82" s="57"/>
      <c r="R82" s="57"/>
      <c r="S82" s="57"/>
      <c r="T82" s="57"/>
      <c r="U82" s="57"/>
      <c r="V82" s="57"/>
      <c r="W82" s="57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53" t="s">
        <v>21</v>
      </c>
      <c r="B83" s="53" t="s">
        <v>37</v>
      </c>
      <c r="C83" s="53" t="s">
        <v>38</v>
      </c>
      <c r="D83" s="53" t="s">
        <v>36</v>
      </c>
      <c r="E83" s="53" t="s">
        <v>25</v>
      </c>
      <c r="F83" s="53" t="s">
        <v>25</v>
      </c>
      <c r="G83" s="53" t="s">
        <v>25</v>
      </c>
      <c r="H83" s="53" t="s">
        <v>25</v>
      </c>
      <c r="I83" s="73">
        <v>44562</v>
      </c>
      <c r="J83" s="74">
        <f ca="1">EFEITO!$J$83*EFEITO!$Y$83</f>
        <v>75773.312877442469</v>
      </c>
      <c r="K83" s="74">
        <f>EFEITO!$L$83*EFEITO!$Z$83</f>
        <v>0</v>
      </c>
      <c r="L83" s="74">
        <f>EFEITO!$N$83*EFEITO!$AA$83</f>
        <v>0</v>
      </c>
      <c r="M83" s="74">
        <f ca="1">$J$83-EFEITO!$K$83*EFEITO!$Y$83</f>
        <v>0</v>
      </c>
      <c r="N83" s="74">
        <f>$K$83-EFEITO!$M$83*EFEITO!$Z$83</f>
        <v>0</v>
      </c>
      <c r="O83" s="74">
        <f>$L$83-EFEITO!$O$83*EFEITO!$AA$83</f>
        <v>0</v>
      </c>
      <c r="P83" s="57"/>
      <c r="Q83" s="57"/>
      <c r="R83" s="57"/>
      <c r="S83" s="57"/>
      <c r="T83" s="57"/>
      <c r="U83" s="57"/>
      <c r="V83" s="57"/>
      <c r="W83" s="57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53" t="s">
        <v>21</v>
      </c>
      <c r="B84" s="53" t="s">
        <v>37</v>
      </c>
      <c r="C84" s="53" t="s">
        <v>38</v>
      </c>
      <c r="D84" s="53" t="s">
        <v>36</v>
      </c>
      <c r="E84" s="53" t="s">
        <v>25</v>
      </c>
      <c r="F84" s="53" t="s">
        <v>25</v>
      </c>
      <c r="G84" s="53" t="s">
        <v>25</v>
      </c>
      <c r="H84" s="53" t="s">
        <v>25</v>
      </c>
      <c r="I84" s="73">
        <v>44593</v>
      </c>
      <c r="J84" s="74">
        <f ca="1">EFEITO!$J$84*EFEITO!$Y$84</f>
        <v>79825.36169441801</v>
      </c>
      <c r="K84" s="74">
        <f>EFEITO!$L$84*EFEITO!$Z$84</f>
        <v>0</v>
      </c>
      <c r="L84" s="74">
        <f>EFEITO!$N$84*EFEITO!$AA$84</f>
        <v>0</v>
      </c>
      <c r="M84" s="74">
        <f ca="1">$J$84-EFEITO!$K$84*EFEITO!$Y$84</f>
        <v>0</v>
      </c>
      <c r="N84" s="74">
        <f>$K$84-EFEITO!$M$84*EFEITO!$Z$84</f>
        <v>0</v>
      </c>
      <c r="O84" s="74">
        <f>$L$84-EFEITO!$O$84*EFEITO!$AA$84</f>
        <v>0</v>
      </c>
      <c r="P84" s="57"/>
      <c r="Q84" s="57"/>
      <c r="R84" s="57"/>
      <c r="S84" s="57"/>
      <c r="T84" s="57"/>
      <c r="U84" s="57"/>
      <c r="V84" s="57"/>
      <c r="W84" s="57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53" t="s">
        <v>21</v>
      </c>
      <c r="B85" s="53" t="s">
        <v>37</v>
      </c>
      <c r="C85" s="53" t="s">
        <v>38</v>
      </c>
      <c r="D85" s="53" t="s">
        <v>36</v>
      </c>
      <c r="E85" s="53" t="s">
        <v>25</v>
      </c>
      <c r="F85" s="53" t="s">
        <v>25</v>
      </c>
      <c r="G85" s="53" t="s">
        <v>25</v>
      </c>
      <c r="H85" s="53" t="s">
        <v>25</v>
      </c>
      <c r="I85" s="73">
        <v>44621</v>
      </c>
      <c r="J85" s="74">
        <f ca="1">EFEITO!$J$85*EFEITO!$Y$85</f>
        <v>86713.844683276417</v>
      </c>
      <c r="K85" s="74">
        <f>EFEITO!$L$85*EFEITO!$Z$85</f>
        <v>0</v>
      </c>
      <c r="L85" s="74">
        <f>EFEITO!$N$85*EFEITO!$AA$85</f>
        <v>0</v>
      </c>
      <c r="M85" s="74">
        <f ca="1">$J$85-EFEITO!$K$85*EFEITO!$Y$85</f>
        <v>0</v>
      </c>
      <c r="N85" s="74">
        <f>$K$85-EFEITO!$M$85*EFEITO!$Z$85</f>
        <v>0</v>
      </c>
      <c r="O85" s="74">
        <f>$L$85-EFEITO!$O$85*EFEITO!$AA$85</f>
        <v>0</v>
      </c>
      <c r="P85" s="57"/>
      <c r="Q85" s="57"/>
      <c r="R85" s="57"/>
      <c r="S85" s="57"/>
      <c r="T85" s="57"/>
      <c r="U85" s="57"/>
      <c r="V85" s="57"/>
      <c r="W85" s="57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53" t="s">
        <v>21</v>
      </c>
      <c r="B86" s="53" t="s">
        <v>37</v>
      </c>
      <c r="C86" s="53" t="s">
        <v>38</v>
      </c>
      <c r="D86" s="53" t="s">
        <v>36</v>
      </c>
      <c r="E86" s="53" t="s">
        <v>25</v>
      </c>
      <c r="F86" s="53" t="s">
        <v>25</v>
      </c>
      <c r="G86" s="53" t="s">
        <v>25</v>
      </c>
      <c r="H86" s="53" t="s">
        <v>39</v>
      </c>
      <c r="I86" s="73">
        <v>44287</v>
      </c>
      <c r="J86" s="74">
        <f>EFEITO!$J$86*EFEITO!$Y$86</f>
        <v>0</v>
      </c>
      <c r="K86" s="74">
        <f ca="1">EFEITO!$L$86*EFEITO!$Z$86</f>
        <v>6122.5635691807438</v>
      </c>
      <c r="L86" s="74">
        <f>EFEITO!$N$86*EFEITO!$AA$86</f>
        <v>401.17653700845182</v>
      </c>
      <c r="M86" s="74">
        <f>$J$86-EFEITO!$K$86*EFEITO!$Y$86</f>
        <v>0</v>
      </c>
      <c r="N86" s="74">
        <f ca="1">$K$86-EFEITO!$M$86*EFEITO!$Z$86</f>
        <v>0</v>
      </c>
      <c r="O86" s="74">
        <f>$L$86-EFEITO!$O$86*EFEITO!$AA$86</f>
        <v>0</v>
      </c>
      <c r="P86" s="57"/>
      <c r="Q86" s="57"/>
      <c r="R86" s="57"/>
      <c r="S86" s="57"/>
      <c r="T86" s="57"/>
      <c r="U86" s="57"/>
      <c r="V86" s="57"/>
      <c r="W86" s="57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53" t="s">
        <v>21</v>
      </c>
      <c r="B87" s="53" t="s">
        <v>37</v>
      </c>
      <c r="C87" s="53" t="s">
        <v>38</v>
      </c>
      <c r="D87" s="53" t="s">
        <v>36</v>
      </c>
      <c r="E87" s="53" t="s">
        <v>25</v>
      </c>
      <c r="F87" s="53" t="s">
        <v>25</v>
      </c>
      <c r="G87" s="53" t="s">
        <v>25</v>
      </c>
      <c r="H87" s="53" t="s">
        <v>39</v>
      </c>
      <c r="I87" s="73">
        <v>44317</v>
      </c>
      <c r="J87" s="74">
        <f>EFEITO!$J$87*EFEITO!$Y$87</f>
        <v>0</v>
      </c>
      <c r="K87" s="74">
        <f ca="1">EFEITO!$L$87*EFEITO!$Z$87</f>
        <v>6132.6584802593597</v>
      </c>
      <c r="L87" s="74">
        <f>EFEITO!$N$87*EFEITO!$AA$87</f>
        <v>401.8379987347642</v>
      </c>
      <c r="M87" s="74">
        <f>$J$87-EFEITO!$K$87*EFEITO!$Y$87</f>
        <v>0</v>
      </c>
      <c r="N87" s="74">
        <f ca="1">$K$87-EFEITO!$M$87*EFEITO!$Z$87</f>
        <v>0</v>
      </c>
      <c r="O87" s="74">
        <f>$L$87-EFEITO!$O$87*EFEITO!$AA$87</f>
        <v>0</v>
      </c>
      <c r="P87" s="57"/>
      <c r="Q87" s="57"/>
      <c r="R87" s="57"/>
      <c r="S87" s="57"/>
      <c r="T87" s="57"/>
      <c r="U87" s="57"/>
      <c r="V87" s="57"/>
      <c r="W87" s="57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53" t="s">
        <v>21</v>
      </c>
      <c r="B88" s="53" t="s">
        <v>37</v>
      </c>
      <c r="C88" s="53" t="s">
        <v>38</v>
      </c>
      <c r="D88" s="53" t="s">
        <v>36</v>
      </c>
      <c r="E88" s="53" t="s">
        <v>25</v>
      </c>
      <c r="F88" s="53" t="s">
        <v>25</v>
      </c>
      <c r="G88" s="53" t="s">
        <v>25</v>
      </c>
      <c r="H88" s="53" t="s">
        <v>39</v>
      </c>
      <c r="I88" s="73">
        <v>44348</v>
      </c>
      <c r="J88" s="74">
        <f>EFEITO!$J$88*EFEITO!$Y$88</f>
        <v>0</v>
      </c>
      <c r="K88" s="74">
        <f ca="1">EFEITO!$L$88*EFEITO!$Z$88</f>
        <v>6117.5161136414345</v>
      </c>
      <c r="L88" s="74">
        <f>EFEITO!$N$88*EFEITO!$AA$88</f>
        <v>400.84580614529563</v>
      </c>
      <c r="M88" s="74">
        <f>$J$88-EFEITO!$K$88*EFEITO!$Y$88</f>
        <v>0</v>
      </c>
      <c r="N88" s="74">
        <f ca="1">$K$88-EFEITO!$M$88*EFEITO!$Z$88</f>
        <v>0</v>
      </c>
      <c r="O88" s="74">
        <f>$L$88-EFEITO!$O$88*EFEITO!$AA$88</f>
        <v>0</v>
      </c>
      <c r="P88" s="57"/>
      <c r="Q88" s="57"/>
      <c r="R88" s="57"/>
      <c r="S88" s="57"/>
      <c r="T88" s="57"/>
      <c r="U88" s="57"/>
      <c r="V88" s="57"/>
      <c r="W88" s="57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53" t="s">
        <v>21</v>
      </c>
      <c r="B89" s="53" t="s">
        <v>37</v>
      </c>
      <c r="C89" s="53" t="s">
        <v>38</v>
      </c>
      <c r="D89" s="53" t="s">
        <v>36</v>
      </c>
      <c r="E89" s="53" t="s">
        <v>25</v>
      </c>
      <c r="F89" s="53" t="s">
        <v>25</v>
      </c>
      <c r="G89" s="53" t="s">
        <v>25</v>
      </c>
      <c r="H89" s="53" t="s">
        <v>39</v>
      </c>
      <c r="I89" s="73">
        <v>44378</v>
      </c>
      <c r="J89" s="74">
        <f>EFEITO!$J$89*EFEITO!$Y$89</f>
        <v>0</v>
      </c>
      <c r="K89" s="74">
        <f ca="1">EFEITO!$L$89*EFEITO!$Z$89</f>
        <v>6011.5195473159647</v>
      </c>
      <c r="L89" s="74">
        <f>EFEITO!$N$89*EFEITO!$AA$89</f>
        <v>393.90045801901579</v>
      </c>
      <c r="M89" s="74">
        <f>$J$89-EFEITO!$K$89*EFEITO!$Y$89</f>
        <v>0</v>
      </c>
      <c r="N89" s="74">
        <f ca="1">$K$89-EFEITO!$M$89*EFEITO!$Z$89</f>
        <v>0</v>
      </c>
      <c r="O89" s="74">
        <f>$L$89-EFEITO!$O$89*EFEITO!$AA$89</f>
        <v>0</v>
      </c>
      <c r="P89" s="57"/>
      <c r="Q89" s="57"/>
      <c r="R89" s="57"/>
      <c r="S89" s="57"/>
      <c r="T89" s="57"/>
      <c r="U89" s="57"/>
      <c r="V89" s="57"/>
      <c r="W89" s="57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53" t="s">
        <v>21</v>
      </c>
      <c r="B90" s="53" t="s">
        <v>37</v>
      </c>
      <c r="C90" s="53" t="s">
        <v>38</v>
      </c>
      <c r="D90" s="53" t="s">
        <v>36</v>
      </c>
      <c r="E90" s="53" t="s">
        <v>25</v>
      </c>
      <c r="F90" s="53" t="s">
        <v>25</v>
      </c>
      <c r="G90" s="53" t="s">
        <v>25</v>
      </c>
      <c r="H90" s="53" t="s">
        <v>39</v>
      </c>
      <c r="I90" s="73">
        <v>44409</v>
      </c>
      <c r="J90" s="74">
        <f>EFEITO!$J$90*EFEITO!$Y$90</f>
        <v>0</v>
      </c>
      <c r="K90" s="74">
        <f ca="1">EFEITO!$L$90*EFEITO!$Z$90</f>
        <v>5718.7671260360939</v>
      </c>
      <c r="L90" s="74">
        <f>EFEITO!$N$90*EFEITO!$AA$90</f>
        <v>374.71806795595705</v>
      </c>
      <c r="M90" s="74">
        <f>$J$90-EFEITO!$K$90*EFEITO!$Y$90</f>
        <v>0</v>
      </c>
      <c r="N90" s="74">
        <f ca="1">$K$90-EFEITO!$M$90*EFEITO!$Z$90</f>
        <v>0</v>
      </c>
      <c r="O90" s="74">
        <f>$L$90-EFEITO!$O$90*EFEITO!$AA$90</f>
        <v>0</v>
      </c>
      <c r="P90" s="57"/>
      <c r="Q90" s="57"/>
      <c r="R90" s="57"/>
      <c r="S90" s="57"/>
      <c r="T90" s="57"/>
      <c r="U90" s="57"/>
      <c r="V90" s="57"/>
      <c r="W90" s="57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53" t="s">
        <v>21</v>
      </c>
      <c r="B91" s="53" t="s">
        <v>37</v>
      </c>
      <c r="C91" s="53" t="s">
        <v>38</v>
      </c>
      <c r="D91" s="53" t="s">
        <v>36</v>
      </c>
      <c r="E91" s="53" t="s">
        <v>25</v>
      </c>
      <c r="F91" s="53" t="s">
        <v>25</v>
      </c>
      <c r="G91" s="53" t="s">
        <v>25</v>
      </c>
      <c r="H91" s="53" t="s">
        <v>39</v>
      </c>
      <c r="I91" s="73">
        <v>44440</v>
      </c>
      <c r="J91" s="74">
        <f>EFEITO!$J$91*EFEITO!$Y$91</f>
        <v>0</v>
      </c>
      <c r="K91" s="74">
        <f ca="1">EFEITO!$L$91*EFEITO!$Z$91</f>
        <v>5355.3503272059097</v>
      </c>
      <c r="L91" s="74">
        <f>EFEITO!$N$91*EFEITO!$AA$91</f>
        <v>350.90544580871176</v>
      </c>
      <c r="M91" s="74">
        <f>$J$91-EFEITO!$K$91*EFEITO!$Y$91</f>
        <v>0</v>
      </c>
      <c r="N91" s="74">
        <f ca="1">$K$91-EFEITO!$M$91*EFEITO!$Z$91</f>
        <v>0</v>
      </c>
      <c r="O91" s="74">
        <f>$L$91-EFEITO!$O$91*EFEITO!$AA$91</f>
        <v>0</v>
      </c>
      <c r="P91" s="57"/>
      <c r="Q91" s="57"/>
      <c r="R91" s="57"/>
      <c r="S91" s="57"/>
      <c r="T91" s="57"/>
      <c r="U91" s="57"/>
      <c r="V91" s="57"/>
      <c r="W91" s="57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53" t="s">
        <v>21</v>
      </c>
      <c r="B92" s="53" t="s">
        <v>37</v>
      </c>
      <c r="C92" s="53" t="s">
        <v>38</v>
      </c>
      <c r="D92" s="53" t="s">
        <v>36</v>
      </c>
      <c r="E92" s="53" t="s">
        <v>25</v>
      </c>
      <c r="F92" s="53" t="s">
        <v>25</v>
      </c>
      <c r="G92" s="53" t="s">
        <v>25</v>
      </c>
      <c r="H92" s="53" t="s">
        <v>39</v>
      </c>
      <c r="I92" s="73">
        <v>44470</v>
      </c>
      <c r="J92" s="74">
        <f>EFEITO!$J$92*EFEITO!$Y$92</f>
        <v>0</v>
      </c>
      <c r="K92" s="74">
        <f ca="1">EFEITO!$L$92*EFEITO!$Z$92</f>
        <v>4764.7980291068598</v>
      </c>
      <c r="L92" s="74">
        <f>EFEITO!$N$92*EFEITO!$AA$92</f>
        <v>312.20993481943816</v>
      </c>
      <c r="M92" s="74">
        <f>$J$92-EFEITO!$K$92*EFEITO!$Y$92</f>
        <v>0</v>
      </c>
      <c r="N92" s="74">
        <f ca="1">$K$92-EFEITO!$M$92*EFEITO!$Z$92</f>
        <v>0</v>
      </c>
      <c r="O92" s="74">
        <f>$L$92-EFEITO!$O$92*EFEITO!$AA$92</f>
        <v>0</v>
      </c>
      <c r="P92" s="57"/>
      <c r="Q92" s="57"/>
      <c r="R92" s="57"/>
      <c r="S92" s="57"/>
      <c r="T92" s="57"/>
      <c r="U92" s="57"/>
      <c r="V92" s="57"/>
      <c r="W92" s="57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53" t="s">
        <v>21</v>
      </c>
      <c r="B93" s="53" t="s">
        <v>37</v>
      </c>
      <c r="C93" s="53" t="s">
        <v>38</v>
      </c>
      <c r="D93" s="53" t="s">
        <v>36</v>
      </c>
      <c r="E93" s="53" t="s">
        <v>25</v>
      </c>
      <c r="F93" s="53" t="s">
        <v>25</v>
      </c>
      <c r="G93" s="53" t="s">
        <v>25</v>
      </c>
      <c r="H93" s="53" t="s">
        <v>39</v>
      </c>
      <c r="I93" s="73">
        <v>44501</v>
      </c>
      <c r="J93" s="74">
        <f>EFEITO!$J$93*EFEITO!$Y$93</f>
        <v>0</v>
      </c>
      <c r="K93" s="74">
        <f ca="1">EFEITO!$L$93*EFEITO!$Z$93</f>
        <v>5168.5944722515096</v>
      </c>
      <c r="L93" s="74">
        <f>EFEITO!$N$93*EFEITO!$AA$93</f>
        <v>338.66840387193292</v>
      </c>
      <c r="M93" s="74">
        <f>$J$93-EFEITO!$K$93*EFEITO!$Y$93</f>
        <v>0</v>
      </c>
      <c r="N93" s="74">
        <f ca="1">$K$93-EFEITO!$M$93*EFEITO!$Z$93</f>
        <v>0</v>
      </c>
      <c r="O93" s="74">
        <f>$L$93-EFEITO!$O$93*EFEITO!$AA$93</f>
        <v>0</v>
      </c>
      <c r="P93" s="57"/>
      <c r="Q93" s="57"/>
      <c r="R93" s="57"/>
      <c r="S93" s="57"/>
      <c r="T93" s="57"/>
      <c r="U93" s="57"/>
      <c r="V93" s="57"/>
      <c r="W93" s="57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53" t="s">
        <v>21</v>
      </c>
      <c r="B94" s="53" t="s">
        <v>37</v>
      </c>
      <c r="C94" s="53" t="s">
        <v>38</v>
      </c>
      <c r="D94" s="53" t="s">
        <v>36</v>
      </c>
      <c r="E94" s="53" t="s">
        <v>25</v>
      </c>
      <c r="F94" s="53" t="s">
        <v>25</v>
      </c>
      <c r="G94" s="53" t="s">
        <v>25</v>
      </c>
      <c r="H94" s="53" t="s">
        <v>39</v>
      </c>
      <c r="I94" s="73">
        <v>44531</v>
      </c>
      <c r="J94" s="74">
        <f>EFEITO!$J$94*EFEITO!$Y$94</f>
        <v>0</v>
      </c>
      <c r="K94" s="74">
        <f ca="1">EFEITO!$L$94*EFEITO!$Z$94</f>
        <v>6410.2685349213052</v>
      </c>
      <c r="L94" s="74">
        <f>EFEITO!$N$94*EFEITO!$AA$94</f>
        <v>420.02819620835436</v>
      </c>
      <c r="M94" s="74">
        <f>$J$94-EFEITO!$K$94*EFEITO!$Y$94</f>
        <v>0</v>
      </c>
      <c r="N94" s="74">
        <f ca="1">$K$94-EFEITO!$M$94*EFEITO!$Z$94</f>
        <v>0</v>
      </c>
      <c r="O94" s="74">
        <f>$L$94-EFEITO!$O$94*EFEITO!$AA$94</f>
        <v>0</v>
      </c>
      <c r="P94" s="57"/>
      <c r="Q94" s="57"/>
      <c r="R94" s="57"/>
      <c r="S94" s="57"/>
      <c r="T94" s="57"/>
      <c r="U94" s="57"/>
      <c r="V94" s="57"/>
      <c r="W94" s="57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53" t="s">
        <v>21</v>
      </c>
      <c r="B95" s="53" t="s">
        <v>37</v>
      </c>
      <c r="C95" s="53" t="s">
        <v>38</v>
      </c>
      <c r="D95" s="53" t="s">
        <v>36</v>
      </c>
      <c r="E95" s="53" t="s">
        <v>25</v>
      </c>
      <c r="F95" s="53" t="s">
        <v>25</v>
      </c>
      <c r="G95" s="53" t="s">
        <v>25</v>
      </c>
      <c r="H95" s="53" t="s">
        <v>39</v>
      </c>
      <c r="I95" s="73">
        <v>44562</v>
      </c>
      <c r="J95" s="74">
        <f>EFEITO!$J$95*EFEITO!$Y$95</f>
        <v>0</v>
      </c>
      <c r="K95" s="74">
        <f ca="1">EFEITO!$L$95*EFEITO!$Z$95</f>
        <v>5940.8551697656512</v>
      </c>
      <c r="L95" s="74">
        <f>EFEITO!$N$95*EFEITO!$AA$95</f>
        <v>389.27022593482917</v>
      </c>
      <c r="M95" s="74">
        <f>$J$95-EFEITO!$K$95*EFEITO!$Y$95</f>
        <v>0</v>
      </c>
      <c r="N95" s="74">
        <f ca="1">$K$95-EFEITO!$M$95*EFEITO!$Z$95</f>
        <v>0</v>
      </c>
      <c r="O95" s="74">
        <f>$L$95-EFEITO!$O$95*EFEITO!$AA$95</f>
        <v>0</v>
      </c>
      <c r="P95" s="57"/>
      <c r="Q95" s="57"/>
      <c r="R95" s="57"/>
      <c r="S95" s="57"/>
      <c r="T95" s="57"/>
      <c r="U95" s="57"/>
      <c r="V95" s="57"/>
      <c r="W95" s="57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53" t="s">
        <v>21</v>
      </c>
      <c r="B96" s="53" t="s">
        <v>37</v>
      </c>
      <c r="C96" s="53" t="s">
        <v>38</v>
      </c>
      <c r="D96" s="53" t="s">
        <v>36</v>
      </c>
      <c r="E96" s="53" t="s">
        <v>25</v>
      </c>
      <c r="F96" s="53" t="s">
        <v>25</v>
      </c>
      <c r="G96" s="53" t="s">
        <v>25</v>
      </c>
      <c r="H96" s="53" t="s">
        <v>39</v>
      </c>
      <c r="I96" s="73">
        <v>44593</v>
      </c>
      <c r="J96" s="74">
        <f>EFEITO!$J$96*EFEITO!$Y$96</f>
        <v>0</v>
      </c>
      <c r="K96" s="74">
        <f ca="1">EFEITO!$L$96*EFEITO!$Z$96</f>
        <v>5794.4789591257149</v>
      </c>
      <c r="L96" s="74">
        <f>EFEITO!$N$96*EFEITO!$AA$96</f>
        <v>379.6790309032998</v>
      </c>
      <c r="M96" s="74">
        <f>$J$96-EFEITO!$K$96*EFEITO!$Y$96</f>
        <v>0</v>
      </c>
      <c r="N96" s="74">
        <f ca="1">$K$96-EFEITO!$M$96*EFEITO!$Z$96</f>
        <v>0</v>
      </c>
      <c r="O96" s="74">
        <f>$L$96-EFEITO!$O$96*EFEITO!$AA$96</f>
        <v>0</v>
      </c>
      <c r="P96" s="57"/>
      <c r="Q96" s="57"/>
      <c r="R96" s="57"/>
      <c r="S96" s="57"/>
      <c r="T96" s="57"/>
      <c r="U96" s="57"/>
      <c r="V96" s="57"/>
      <c r="W96" s="57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53" t="s">
        <v>21</v>
      </c>
      <c r="B97" s="53" t="s">
        <v>37</v>
      </c>
      <c r="C97" s="53" t="s">
        <v>38</v>
      </c>
      <c r="D97" s="53" t="s">
        <v>36</v>
      </c>
      <c r="E97" s="53" t="s">
        <v>25</v>
      </c>
      <c r="F97" s="53" t="s">
        <v>25</v>
      </c>
      <c r="G97" s="53" t="s">
        <v>25</v>
      </c>
      <c r="H97" s="53" t="s">
        <v>39</v>
      </c>
      <c r="I97" s="73">
        <v>44621</v>
      </c>
      <c r="J97" s="74">
        <f>EFEITO!$J$97*EFEITO!$Y$97</f>
        <v>0</v>
      </c>
      <c r="K97" s="74">
        <f ca="1">EFEITO!$L$97*EFEITO!$Z$97</f>
        <v>8520.1049503520971</v>
      </c>
      <c r="L97" s="74">
        <f>EFEITO!$N$97*EFEITO!$AA$97</f>
        <v>558.27369700763938</v>
      </c>
      <c r="M97" s="74">
        <f>$J$97-EFEITO!$K$97*EFEITO!$Y$97</f>
        <v>0</v>
      </c>
      <c r="N97" s="74">
        <f ca="1">$K$97-EFEITO!$M$97*EFEITO!$Z$97</f>
        <v>0</v>
      </c>
      <c r="O97" s="74">
        <f>$L$97-EFEITO!$O$97*EFEITO!$AA$97</f>
        <v>0</v>
      </c>
      <c r="P97" s="57"/>
      <c r="Q97" s="57"/>
      <c r="R97" s="57"/>
      <c r="S97" s="57"/>
      <c r="T97" s="57"/>
      <c r="U97" s="57"/>
      <c r="V97" s="57"/>
      <c r="W97" s="57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53" t="s">
        <v>21</v>
      </c>
      <c r="B98" s="53" t="s">
        <v>37</v>
      </c>
      <c r="C98" s="53" t="s">
        <v>38</v>
      </c>
      <c r="D98" s="53" t="s">
        <v>44</v>
      </c>
      <c r="E98" s="53" t="s">
        <v>52</v>
      </c>
      <c r="F98" s="53" t="s">
        <v>54</v>
      </c>
      <c r="G98" s="53" t="s">
        <v>25</v>
      </c>
      <c r="H98" s="53" t="s">
        <v>34</v>
      </c>
      <c r="I98" s="73">
        <v>44287</v>
      </c>
      <c r="J98" s="74">
        <f>EFEITO!$J$98*EFEITO!$Y$73</f>
        <v>0</v>
      </c>
      <c r="K98" s="74">
        <f ca="1">EFEITO!$L$98*EFEITO!$Z$73</f>
        <v>790.40027144817782</v>
      </c>
      <c r="L98" s="74">
        <f>EFEITO!$N$98*EFEITO!$AA$73</f>
        <v>1962.8876728319549</v>
      </c>
      <c r="M98" s="74">
        <f>$J$98-EFEITO!$K$98*EFEITO!$Y$98</f>
        <v>0</v>
      </c>
      <c r="N98" s="74">
        <f ca="1">$K$98-EFEITO!$M$98*EFEITO!$Z$98</f>
        <v>553.28019001372445</v>
      </c>
      <c r="O98" s="74">
        <f>$L$98-EFEITO!$O$98*EFEITO!$AA$98</f>
        <v>1374.0213709823684</v>
      </c>
      <c r="P98" s="57"/>
      <c r="Q98" s="57"/>
      <c r="R98" s="57"/>
      <c r="S98" s="57"/>
      <c r="T98" s="57"/>
      <c r="U98" s="57"/>
      <c r="V98" s="57"/>
      <c r="W98" s="57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53" t="s">
        <v>21</v>
      </c>
      <c r="B99" s="53" t="s">
        <v>37</v>
      </c>
      <c r="C99" s="53" t="s">
        <v>38</v>
      </c>
      <c r="D99" s="53" t="s">
        <v>44</v>
      </c>
      <c r="E99" s="53" t="s">
        <v>52</v>
      </c>
      <c r="F99" s="53" t="s">
        <v>54</v>
      </c>
      <c r="G99" s="53" t="s">
        <v>25</v>
      </c>
      <c r="H99" s="53" t="s">
        <v>34</v>
      </c>
      <c r="I99" s="73">
        <v>44317</v>
      </c>
      <c r="J99" s="74">
        <f>EFEITO!$J$99*EFEITO!$Y$73</f>
        <v>0</v>
      </c>
      <c r="K99" s="74">
        <f ca="1">EFEITO!$L$99*EFEITO!$Z$73</f>
        <v>370.22961324784063</v>
      </c>
      <c r="L99" s="74">
        <f>EFEITO!$N$99*EFEITO!$AA$73</f>
        <v>919.43179957419284</v>
      </c>
      <c r="M99" s="74">
        <f>$J$99-EFEITO!$K$99*EFEITO!$Y$99</f>
        <v>0</v>
      </c>
      <c r="N99" s="74">
        <f ca="1">$K$99-EFEITO!$M$99*EFEITO!$Z$99</f>
        <v>259.16072927348841</v>
      </c>
      <c r="O99" s="74">
        <f>$L$99-EFEITO!$O$99*EFEITO!$AA$99</f>
        <v>643.60225970193494</v>
      </c>
      <c r="P99" s="57"/>
      <c r="Q99" s="57"/>
      <c r="R99" s="57"/>
      <c r="S99" s="57"/>
      <c r="T99" s="57"/>
      <c r="U99" s="57"/>
      <c r="V99" s="57"/>
      <c r="W99" s="57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53" t="s">
        <v>21</v>
      </c>
      <c r="B100" s="53" t="s">
        <v>37</v>
      </c>
      <c r="C100" s="53" t="s">
        <v>38</v>
      </c>
      <c r="D100" s="53" t="s">
        <v>44</v>
      </c>
      <c r="E100" s="53" t="s">
        <v>52</v>
      </c>
      <c r="F100" s="53" t="s">
        <v>54</v>
      </c>
      <c r="G100" s="53" t="s">
        <v>25</v>
      </c>
      <c r="H100" s="53" t="s">
        <v>34</v>
      </c>
      <c r="I100" s="73">
        <v>44348</v>
      </c>
      <c r="J100" s="74">
        <f>EFEITO!$J$100*EFEITO!$Y$73</f>
        <v>0</v>
      </c>
      <c r="K100" s="74">
        <f ca="1">EFEITO!$L$100*EFEITO!$Z$73</f>
        <v>671.3408202814262</v>
      </c>
      <c r="L100" s="74">
        <f>EFEITO!$N$100*EFEITO!$AA$73</f>
        <v>1667.2142811703263</v>
      </c>
      <c r="M100" s="74">
        <f>$J$100-EFEITO!$K$100*EFEITO!$Y$100</f>
        <v>0</v>
      </c>
      <c r="N100" s="74">
        <f ca="1">$K$100-EFEITO!$M$100*EFEITO!$Z$100</f>
        <v>469.93857419699839</v>
      </c>
      <c r="O100" s="74">
        <f>$L$100-EFEITO!$O$100*EFEITO!$AA$100</f>
        <v>1167.0499968192285</v>
      </c>
      <c r="P100" s="57"/>
      <c r="Q100" s="57"/>
      <c r="R100" s="57"/>
      <c r="S100" s="57"/>
      <c r="T100" s="57"/>
      <c r="U100" s="57"/>
      <c r="V100" s="57"/>
      <c r="W100" s="57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53" t="s">
        <v>21</v>
      </c>
      <c r="B101" s="53" t="s">
        <v>37</v>
      </c>
      <c r="C101" s="53" t="s">
        <v>38</v>
      </c>
      <c r="D101" s="53" t="s">
        <v>44</v>
      </c>
      <c r="E101" s="53" t="s">
        <v>52</v>
      </c>
      <c r="F101" s="53" t="s">
        <v>54</v>
      </c>
      <c r="G101" s="53" t="s">
        <v>25</v>
      </c>
      <c r="H101" s="53" t="s">
        <v>34</v>
      </c>
      <c r="I101" s="73">
        <v>44378</v>
      </c>
      <c r="J101" s="74">
        <f>EFEITO!$J$101*EFEITO!$Y$73</f>
        <v>0</v>
      </c>
      <c r="K101" s="74">
        <f ca="1">EFEITO!$L$101*EFEITO!$Z$73</f>
        <v>1835.6996363338978</v>
      </c>
      <c r="L101" s="74">
        <f>EFEITO!$N$101*EFEITO!$AA$73</f>
        <v>4558.7942177448476</v>
      </c>
      <c r="M101" s="74">
        <f>$J$101-EFEITO!$K$101*EFEITO!$Y$101</f>
        <v>0</v>
      </c>
      <c r="N101" s="74">
        <f ca="1">$K$101-EFEITO!$M$101*EFEITO!$Z$101</f>
        <v>1284.9897454337283</v>
      </c>
      <c r="O101" s="74">
        <f>$L$101-EFEITO!$O$101*EFEITO!$AA$101</f>
        <v>3191.1559524213935</v>
      </c>
      <c r="P101" s="57"/>
      <c r="Q101" s="57"/>
      <c r="R101" s="57"/>
      <c r="S101" s="57"/>
      <c r="T101" s="57"/>
      <c r="U101" s="57"/>
      <c r="V101" s="57"/>
      <c r="W101" s="57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53" t="s">
        <v>21</v>
      </c>
      <c r="B102" s="53" t="s">
        <v>37</v>
      </c>
      <c r="C102" s="53" t="s">
        <v>38</v>
      </c>
      <c r="D102" s="53" t="s">
        <v>44</v>
      </c>
      <c r="E102" s="53" t="s">
        <v>52</v>
      </c>
      <c r="F102" s="53" t="s">
        <v>54</v>
      </c>
      <c r="G102" s="53" t="s">
        <v>25</v>
      </c>
      <c r="H102" s="53" t="s">
        <v>34</v>
      </c>
      <c r="I102" s="73">
        <v>44409</v>
      </c>
      <c r="J102" s="74">
        <f>EFEITO!$J$102*EFEITO!$Y$73</f>
        <v>0</v>
      </c>
      <c r="K102" s="74">
        <f ca="1">EFEITO!$L$102*EFEITO!$Z$73</f>
        <v>1939.0443053555973</v>
      </c>
      <c r="L102" s="74">
        <f>EFEITO!$N$102*EFEITO!$AA$73</f>
        <v>4815.4413675540463</v>
      </c>
      <c r="M102" s="74">
        <f>$J$102-EFEITO!$K$102*EFEITO!$Y$102</f>
        <v>0</v>
      </c>
      <c r="N102" s="74">
        <f ca="1">$K$102-EFEITO!$M$102*EFEITO!$Z$102</f>
        <v>1357.3310137489182</v>
      </c>
      <c r="O102" s="74">
        <f>$L$102-EFEITO!$O$102*EFEITO!$AA$102</f>
        <v>3370.8089572878325</v>
      </c>
      <c r="P102" s="57"/>
      <c r="Q102" s="57"/>
      <c r="R102" s="57"/>
      <c r="S102" s="57"/>
      <c r="T102" s="57"/>
      <c r="U102" s="57"/>
      <c r="V102" s="57"/>
      <c r="W102" s="57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53" t="s">
        <v>21</v>
      </c>
      <c r="B103" s="53" t="s">
        <v>37</v>
      </c>
      <c r="C103" s="53" t="s">
        <v>38</v>
      </c>
      <c r="D103" s="53" t="s">
        <v>44</v>
      </c>
      <c r="E103" s="53" t="s">
        <v>52</v>
      </c>
      <c r="F103" s="53" t="s">
        <v>54</v>
      </c>
      <c r="G103" s="53" t="s">
        <v>25</v>
      </c>
      <c r="H103" s="53" t="s">
        <v>34</v>
      </c>
      <c r="I103" s="73">
        <v>44440</v>
      </c>
      <c r="J103" s="74">
        <f>EFEITO!$J$103*EFEITO!$Y$73</f>
        <v>0</v>
      </c>
      <c r="K103" s="74">
        <f ca="1">EFEITO!$L$103*EFEITO!$Z$73</f>
        <v>1847.8186632423703</v>
      </c>
      <c r="L103" s="74">
        <f>EFEITO!$N$103*EFEITO!$AA$73</f>
        <v>4588.8907262920602</v>
      </c>
      <c r="M103" s="74">
        <f>$J$103-EFEITO!$K$103*EFEITO!$Y$103</f>
        <v>0</v>
      </c>
      <c r="N103" s="74">
        <f ca="1">$K$103-EFEITO!$M$103*EFEITO!$Z$103</f>
        <v>1293.4730642696593</v>
      </c>
      <c r="O103" s="74">
        <f>$L$103-EFEITO!$O$103*EFEITO!$AA$103</f>
        <v>3212.2235084044423</v>
      </c>
      <c r="P103" s="57"/>
      <c r="Q103" s="57"/>
      <c r="R103" s="57"/>
      <c r="S103" s="57"/>
      <c r="T103" s="57"/>
      <c r="U103" s="57"/>
      <c r="V103" s="57"/>
      <c r="W103" s="57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53" t="s">
        <v>21</v>
      </c>
      <c r="B104" s="53" t="s">
        <v>37</v>
      </c>
      <c r="C104" s="53" t="s">
        <v>38</v>
      </c>
      <c r="D104" s="53" t="s">
        <v>44</v>
      </c>
      <c r="E104" s="53" t="s">
        <v>52</v>
      </c>
      <c r="F104" s="53" t="s">
        <v>54</v>
      </c>
      <c r="G104" s="53" t="s">
        <v>25</v>
      </c>
      <c r="H104" s="53" t="s">
        <v>34</v>
      </c>
      <c r="I104" s="73">
        <v>44470</v>
      </c>
      <c r="J104" s="74">
        <f>EFEITO!$J$104*EFEITO!$Y$73</f>
        <v>0</v>
      </c>
      <c r="K104" s="74">
        <f ca="1">EFEITO!$L$104*EFEITO!$Z$73</f>
        <v>845.00248059624062</v>
      </c>
      <c r="L104" s="74">
        <f>EFEITO!$N$104*EFEITO!$AA$73</f>
        <v>2098.4873267259904</v>
      </c>
      <c r="M104" s="74">
        <f>$J$104-EFEITO!$K$104*EFEITO!$Y$104</f>
        <v>0</v>
      </c>
      <c r="N104" s="74">
        <f ca="1">$K$104-EFEITO!$M$104*EFEITO!$Z$104</f>
        <v>591.50173641736842</v>
      </c>
      <c r="O104" s="74">
        <f>$L$104-EFEITO!$O$104*EFEITO!$AA$104</f>
        <v>1468.9411287081932</v>
      </c>
      <c r="P104" s="57"/>
      <c r="Q104" s="57"/>
      <c r="R104" s="57"/>
      <c r="S104" s="57"/>
      <c r="T104" s="57"/>
      <c r="U104" s="57"/>
      <c r="V104" s="57"/>
      <c r="W104" s="57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53" t="s">
        <v>21</v>
      </c>
      <c r="B105" s="53" t="s">
        <v>37</v>
      </c>
      <c r="C105" s="53" t="s">
        <v>38</v>
      </c>
      <c r="D105" s="53" t="s">
        <v>44</v>
      </c>
      <c r="E105" s="53" t="s">
        <v>52</v>
      </c>
      <c r="F105" s="53" t="s">
        <v>54</v>
      </c>
      <c r="G105" s="53" t="s">
        <v>25</v>
      </c>
      <c r="H105" s="53" t="s">
        <v>34</v>
      </c>
      <c r="I105" s="73">
        <v>44501</v>
      </c>
      <c r="J105" s="74">
        <f>EFEITO!$J$105*EFEITO!$Y$73</f>
        <v>0</v>
      </c>
      <c r="K105" s="74">
        <f ca="1">EFEITO!$L$105*EFEITO!$Z$73</f>
        <v>1345.2119868404457</v>
      </c>
      <c r="L105" s="74">
        <f>EFEITO!$N$105*EFEITO!$AA$73</f>
        <v>3340.7124487406199</v>
      </c>
      <c r="M105" s="74">
        <f>$J$105-EFEITO!$K$105*EFEITO!$Y$105</f>
        <v>0</v>
      </c>
      <c r="N105" s="74">
        <f ca="1">$K$105-EFEITO!$M$105*EFEITO!$Z$105</f>
        <v>941.64839078831199</v>
      </c>
      <c r="O105" s="74">
        <f>$L$105-EFEITO!$O$105*EFEITO!$AA$105</f>
        <v>2338.4987141184338</v>
      </c>
      <c r="P105" s="57"/>
      <c r="Q105" s="57"/>
      <c r="R105" s="57"/>
      <c r="S105" s="57"/>
      <c r="T105" s="57"/>
      <c r="U105" s="57"/>
      <c r="V105" s="57"/>
      <c r="W105" s="57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53" t="s">
        <v>21</v>
      </c>
      <c r="B106" s="53" t="s">
        <v>37</v>
      </c>
      <c r="C106" s="53" t="s">
        <v>38</v>
      </c>
      <c r="D106" s="53" t="s">
        <v>44</v>
      </c>
      <c r="E106" s="53" t="s">
        <v>52</v>
      </c>
      <c r="F106" s="53" t="s">
        <v>54</v>
      </c>
      <c r="G106" s="53" t="s">
        <v>25</v>
      </c>
      <c r="H106" s="53" t="s">
        <v>34</v>
      </c>
      <c r="I106" s="73">
        <v>44531</v>
      </c>
      <c r="J106" s="74">
        <f>EFEITO!$J$106*EFEITO!$Y$73</f>
        <v>0</v>
      </c>
      <c r="K106" s="74">
        <f ca="1">EFEITO!$L$106*EFEITO!$Z$73</f>
        <v>675.33610387762587</v>
      </c>
      <c r="L106" s="74">
        <f>EFEITO!$N$106*EFEITO!$AA$73</f>
        <v>1677.1362070650116</v>
      </c>
      <c r="M106" s="74">
        <f>$J$106-EFEITO!$K$106*EFEITO!$Y$106</f>
        <v>0</v>
      </c>
      <c r="N106" s="74">
        <f ca="1">$K$106-EFEITO!$M$106*EFEITO!$Z$106</f>
        <v>472.73527271433807</v>
      </c>
      <c r="O106" s="74">
        <f>$L$106-EFEITO!$O$106*EFEITO!$AA$106</f>
        <v>1173.9953449455081</v>
      </c>
      <c r="P106" s="57"/>
      <c r="Q106" s="57"/>
      <c r="R106" s="57"/>
      <c r="S106" s="57"/>
      <c r="T106" s="57"/>
      <c r="U106" s="57"/>
      <c r="V106" s="57"/>
      <c r="W106" s="57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53" t="s">
        <v>21</v>
      </c>
      <c r="B107" s="53" t="s">
        <v>37</v>
      </c>
      <c r="C107" s="53" t="s">
        <v>38</v>
      </c>
      <c r="D107" s="53" t="s">
        <v>44</v>
      </c>
      <c r="E107" s="53" t="s">
        <v>52</v>
      </c>
      <c r="F107" s="53" t="s">
        <v>54</v>
      </c>
      <c r="G107" s="53" t="s">
        <v>25</v>
      </c>
      <c r="H107" s="53" t="s">
        <v>34</v>
      </c>
      <c r="I107" s="73">
        <v>44562</v>
      </c>
      <c r="J107" s="74">
        <f>EFEITO!$J$107*EFEITO!$Y$73</f>
        <v>0</v>
      </c>
      <c r="K107" s="74">
        <f ca="1">EFEITO!$L$107*EFEITO!$Z$73</f>
        <v>1553.0999099627045</v>
      </c>
      <c r="L107" s="74">
        <f>EFEITO!$N$107*EFEITO!$AA$73</f>
        <v>3856.9833261274239</v>
      </c>
      <c r="M107" s="74">
        <f>$J$107-EFEITO!$K$107*EFEITO!$Y$107</f>
        <v>0</v>
      </c>
      <c r="N107" s="74">
        <f ca="1">$K$107-EFEITO!$M$107*EFEITO!$Z$107</f>
        <v>1087.1699369738931</v>
      </c>
      <c r="O107" s="74">
        <f>$L$107-EFEITO!$O$107*EFEITO!$AA$107</f>
        <v>2699.8883282891966</v>
      </c>
      <c r="P107" s="57"/>
      <c r="Q107" s="57"/>
      <c r="R107" s="57"/>
      <c r="S107" s="57"/>
      <c r="T107" s="57"/>
      <c r="U107" s="57"/>
      <c r="V107" s="57"/>
      <c r="W107" s="57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53" t="s">
        <v>21</v>
      </c>
      <c r="B108" s="53" t="s">
        <v>37</v>
      </c>
      <c r="C108" s="53" t="s">
        <v>38</v>
      </c>
      <c r="D108" s="53" t="s">
        <v>44</v>
      </c>
      <c r="E108" s="53" t="s">
        <v>52</v>
      </c>
      <c r="F108" s="53" t="s">
        <v>54</v>
      </c>
      <c r="G108" s="53" t="s">
        <v>25</v>
      </c>
      <c r="H108" s="53" t="s">
        <v>34</v>
      </c>
      <c r="I108" s="73">
        <v>44593</v>
      </c>
      <c r="J108" s="74">
        <f>EFEITO!$J$108*EFEITO!$Y$73</f>
        <v>0</v>
      </c>
      <c r="K108" s="74">
        <f ca="1">EFEITO!$L$108*EFEITO!$Z$73</f>
        <v>412.84597160730436</v>
      </c>
      <c r="L108" s="74">
        <f>EFEITO!$N$108*EFEITO!$AA$73</f>
        <v>1025.2656757841721</v>
      </c>
      <c r="M108" s="74">
        <f>$J$108-EFEITO!$K$108*EFEITO!$Y$108</f>
        <v>0</v>
      </c>
      <c r="N108" s="74">
        <f ca="1">$K$108-EFEITO!$M$108*EFEITO!$Z$108</f>
        <v>288.99218012511307</v>
      </c>
      <c r="O108" s="74">
        <f>$L$108-EFEITO!$O$108*EFEITO!$AA$108</f>
        <v>717.68597304892046</v>
      </c>
      <c r="P108" s="57"/>
      <c r="Q108" s="57"/>
      <c r="R108" s="57"/>
      <c r="S108" s="57"/>
      <c r="T108" s="57"/>
      <c r="U108" s="57"/>
      <c r="V108" s="57"/>
      <c r="W108" s="57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53" t="s">
        <v>21</v>
      </c>
      <c r="B109" s="53" t="s">
        <v>37</v>
      </c>
      <c r="C109" s="53" t="s">
        <v>38</v>
      </c>
      <c r="D109" s="53" t="s">
        <v>44</v>
      </c>
      <c r="E109" s="53" t="s">
        <v>52</v>
      </c>
      <c r="F109" s="53" t="s">
        <v>54</v>
      </c>
      <c r="G109" s="53" t="s">
        <v>25</v>
      </c>
      <c r="H109" s="53" t="s">
        <v>34</v>
      </c>
      <c r="I109" s="73">
        <v>44621</v>
      </c>
      <c r="J109" s="74">
        <f>EFEITO!$J$109*EFEITO!$Y$73</f>
        <v>0</v>
      </c>
      <c r="K109" s="74">
        <f ca="1">EFEITO!$L$109*EFEITO!$Z$73</f>
        <v>4510.6751801094833</v>
      </c>
      <c r="L109" s="74">
        <f>EFEITO!$N$109*EFEITO!$AA$73</f>
        <v>11201.854335099968</v>
      </c>
      <c r="M109" s="74">
        <f>$J$109-EFEITO!$K$109*EFEITO!$Y$109</f>
        <v>0</v>
      </c>
      <c r="N109" s="74">
        <f ca="1">$K$109-EFEITO!$M$109*EFEITO!$Z$109</f>
        <v>3157.4726260766383</v>
      </c>
      <c r="O109" s="74">
        <f>$L$109-EFEITO!$O$109*EFEITO!$AA$109</f>
        <v>7841.298034569978</v>
      </c>
      <c r="P109" s="57"/>
      <c r="Q109" s="57"/>
      <c r="R109" s="57"/>
      <c r="S109" s="57"/>
      <c r="T109" s="57"/>
      <c r="U109" s="57"/>
      <c r="V109" s="57"/>
      <c r="W109" s="57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53" t="s">
        <v>21</v>
      </c>
      <c r="B110" s="53" t="s">
        <v>37</v>
      </c>
      <c r="C110" s="53" t="s">
        <v>38</v>
      </c>
      <c r="D110" s="53" t="s">
        <v>44</v>
      </c>
      <c r="E110" s="53" t="s">
        <v>52</v>
      </c>
      <c r="F110" s="53" t="s">
        <v>25</v>
      </c>
      <c r="G110" s="53" t="s">
        <v>25</v>
      </c>
      <c r="H110" s="53" t="s">
        <v>34</v>
      </c>
      <c r="I110" s="73">
        <v>44287</v>
      </c>
      <c r="J110" s="74">
        <f>EFEITO!$J$110*EFEITO!$Y$73</f>
        <v>0</v>
      </c>
      <c r="K110" s="74">
        <f ca="1">EFEITO!$L$110*EFEITO!$Z$73</f>
        <v>1294.8714135283292</v>
      </c>
      <c r="L110" s="74">
        <f>EFEITO!$N$110*EFEITO!$AA$73</f>
        <v>3215.6961824675823</v>
      </c>
      <c r="M110" s="74">
        <f>$J$110-EFEITO!$K$110*EFEITO!$Y$110</f>
        <v>0</v>
      </c>
      <c r="N110" s="74">
        <f ca="1">$K$110-EFEITO!$M$110*EFEITO!$Z$110</f>
        <v>25.897428270566706</v>
      </c>
      <c r="O110" s="74">
        <f>$L$110-EFEITO!$O$110*EFEITO!$AA$110</f>
        <v>64.313923649351636</v>
      </c>
      <c r="P110" s="57"/>
      <c r="Q110" s="57"/>
      <c r="R110" s="57"/>
      <c r="S110" s="57"/>
      <c r="T110" s="57"/>
      <c r="U110" s="57"/>
      <c r="V110" s="57"/>
      <c r="W110" s="57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53" t="s">
        <v>21</v>
      </c>
      <c r="B111" s="53" t="s">
        <v>37</v>
      </c>
      <c r="C111" s="53" t="s">
        <v>38</v>
      </c>
      <c r="D111" s="53" t="s">
        <v>44</v>
      </c>
      <c r="E111" s="53" t="s">
        <v>52</v>
      </c>
      <c r="F111" s="53" t="s">
        <v>25</v>
      </c>
      <c r="G111" s="53" t="s">
        <v>25</v>
      </c>
      <c r="H111" s="53" t="s">
        <v>34</v>
      </c>
      <c r="I111" s="73">
        <v>44317</v>
      </c>
      <c r="J111" s="74">
        <f>EFEITO!$J$111*EFEITO!$Y$73</f>
        <v>0</v>
      </c>
      <c r="K111" s="74">
        <f ca="1">EFEITO!$L$111*EFEITO!$Z$73</f>
        <v>777.48218782046547</v>
      </c>
      <c r="L111" s="74">
        <f>EFEITO!$N$111*EFEITO!$AA$73</f>
        <v>1930.8067791058052</v>
      </c>
      <c r="M111" s="74">
        <f>$J$111-EFEITO!$K$111*EFEITO!$Y$111</f>
        <v>0</v>
      </c>
      <c r="N111" s="74">
        <f ca="1">$K$111-EFEITO!$M$111*EFEITO!$Z$111</f>
        <v>15.549643756409409</v>
      </c>
      <c r="O111" s="74">
        <f>$L$111-EFEITO!$O$111*EFEITO!$AA$111</f>
        <v>38.616135582116158</v>
      </c>
      <c r="P111" s="57"/>
      <c r="Q111" s="57"/>
      <c r="R111" s="57"/>
      <c r="S111" s="57"/>
      <c r="T111" s="57"/>
      <c r="U111" s="57"/>
      <c r="V111" s="57"/>
      <c r="W111" s="57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53" t="s">
        <v>21</v>
      </c>
      <c r="B112" s="53" t="s">
        <v>37</v>
      </c>
      <c r="C112" s="53" t="s">
        <v>38</v>
      </c>
      <c r="D112" s="53" t="s">
        <v>44</v>
      </c>
      <c r="E112" s="53" t="s">
        <v>52</v>
      </c>
      <c r="F112" s="53" t="s">
        <v>25</v>
      </c>
      <c r="G112" s="53" t="s">
        <v>25</v>
      </c>
      <c r="H112" s="53" t="s">
        <v>34</v>
      </c>
      <c r="I112" s="73">
        <v>44348</v>
      </c>
      <c r="J112" s="74">
        <f>EFEITO!$J$112*EFEITO!$Y$73</f>
        <v>0</v>
      </c>
      <c r="K112" s="74">
        <f ca="1">EFEITO!$L$112*EFEITO!$Z$73</f>
        <v>1530.8594979438592</v>
      </c>
      <c r="L112" s="74">
        <f>EFEITO!$N$112*EFEITO!$AA$73</f>
        <v>3801.7512719803408</v>
      </c>
      <c r="M112" s="74">
        <f>$J$112-EFEITO!$K$112*EFEITO!$Y$112</f>
        <v>0</v>
      </c>
      <c r="N112" s="74">
        <f ca="1">$K$112-EFEITO!$M$112*EFEITO!$Z$112</f>
        <v>30.617189958877361</v>
      </c>
      <c r="O112" s="74">
        <f>$L$112-EFEITO!$O$112*EFEITO!$AA$112</f>
        <v>76.035025439607125</v>
      </c>
      <c r="P112" s="57"/>
      <c r="Q112" s="57"/>
      <c r="R112" s="57"/>
      <c r="S112" s="57"/>
      <c r="T112" s="57"/>
      <c r="U112" s="57"/>
      <c r="V112" s="57"/>
      <c r="W112" s="57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53" t="s">
        <v>21</v>
      </c>
      <c r="B113" s="53" t="s">
        <v>37</v>
      </c>
      <c r="C113" s="53" t="s">
        <v>38</v>
      </c>
      <c r="D113" s="53" t="s">
        <v>44</v>
      </c>
      <c r="E113" s="53" t="s">
        <v>52</v>
      </c>
      <c r="F113" s="53" t="s">
        <v>25</v>
      </c>
      <c r="G113" s="53" t="s">
        <v>25</v>
      </c>
      <c r="H113" s="53" t="s">
        <v>34</v>
      </c>
      <c r="I113" s="73">
        <v>44378</v>
      </c>
      <c r="J113" s="74">
        <f>EFEITO!$J$113*EFEITO!$Y$73</f>
        <v>0</v>
      </c>
      <c r="K113" s="74">
        <f ca="1">EFEITO!$L$113*EFEITO!$Z$73</f>
        <v>3465.9085197032564</v>
      </c>
      <c r="L113" s="74">
        <f>EFEITO!$N$113*EFEITO!$AA$73</f>
        <v>8607.2707136397021</v>
      </c>
      <c r="M113" s="74">
        <f>$J$113-EFEITO!$K$113*EFEITO!$Y$113</f>
        <v>0</v>
      </c>
      <c r="N113" s="74">
        <f ca="1">$K$113-EFEITO!$M$113*EFEITO!$Z$113</f>
        <v>69.318170394065419</v>
      </c>
      <c r="O113" s="74">
        <f>$L$113-EFEITO!$O$113*EFEITO!$AA$113</f>
        <v>172.14541427279437</v>
      </c>
      <c r="P113" s="57"/>
      <c r="Q113" s="57"/>
      <c r="R113" s="57"/>
      <c r="S113" s="57"/>
      <c r="T113" s="57"/>
      <c r="U113" s="57"/>
      <c r="V113" s="57"/>
      <c r="W113" s="57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53" t="s">
        <v>21</v>
      </c>
      <c r="B114" s="53" t="s">
        <v>37</v>
      </c>
      <c r="C114" s="53" t="s">
        <v>38</v>
      </c>
      <c r="D114" s="53" t="s">
        <v>44</v>
      </c>
      <c r="E114" s="53" t="s">
        <v>52</v>
      </c>
      <c r="F114" s="53" t="s">
        <v>25</v>
      </c>
      <c r="G114" s="53" t="s">
        <v>25</v>
      </c>
      <c r="H114" s="53" t="s">
        <v>34</v>
      </c>
      <c r="I114" s="73">
        <v>44409</v>
      </c>
      <c r="J114" s="74">
        <f>EFEITO!$J$114*EFEITO!$Y$73</f>
        <v>0</v>
      </c>
      <c r="K114" s="74">
        <f ca="1">EFEITO!$L$114*EFEITO!$Z$73</f>
        <v>3393.9934149716614</v>
      </c>
      <c r="L114" s="74">
        <f>EFEITO!$N$114*EFEITO!$AA$73</f>
        <v>8428.6760475353622</v>
      </c>
      <c r="M114" s="74">
        <f>$J$114-EFEITO!$K$114*EFEITO!$Y$114</f>
        <v>0</v>
      </c>
      <c r="N114" s="74">
        <f ca="1">$K$114-EFEITO!$M$114*EFEITO!$Z$114</f>
        <v>67.879868299433383</v>
      </c>
      <c r="O114" s="74">
        <f>$L$114-EFEITO!$O$114*EFEITO!$AA$114</f>
        <v>168.57352095070746</v>
      </c>
      <c r="P114" s="57"/>
      <c r="Q114" s="57"/>
      <c r="R114" s="57"/>
      <c r="S114" s="57"/>
      <c r="T114" s="57"/>
      <c r="U114" s="57"/>
      <c r="V114" s="57"/>
      <c r="W114" s="57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53" t="s">
        <v>21</v>
      </c>
      <c r="B115" s="53" t="s">
        <v>37</v>
      </c>
      <c r="C115" s="53" t="s">
        <v>38</v>
      </c>
      <c r="D115" s="53" t="s">
        <v>44</v>
      </c>
      <c r="E115" s="53" t="s">
        <v>52</v>
      </c>
      <c r="F115" s="53" t="s">
        <v>25</v>
      </c>
      <c r="G115" s="53" t="s">
        <v>25</v>
      </c>
      <c r="H115" s="53" t="s">
        <v>34</v>
      </c>
      <c r="I115" s="73">
        <v>44440</v>
      </c>
      <c r="J115" s="74">
        <f>EFEITO!$J$115*EFEITO!$Y$73</f>
        <v>0</v>
      </c>
      <c r="K115" s="74">
        <f ca="1">EFEITO!$L$115*EFEITO!$Z$73</f>
        <v>3122.7136587897007</v>
      </c>
      <c r="L115" s="74">
        <f>EFEITO!$N$115*EFEITO!$AA$73</f>
        <v>7754.977279286215</v>
      </c>
      <c r="M115" s="74">
        <f>$J$115-EFEITO!$K$115*EFEITO!$Y$115</f>
        <v>0</v>
      </c>
      <c r="N115" s="74">
        <f ca="1">$K$115-EFEITO!$M$115*EFEITO!$Z$115</f>
        <v>62.454273175794242</v>
      </c>
      <c r="O115" s="74">
        <f>$L$115-EFEITO!$O$115*EFEITO!$AA$115</f>
        <v>155.09954558572463</v>
      </c>
      <c r="P115" s="57"/>
      <c r="Q115" s="57"/>
      <c r="R115" s="57"/>
      <c r="S115" s="57"/>
      <c r="T115" s="57"/>
      <c r="U115" s="57"/>
      <c r="V115" s="57"/>
      <c r="W115" s="57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53" t="s">
        <v>21</v>
      </c>
      <c r="B116" s="53" t="s">
        <v>37</v>
      </c>
      <c r="C116" s="53" t="s">
        <v>38</v>
      </c>
      <c r="D116" s="53" t="s">
        <v>44</v>
      </c>
      <c r="E116" s="53" t="s">
        <v>52</v>
      </c>
      <c r="F116" s="53" t="s">
        <v>25</v>
      </c>
      <c r="G116" s="53" t="s">
        <v>25</v>
      </c>
      <c r="H116" s="53" t="s">
        <v>34</v>
      </c>
      <c r="I116" s="73">
        <v>44470</v>
      </c>
      <c r="J116" s="74">
        <f>EFEITO!$J$116*EFEITO!$Y$73</f>
        <v>0</v>
      </c>
      <c r="K116" s="74">
        <f ca="1">EFEITO!$L$116*EFEITO!$Z$73</f>
        <v>1647.7881311926376</v>
      </c>
      <c r="L116" s="74">
        <f>EFEITO!$N$116*EFEITO!$AA$73</f>
        <v>4092.1329698314707</v>
      </c>
      <c r="M116" s="74">
        <f>$J$116-EFEITO!$K$116*EFEITO!$Y$116</f>
        <v>0</v>
      </c>
      <c r="N116" s="74">
        <f ca="1">$K$116-EFEITO!$M$116*EFEITO!$Z$116</f>
        <v>32.955762623852934</v>
      </c>
      <c r="O116" s="74">
        <f>$L$116-EFEITO!$O$116*EFEITO!$AA$116</f>
        <v>81.842659396629642</v>
      </c>
      <c r="P116" s="57"/>
      <c r="Q116" s="57"/>
      <c r="R116" s="57"/>
      <c r="S116" s="57"/>
      <c r="T116" s="57"/>
      <c r="U116" s="57"/>
      <c r="V116" s="57"/>
      <c r="W116" s="57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53" t="s">
        <v>21</v>
      </c>
      <c r="B117" s="53" t="s">
        <v>37</v>
      </c>
      <c r="C117" s="53" t="s">
        <v>38</v>
      </c>
      <c r="D117" s="53" t="s">
        <v>44</v>
      </c>
      <c r="E117" s="53" t="s">
        <v>52</v>
      </c>
      <c r="F117" s="53" t="s">
        <v>25</v>
      </c>
      <c r="G117" s="53" t="s">
        <v>25</v>
      </c>
      <c r="H117" s="53" t="s">
        <v>34</v>
      </c>
      <c r="I117" s="73">
        <v>44501</v>
      </c>
      <c r="J117" s="74">
        <f>EFEITO!$J$117*EFEITO!$Y$73</f>
        <v>0</v>
      </c>
      <c r="K117" s="74">
        <f ca="1">EFEITO!$L$117*EFEITO!$Z$73</f>
        <v>1430.5778796792463</v>
      </c>
      <c r="L117" s="74">
        <f>EFEITO!$N$117*EFEITO!$AA$73</f>
        <v>3552.7109320237341</v>
      </c>
      <c r="M117" s="74">
        <f>$J$117-EFEITO!$K$117*EFEITO!$Y$117</f>
        <v>0</v>
      </c>
      <c r="N117" s="74">
        <f ca="1">$K$117-EFEITO!$M$117*EFEITO!$Z$117</f>
        <v>28.611557593585076</v>
      </c>
      <c r="O117" s="74">
        <f>$L$117-EFEITO!$O$117*EFEITO!$AA$117</f>
        <v>71.054218640474573</v>
      </c>
      <c r="P117" s="57"/>
      <c r="Q117" s="57"/>
      <c r="R117" s="57"/>
      <c r="S117" s="57"/>
      <c r="T117" s="57"/>
      <c r="U117" s="57"/>
      <c r="V117" s="57"/>
      <c r="W117" s="57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53" t="s">
        <v>21</v>
      </c>
      <c r="B118" s="53" t="s">
        <v>37</v>
      </c>
      <c r="C118" s="53" t="s">
        <v>38</v>
      </c>
      <c r="D118" s="53" t="s">
        <v>44</v>
      </c>
      <c r="E118" s="53" t="s">
        <v>52</v>
      </c>
      <c r="F118" s="53" t="s">
        <v>25</v>
      </c>
      <c r="G118" s="53" t="s">
        <v>25</v>
      </c>
      <c r="H118" s="53" t="s">
        <v>34</v>
      </c>
      <c r="I118" s="73">
        <v>44531</v>
      </c>
      <c r="J118" s="74">
        <f>EFEITO!$J$118*EFEITO!$Y$73</f>
        <v>0</v>
      </c>
      <c r="K118" s="74">
        <f ca="1">EFEITO!$L$118*EFEITO!$Z$73</f>
        <v>1028.3859976618078</v>
      </c>
      <c r="L118" s="74">
        <f>EFEITO!$N$118*EFEITO!$AA$73</f>
        <v>2553.9037252920571</v>
      </c>
      <c r="M118" s="74">
        <f>$J$118-EFEITO!$K$118*EFEITO!$Y$118</f>
        <v>0</v>
      </c>
      <c r="N118" s="74">
        <f ca="1">$K$118-EFEITO!$M$118*EFEITO!$Z$118</f>
        <v>20.567719953236178</v>
      </c>
      <c r="O118" s="74">
        <f>$L$118-EFEITO!$O$118*EFEITO!$AA$118</f>
        <v>51.078074505841414</v>
      </c>
      <c r="P118" s="57"/>
      <c r="Q118" s="57"/>
      <c r="R118" s="57"/>
      <c r="S118" s="57"/>
      <c r="T118" s="57"/>
      <c r="U118" s="57"/>
      <c r="V118" s="57"/>
      <c r="W118" s="57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53" t="s">
        <v>21</v>
      </c>
      <c r="B119" s="53" t="s">
        <v>37</v>
      </c>
      <c r="C119" s="53" t="s">
        <v>38</v>
      </c>
      <c r="D119" s="53" t="s">
        <v>44</v>
      </c>
      <c r="E119" s="53" t="s">
        <v>52</v>
      </c>
      <c r="F119" s="53" t="s">
        <v>25</v>
      </c>
      <c r="G119" s="53" t="s">
        <v>25</v>
      </c>
      <c r="H119" s="53" t="s">
        <v>34</v>
      </c>
      <c r="I119" s="73">
        <v>44562</v>
      </c>
      <c r="J119" s="74">
        <f>EFEITO!$J$119*EFEITO!$Y$73</f>
        <v>0</v>
      </c>
      <c r="K119" s="74">
        <f ca="1">EFEITO!$L$119*EFEITO!$Z$73</f>
        <v>1762.186418163823</v>
      </c>
      <c r="L119" s="74">
        <f>EFEITO!$N$119*EFEITO!$AA$73</f>
        <v>4376.230781282633</v>
      </c>
      <c r="M119" s="74">
        <f>$J$119-EFEITO!$K$119*EFEITO!$Y$119</f>
        <v>0</v>
      </c>
      <c r="N119" s="74">
        <f ca="1">$K$119-EFEITO!$M$119*EFEITO!$Z$119</f>
        <v>35.243728363276659</v>
      </c>
      <c r="O119" s="74">
        <f>$L$119-EFEITO!$O$119*EFEITO!$AA$119</f>
        <v>87.524615625652586</v>
      </c>
      <c r="P119" s="57"/>
      <c r="Q119" s="57"/>
      <c r="R119" s="57"/>
      <c r="S119" s="57"/>
      <c r="T119" s="57"/>
      <c r="U119" s="57"/>
      <c r="V119" s="57"/>
      <c r="W119" s="57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53" t="s">
        <v>21</v>
      </c>
      <c r="B120" s="53" t="s">
        <v>37</v>
      </c>
      <c r="C120" s="53" t="s">
        <v>38</v>
      </c>
      <c r="D120" s="53" t="s">
        <v>44</v>
      </c>
      <c r="E120" s="53" t="s">
        <v>52</v>
      </c>
      <c r="F120" s="53" t="s">
        <v>25</v>
      </c>
      <c r="G120" s="53" t="s">
        <v>25</v>
      </c>
      <c r="H120" s="53" t="s">
        <v>34</v>
      </c>
      <c r="I120" s="73">
        <v>44593</v>
      </c>
      <c r="J120" s="74">
        <f>EFEITO!$J$120*EFEITO!$Y$73</f>
        <v>0</v>
      </c>
      <c r="K120" s="74">
        <f ca="1">EFEITO!$L$120*EFEITO!$Z$73</f>
        <v>1097.3712277561897</v>
      </c>
      <c r="L120" s="74">
        <f>EFEITO!$N$120*EFEITO!$AA$73</f>
        <v>2725.2223124069606</v>
      </c>
      <c r="M120" s="74">
        <f>$J$120-EFEITO!$K$120*EFEITO!$Y$120</f>
        <v>0</v>
      </c>
      <c r="N120" s="74">
        <f ca="1">$K$120-EFEITO!$M$120*EFEITO!$Z$120</f>
        <v>21.947424555123916</v>
      </c>
      <c r="O120" s="74">
        <f>$L$120-EFEITO!$O$120*EFEITO!$AA$120</f>
        <v>54.504446248139629</v>
      </c>
      <c r="P120" s="57"/>
      <c r="Q120" s="57"/>
      <c r="R120" s="57"/>
      <c r="S120" s="57"/>
      <c r="T120" s="57"/>
      <c r="U120" s="57"/>
      <c r="V120" s="57"/>
      <c r="W120" s="57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53" t="s">
        <v>21</v>
      </c>
      <c r="B121" s="53" t="s">
        <v>37</v>
      </c>
      <c r="C121" s="53" t="s">
        <v>38</v>
      </c>
      <c r="D121" s="53" t="s">
        <v>44</v>
      </c>
      <c r="E121" s="53" t="s">
        <v>52</v>
      </c>
      <c r="F121" s="53" t="s">
        <v>25</v>
      </c>
      <c r="G121" s="53" t="s">
        <v>25</v>
      </c>
      <c r="H121" s="53" t="s">
        <v>34</v>
      </c>
      <c r="I121" s="73">
        <v>44621</v>
      </c>
      <c r="J121" s="74">
        <f>EFEITO!$J$121*EFEITO!$Y$73</f>
        <v>0</v>
      </c>
      <c r="K121" s="74">
        <f ca="1">EFEITO!$L$121*EFEITO!$Z$73</f>
        <v>5165.2358092868699</v>
      </c>
      <c r="L121" s="74">
        <f>EFEITO!$N$121*EFEITO!$AA$73</f>
        <v>12827.396527512616</v>
      </c>
      <c r="M121" s="74">
        <f>$J$121-EFEITO!$K$121*EFEITO!$Y$121</f>
        <v>0</v>
      </c>
      <c r="N121" s="74">
        <f ca="1">$K$121-EFEITO!$M$121*EFEITO!$Z$121</f>
        <v>103.30471618573756</v>
      </c>
      <c r="O121" s="74">
        <f>$L$121-EFEITO!$O$121*EFEITO!$AA$121</f>
        <v>256.54793055025402</v>
      </c>
      <c r="P121" s="57"/>
      <c r="Q121" s="57"/>
      <c r="R121" s="57"/>
      <c r="S121" s="57"/>
      <c r="T121" s="57"/>
      <c r="U121" s="57"/>
      <c r="V121" s="57"/>
      <c r="W121" s="57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53" t="s">
        <v>21</v>
      </c>
      <c r="B122" s="53" t="s">
        <v>37</v>
      </c>
      <c r="C122" s="53" t="s">
        <v>38</v>
      </c>
      <c r="D122" s="53" t="s">
        <v>44</v>
      </c>
      <c r="E122" s="53" t="s">
        <v>52</v>
      </c>
      <c r="F122" s="53" t="s">
        <v>25</v>
      </c>
      <c r="G122" s="53" t="s">
        <v>25</v>
      </c>
      <c r="H122" s="53" t="s">
        <v>25</v>
      </c>
      <c r="I122" s="73">
        <v>44287</v>
      </c>
      <c r="J122" s="74">
        <f ca="1">EFEITO!$J$122*EFEITO!$Y$85</f>
        <v>17585.891865673813</v>
      </c>
      <c r="K122" s="74">
        <f>EFEITO!$L$122*EFEITO!$Z$85</f>
        <v>0</v>
      </c>
      <c r="L122" s="74">
        <f>EFEITO!$N$122*EFEITO!$AA$85</f>
        <v>0</v>
      </c>
      <c r="M122" s="74">
        <f ca="1">$J$122-EFEITO!$K$122*EFEITO!$Y$122</f>
        <v>351.7178373134775</v>
      </c>
      <c r="N122" s="74">
        <f>$K$122-EFEITO!$M$122*EFEITO!$Z$122</f>
        <v>0</v>
      </c>
      <c r="O122" s="74">
        <f>$L$122-EFEITO!$O$122*EFEITO!$AA$122</f>
        <v>0</v>
      </c>
      <c r="P122" s="57"/>
      <c r="Q122" s="57"/>
      <c r="R122" s="57"/>
      <c r="S122" s="57"/>
      <c r="T122" s="57"/>
      <c r="U122" s="57"/>
      <c r="V122" s="57"/>
      <c r="W122" s="57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53" t="s">
        <v>21</v>
      </c>
      <c r="B123" s="53" t="s">
        <v>37</v>
      </c>
      <c r="C123" s="53" t="s">
        <v>38</v>
      </c>
      <c r="D123" s="53" t="s">
        <v>44</v>
      </c>
      <c r="E123" s="53" t="s">
        <v>52</v>
      </c>
      <c r="F123" s="53" t="s">
        <v>25</v>
      </c>
      <c r="G123" s="53" t="s">
        <v>25</v>
      </c>
      <c r="H123" s="53" t="s">
        <v>25</v>
      </c>
      <c r="I123" s="73">
        <v>44317</v>
      </c>
      <c r="J123" s="74">
        <f ca="1">EFEITO!$J$123*EFEITO!$Y$85</f>
        <v>18315.260652729408</v>
      </c>
      <c r="K123" s="74">
        <f>EFEITO!$L$123*EFEITO!$Z$85</f>
        <v>0</v>
      </c>
      <c r="L123" s="74">
        <f>EFEITO!$N$123*EFEITO!$AA$85</f>
        <v>0</v>
      </c>
      <c r="M123" s="74">
        <f ca="1">$J$123-EFEITO!$K$123*EFEITO!$Y$123</f>
        <v>366.30521305458751</v>
      </c>
      <c r="N123" s="74">
        <f>$K$123-EFEITO!$M$123*EFEITO!$Z$123</f>
        <v>0</v>
      </c>
      <c r="O123" s="74">
        <f>$L$123-EFEITO!$O$123*EFEITO!$AA$123</f>
        <v>0</v>
      </c>
      <c r="P123" s="57"/>
      <c r="Q123" s="57"/>
      <c r="R123" s="57"/>
      <c r="S123" s="57"/>
      <c r="T123" s="57"/>
      <c r="U123" s="57"/>
      <c r="V123" s="57"/>
      <c r="W123" s="57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53" t="s">
        <v>21</v>
      </c>
      <c r="B124" s="53" t="s">
        <v>37</v>
      </c>
      <c r="C124" s="53" t="s">
        <v>38</v>
      </c>
      <c r="D124" s="53" t="s">
        <v>44</v>
      </c>
      <c r="E124" s="53" t="s">
        <v>52</v>
      </c>
      <c r="F124" s="53" t="s">
        <v>25</v>
      </c>
      <c r="G124" s="53" t="s">
        <v>25</v>
      </c>
      <c r="H124" s="53" t="s">
        <v>25</v>
      </c>
      <c r="I124" s="73">
        <v>44348</v>
      </c>
      <c r="J124" s="74">
        <f ca="1">EFEITO!$J$124*EFEITO!$Y$85</f>
        <v>18153.17870005039</v>
      </c>
      <c r="K124" s="74">
        <f>EFEITO!$L$124*EFEITO!$Z$85</f>
        <v>0</v>
      </c>
      <c r="L124" s="74">
        <f>EFEITO!$N$124*EFEITO!$AA$85</f>
        <v>0</v>
      </c>
      <c r="M124" s="74">
        <f ca="1">$J$124-EFEITO!$K$124*EFEITO!$Y$124</f>
        <v>363.06357400101115</v>
      </c>
      <c r="N124" s="74">
        <f>$K$124-EFEITO!$M$124*EFEITO!$Z$124</f>
        <v>0</v>
      </c>
      <c r="O124" s="74">
        <f>$L$124-EFEITO!$O$124*EFEITO!$AA$124</f>
        <v>0</v>
      </c>
      <c r="P124" s="57"/>
      <c r="Q124" s="57"/>
      <c r="R124" s="57"/>
      <c r="S124" s="57"/>
      <c r="T124" s="57"/>
      <c r="U124" s="57"/>
      <c r="V124" s="57"/>
      <c r="W124" s="57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53" t="s">
        <v>21</v>
      </c>
      <c r="B125" s="53" t="s">
        <v>37</v>
      </c>
      <c r="C125" s="53" t="s">
        <v>38</v>
      </c>
      <c r="D125" s="53" t="s">
        <v>44</v>
      </c>
      <c r="E125" s="53" t="s">
        <v>52</v>
      </c>
      <c r="F125" s="53" t="s">
        <v>25</v>
      </c>
      <c r="G125" s="53" t="s">
        <v>25</v>
      </c>
      <c r="H125" s="53" t="s">
        <v>25</v>
      </c>
      <c r="I125" s="73">
        <v>44378</v>
      </c>
      <c r="J125" s="74">
        <f ca="1">EFEITO!$J$125*EFEITO!$Y$85</f>
        <v>18639.424558087452</v>
      </c>
      <c r="K125" s="74">
        <f>EFEITO!$L$125*EFEITO!$Z$85</f>
        <v>0</v>
      </c>
      <c r="L125" s="74">
        <f>EFEITO!$N$125*EFEITO!$AA$85</f>
        <v>0</v>
      </c>
      <c r="M125" s="74">
        <f ca="1">$J$125-EFEITO!$K$125*EFEITO!$Y$125</f>
        <v>372.78849116174752</v>
      </c>
      <c r="N125" s="74">
        <f>$K$125-EFEITO!$M$125*EFEITO!$Z$125</f>
        <v>0</v>
      </c>
      <c r="O125" s="74">
        <f>$L$125-EFEITO!$O$125*EFEITO!$AA$125</f>
        <v>0</v>
      </c>
      <c r="P125" s="57"/>
      <c r="Q125" s="57"/>
      <c r="R125" s="57"/>
      <c r="S125" s="57"/>
      <c r="T125" s="57"/>
      <c r="U125" s="57"/>
      <c r="V125" s="57"/>
      <c r="W125" s="57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53" t="s">
        <v>21</v>
      </c>
      <c r="B126" s="53" t="s">
        <v>37</v>
      </c>
      <c r="C126" s="53" t="s">
        <v>38</v>
      </c>
      <c r="D126" s="53" t="s">
        <v>44</v>
      </c>
      <c r="E126" s="53" t="s">
        <v>52</v>
      </c>
      <c r="F126" s="53" t="s">
        <v>25</v>
      </c>
      <c r="G126" s="53" t="s">
        <v>25</v>
      </c>
      <c r="H126" s="53" t="s">
        <v>25</v>
      </c>
      <c r="I126" s="73">
        <v>44409</v>
      </c>
      <c r="J126" s="74">
        <f ca="1">EFEITO!$J$126*EFEITO!$Y$85</f>
        <v>22043.145564346902</v>
      </c>
      <c r="K126" s="74">
        <f>EFEITO!$L$126*EFEITO!$Z$85</f>
        <v>0</v>
      </c>
      <c r="L126" s="74">
        <f>EFEITO!$N$126*EFEITO!$AA$85</f>
        <v>0</v>
      </c>
      <c r="M126" s="74">
        <f ca="1">$J$126-EFEITO!$K$126*EFEITO!$Y$126</f>
        <v>440.86291128693847</v>
      </c>
      <c r="N126" s="74">
        <f>$K$126-EFEITO!$M$126*EFEITO!$Z$126</f>
        <v>0</v>
      </c>
      <c r="O126" s="74">
        <f>$L$126-EFEITO!$O$126*EFEITO!$AA$126</f>
        <v>0</v>
      </c>
      <c r="P126" s="57"/>
      <c r="Q126" s="57"/>
      <c r="R126" s="57"/>
      <c r="S126" s="57"/>
      <c r="T126" s="57"/>
      <c r="U126" s="57"/>
      <c r="V126" s="57"/>
      <c r="W126" s="57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53" t="s">
        <v>21</v>
      </c>
      <c r="B127" s="53" t="s">
        <v>37</v>
      </c>
      <c r="C127" s="53" t="s">
        <v>38</v>
      </c>
      <c r="D127" s="53" t="s">
        <v>44</v>
      </c>
      <c r="E127" s="53" t="s">
        <v>52</v>
      </c>
      <c r="F127" s="53" t="s">
        <v>25</v>
      </c>
      <c r="G127" s="53" t="s">
        <v>25</v>
      </c>
      <c r="H127" s="53" t="s">
        <v>25</v>
      </c>
      <c r="I127" s="73">
        <v>44440</v>
      </c>
      <c r="J127" s="74">
        <f ca="1">EFEITO!$J$127*EFEITO!$Y$85</f>
        <v>22043.145564346902</v>
      </c>
      <c r="K127" s="74">
        <f>EFEITO!$L$127*EFEITO!$Z$85</f>
        <v>0</v>
      </c>
      <c r="L127" s="74">
        <f>EFEITO!$N$127*EFEITO!$AA$85</f>
        <v>0</v>
      </c>
      <c r="M127" s="74">
        <f ca="1">$J$127-EFEITO!$K$127*EFEITO!$Y$127</f>
        <v>440.86291128693847</v>
      </c>
      <c r="N127" s="74">
        <f>$K$127-EFEITO!$M$127*EFEITO!$Z$127</f>
        <v>0</v>
      </c>
      <c r="O127" s="74">
        <f>$L$127-EFEITO!$O$127*EFEITO!$AA$127</f>
        <v>0</v>
      </c>
      <c r="P127" s="57"/>
      <c r="Q127" s="57"/>
      <c r="R127" s="57"/>
      <c r="S127" s="57"/>
      <c r="T127" s="57"/>
      <c r="U127" s="57"/>
      <c r="V127" s="57"/>
      <c r="W127" s="57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53" t="s">
        <v>21</v>
      </c>
      <c r="B128" s="53" t="s">
        <v>37</v>
      </c>
      <c r="C128" s="53" t="s">
        <v>38</v>
      </c>
      <c r="D128" s="53" t="s">
        <v>44</v>
      </c>
      <c r="E128" s="53" t="s">
        <v>52</v>
      </c>
      <c r="F128" s="53" t="s">
        <v>25</v>
      </c>
      <c r="G128" s="53" t="s">
        <v>25</v>
      </c>
      <c r="H128" s="53" t="s">
        <v>25</v>
      </c>
      <c r="I128" s="73">
        <v>44470</v>
      </c>
      <c r="J128" s="74">
        <f ca="1">EFEITO!$J$128*EFEITO!$Y$85</f>
        <v>21800.022635328369</v>
      </c>
      <c r="K128" s="74">
        <f>EFEITO!$L$128*EFEITO!$Z$85</f>
        <v>0</v>
      </c>
      <c r="L128" s="74">
        <f>EFEITO!$N$128*EFEITO!$AA$85</f>
        <v>0</v>
      </c>
      <c r="M128" s="74">
        <f ca="1">$J$128-EFEITO!$K$128*EFEITO!$Y$128</f>
        <v>436.00045270656847</v>
      </c>
      <c r="N128" s="74">
        <f>$K$128-EFEITO!$M$128*EFEITO!$Z$128</f>
        <v>0</v>
      </c>
      <c r="O128" s="74">
        <f>$L$128-EFEITO!$O$128*EFEITO!$AA$128</f>
        <v>0</v>
      </c>
      <c r="P128" s="57"/>
      <c r="Q128" s="57"/>
      <c r="R128" s="57"/>
      <c r="S128" s="57"/>
      <c r="T128" s="57"/>
      <c r="U128" s="57"/>
      <c r="V128" s="57"/>
      <c r="W128" s="57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53" t="s">
        <v>21</v>
      </c>
      <c r="B129" s="53" t="s">
        <v>37</v>
      </c>
      <c r="C129" s="53" t="s">
        <v>38</v>
      </c>
      <c r="D129" s="53" t="s">
        <v>44</v>
      </c>
      <c r="E129" s="53" t="s">
        <v>52</v>
      </c>
      <c r="F129" s="53" t="s">
        <v>25</v>
      </c>
      <c r="G129" s="53" t="s">
        <v>25</v>
      </c>
      <c r="H129" s="53" t="s">
        <v>25</v>
      </c>
      <c r="I129" s="73">
        <v>44501</v>
      </c>
      <c r="J129" s="74">
        <f ca="1">EFEITO!$J$129*EFEITO!$Y$85</f>
        <v>22124.186540686413</v>
      </c>
      <c r="K129" s="74">
        <f>EFEITO!$L$129*EFEITO!$Z$85</f>
        <v>0</v>
      </c>
      <c r="L129" s="74">
        <f>EFEITO!$N$129*EFEITO!$AA$85</f>
        <v>0</v>
      </c>
      <c r="M129" s="74">
        <f ca="1">$J$129-EFEITO!$K$129*EFEITO!$Y$129</f>
        <v>442.48373081372847</v>
      </c>
      <c r="N129" s="74">
        <f>$K$129-EFEITO!$M$129*EFEITO!$Z$129</f>
        <v>0</v>
      </c>
      <c r="O129" s="74">
        <f>$L$129-EFEITO!$O$129*EFEITO!$AA$129</f>
        <v>0</v>
      </c>
      <c r="P129" s="57"/>
      <c r="Q129" s="57"/>
      <c r="R129" s="57"/>
      <c r="S129" s="57"/>
      <c r="T129" s="57"/>
      <c r="U129" s="57"/>
      <c r="V129" s="57"/>
      <c r="W129" s="57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53" t="s">
        <v>21</v>
      </c>
      <c r="B130" s="53" t="s">
        <v>37</v>
      </c>
      <c r="C130" s="53" t="s">
        <v>38</v>
      </c>
      <c r="D130" s="53" t="s">
        <v>44</v>
      </c>
      <c r="E130" s="53" t="s">
        <v>52</v>
      </c>
      <c r="F130" s="53" t="s">
        <v>25</v>
      </c>
      <c r="G130" s="53" t="s">
        <v>25</v>
      </c>
      <c r="H130" s="53" t="s">
        <v>25</v>
      </c>
      <c r="I130" s="73">
        <v>44531</v>
      </c>
      <c r="J130" s="74">
        <f ca="1">EFEITO!$J$130*EFEITO!$Y$85</f>
        <v>21800.022635328369</v>
      </c>
      <c r="K130" s="74">
        <f>EFEITO!$L$130*EFEITO!$Z$85</f>
        <v>0</v>
      </c>
      <c r="L130" s="74">
        <f>EFEITO!$N$130*EFEITO!$AA$85</f>
        <v>0</v>
      </c>
      <c r="M130" s="74">
        <f ca="1">$J$130-EFEITO!$K$130*EFEITO!$Y$130</f>
        <v>436.00045270656847</v>
      </c>
      <c r="N130" s="74">
        <f>$K$130-EFEITO!$M$130*EFEITO!$Z$130</f>
        <v>0</v>
      </c>
      <c r="O130" s="74">
        <f>$L$130-EFEITO!$O$130*EFEITO!$AA$130</f>
        <v>0</v>
      </c>
      <c r="P130" s="57"/>
      <c r="Q130" s="57"/>
      <c r="R130" s="57"/>
      <c r="S130" s="57"/>
      <c r="T130" s="57"/>
      <c r="U130" s="57"/>
      <c r="V130" s="57"/>
      <c r="W130" s="57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53" t="s">
        <v>21</v>
      </c>
      <c r="B131" s="53" t="s">
        <v>37</v>
      </c>
      <c r="C131" s="53" t="s">
        <v>38</v>
      </c>
      <c r="D131" s="53" t="s">
        <v>44</v>
      </c>
      <c r="E131" s="53" t="s">
        <v>52</v>
      </c>
      <c r="F131" s="53" t="s">
        <v>25</v>
      </c>
      <c r="G131" s="53" t="s">
        <v>25</v>
      </c>
      <c r="H131" s="53" t="s">
        <v>25</v>
      </c>
      <c r="I131" s="73">
        <v>44562</v>
      </c>
      <c r="J131" s="74">
        <f ca="1">EFEITO!$J$131*EFEITO!$Y$85</f>
        <v>21800.022635328369</v>
      </c>
      <c r="K131" s="74">
        <f>EFEITO!$L$131*EFEITO!$Z$85</f>
        <v>0</v>
      </c>
      <c r="L131" s="74">
        <f>EFEITO!$N$131*EFEITO!$AA$85</f>
        <v>0</v>
      </c>
      <c r="M131" s="74">
        <f ca="1">$J$131-EFEITO!$K$131*EFEITO!$Y$131</f>
        <v>436.00045270656847</v>
      </c>
      <c r="N131" s="74">
        <f>$K$131-EFEITO!$M$131*EFEITO!$Z$131</f>
        <v>0</v>
      </c>
      <c r="O131" s="74">
        <f>$L$131-EFEITO!$O$131*EFEITO!$AA$131</f>
        <v>0</v>
      </c>
      <c r="P131" s="57"/>
      <c r="Q131" s="57"/>
      <c r="R131" s="57"/>
      <c r="S131" s="57"/>
      <c r="T131" s="57"/>
      <c r="U131" s="57"/>
      <c r="V131" s="57"/>
      <c r="W131" s="57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53" t="s">
        <v>21</v>
      </c>
      <c r="B132" s="53" t="s">
        <v>37</v>
      </c>
      <c r="C132" s="53" t="s">
        <v>38</v>
      </c>
      <c r="D132" s="53" t="s">
        <v>44</v>
      </c>
      <c r="E132" s="53" t="s">
        <v>52</v>
      </c>
      <c r="F132" s="53" t="s">
        <v>25</v>
      </c>
      <c r="G132" s="53" t="s">
        <v>25</v>
      </c>
      <c r="H132" s="53" t="s">
        <v>25</v>
      </c>
      <c r="I132" s="73">
        <v>44593</v>
      </c>
      <c r="J132" s="74">
        <f ca="1">EFEITO!$J$132*EFEITO!$Y$85</f>
        <v>21800.022635328369</v>
      </c>
      <c r="K132" s="74">
        <f>EFEITO!$L$132*EFEITO!$Z$85</f>
        <v>0</v>
      </c>
      <c r="L132" s="74">
        <f>EFEITO!$N$132*EFEITO!$AA$85</f>
        <v>0</v>
      </c>
      <c r="M132" s="74">
        <f ca="1">$J$132-EFEITO!$K$132*EFEITO!$Y$132</f>
        <v>436.00045270656847</v>
      </c>
      <c r="N132" s="74">
        <f>$K$132-EFEITO!$M$132*EFEITO!$Z$132</f>
        <v>0</v>
      </c>
      <c r="O132" s="74">
        <f>$L$132-EFEITO!$O$132*EFEITO!$AA$132</f>
        <v>0</v>
      </c>
      <c r="P132" s="57"/>
      <c r="Q132" s="57"/>
      <c r="R132" s="57"/>
      <c r="S132" s="57"/>
      <c r="T132" s="57"/>
      <c r="U132" s="57"/>
      <c r="V132" s="57"/>
      <c r="W132" s="57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53" t="s">
        <v>21</v>
      </c>
      <c r="B133" s="53" t="s">
        <v>37</v>
      </c>
      <c r="C133" s="53" t="s">
        <v>38</v>
      </c>
      <c r="D133" s="53" t="s">
        <v>44</v>
      </c>
      <c r="E133" s="53" t="s">
        <v>52</v>
      </c>
      <c r="F133" s="53" t="s">
        <v>25</v>
      </c>
      <c r="G133" s="53" t="s">
        <v>25</v>
      </c>
      <c r="H133" s="53" t="s">
        <v>25</v>
      </c>
      <c r="I133" s="73">
        <v>44621</v>
      </c>
      <c r="J133" s="74">
        <f ca="1">EFEITO!$J$133*EFEITO!$Y$85</f>
        <v>22205.227517025924</v>
      </c>
      <c r="K133" s="74">
        <f>EFEITO!$L$133*EFEITO!$Z$85</f>
        <v>0</v>
      </c>
      <c r="L133" s="74">
        <f>EFEITO!$N$133*EFEITO!$AA$85</f>
        <v>0</v>
      </c>
      <c r="M133" s="74">
        <f ca="1">$J$133-EFEITO!$K$133*EFEITO!$Y$133</f>
        <v>444.10455034052211</v>
      </c>
      <c r="N133" s="74">
        <f>$K$133-EFEITO!$M$133*EFEITO!$Z$133</f>
        <v>0</v>
      </c>
      <c r="O133" s="74">
        <f>$L$133-EFEITO!$O$133*EFEITO!$AA$133</f>
        <v>0</v>
      </c>
      <c r="P133" s="57"/>
      <c r="Q133" s="57"/>
      <c r="R133" s="57"/>
      <c r="S133" s="57"/>
      <c r="T133" s="57"/>
      <c r="U133" s="57"/>
      <c r="V133" s="57"/>
      <c r="W133" s="57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53" t="s">
        <v>21</v>
      </c>
      <c r="B134" s="53" t="s">
        <v>37</v>
      </c>
      <c r="C134" s="53" t="s">
        <v>38</v>
      </c>
      <c r="D134" s="53" t="s">
        <v>44</v>
      </c>
      <c r="E134" s="53" t="s">
        <v>52</v>
      </c>
      <c r="F134" s="53" t="s">
        <v>25</v>
      </c>
      <c r="G134" s="53" t="s">
        <v>25</v>
      </c>
      <c r="H134" s="53" t="s">
        <v>39</v>
      </c>
      <c r="I134" s="73">
        <v>44287</v>
      </c>
      <c r="J134" s="74">
        <f>EFEITO!$J$134*EFEITO!$Y$97</f>
        <v>0</v>
      </c>
      <c r="K134" s="74">
        <f ca="1">EFEITO!$L$134*EFEITO!$Z$97</f>
        <v>1726.2297944433753</v>
      </c>
      <c r="L134" s="74">
        <f>EFEITO!$N$134*EFEITO!$AA$97</f>
        <v>113.10995519941511</v>
      </c>
      <c r="M134" s="74">
        <f>$J$134-EFEITO!$K$134*EFEITO!$Y$134</f>
        <v>0</v>
      </c>
      <c r="N134" s="74">
        <f ca="1">$K$134-EFEITO!$M$134*EFEITO!$Z$134</f>
        <v>34.524595888867452</v>
      </c>
      <c r="O134" s="74">
        <f>$L$134-EFEITO!$O$134*EFEITO!$AA$134</f>
        <v>2.2621991039883085</v>
      </c>
      <c r="P134" s="57"/>
      <c r="Q134" s="57"/>
      <c r="R134" s="57"/>
      <c r="S134" s="57"/>
      <c r="T134" s="57"/>
      <c r="U134" s="57"/>
      <c r="V134" s="57"/>
      <c r="W134" s="57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53" t="s">
        <v>21</v>
      </c>
      <c r="B135" s="53" t="s">
        <v>37</v>
      </c>
      <c r="C135" s="53" t="s">
        <v>38</v>
      </c>
      <c r="D135" s="53" t="s">
        <v>44</v>
      </c>
      <c r="E135" s="53" t="s">
        <v>52</v>
      </c>
      <c r="F135" s="53" t="s">
        <v>25</v>
      </c>
      <c r="G135" s="53" t="s">
        <v>25</v>
      </c>
      <c r="H135" s="53" t="s">
        <v>39</v>
      </c>
      <c r="I135" s="73">
        <v>44317</v>
      </c>
      <c r="J135" s="74">
        <f>EFEITO!$J$135*EFEITO!$Y$97</f>
        <v>0</v>
      </c>
      <c r="K135" s="74">
        <f ca="1">EFEITO!$L$135*EFEITO!$Z$97</f>
        <v>1665.6603279716778</v>
      </c>
      <c r="L135" s="74">
        <f>EFEITO!$N$135*EFEITO!$AA$97</f>
        <v>109.14118484154089</v>
      </c>
      <c r="M135" s="74">
        <f>$J$135-EFEITO!$K$135*EFEITO!$Y$135</f>
        <v>0</v>
      </c>
      <c r="N135" s="74">
        <f ca="1">$K$135-EFEITO!$M$135*EFEITO!$Z$135</f>
        <v>33.313206559433411</v>
      </c>
      <c r="O135" s="74">
        <f>$L$135-EFEITO!$O$135*EFEITO!$AA$135</f>
        <v>2.1828236968308232</v>
      </c>
      <c r="P135" s="57"/>
      <c r="Q135" s="57"/>
      <c r="R135" s="57"/>
      <c r="S135" s="57"/>
      <c r="T135" s="57"/>
      <c r="U135" s="57"/>
      <c r="V135" s="57"/>
      <c r="W135" s="57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53" t="s">
        <v>21</v>
      </c>
      <c r="B136" s="53" t="s">
        <v>37</v>
      </c>
      <c r="C136" s="53" t="s">
        <v>38</v>
      </c>
      <c r="D136" s="53" t="s">
        <v>44</v>
      </c>
      <c r="E136" s="53" t="s">
        <v>52</v>
      </c>
      <c r="F136" s="53" t="s">
        <v>25</v>
      </c>
      <c r="G136" s="53" t="s">
        <v>25</v>
      </c>
      <c r="H136" s="53" t="s">
        <v>39</v>
      </c>
      <c r="I136" s="73">
        <v>44348</v>
      </c>
      <c r="J136" s="74">
        <f>EFEITO!$J$136*EFEITO!$Y$97</f>
        <v>0</v>
      </c>
      <c r="K136" s="74">
        <f ca="1">EFEITO!$L$136*EFEITO!$Z$97</f>
        <v>1892.7958272405431</v>
      </c>
      <c r="L136" s="74">
        <f>EFEITO!$N$136*EFEITO!$AA$97</f>
        <v>124.02407368356918</v>
      </c>
      <c r="M136" s="74">
        <f>$J$136-EFEITO!$K$136*EFEITO!$Y$136</f>
        <v>0</v>
      </c>
      <c r="N136" s="74">
        <f ca="1">$K$136-EFEITO!$M$136*EFEITO!$Z$136</f>
        <v>37.855916544810952</v>
      </c>
      <c r="O136" s="74">
        <f>$L$136-EFEITO!$O$136*EFEITO!$AA$136</f>
        <v>2.4804814736713752</v>
      </c>
      <c r="P136" s="57"/>
      <c r="Q136" s="57"/>
      <c r="R136" s="57"/>
      <c r="S136" s="57"/>
      <c r="T136" s="57"/>
      <c r="U136" s="57"/>
      <c r="V136" s="57"/>
      <c r="W136" s="57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53" t="s">
        <v>21</v>
      </c>
      <c r="B137" s="53" t="s">
        <v>37</v>
      </c>
      <c r="C137" s="53" t="s">
        <v>38</v>
      </c>
      <c r="D137" s="53" t="s">
        <v>44</v>
      </c>
      <c r="E137" s="53" t="s">
        <v>52</v>
      </c>
      <c r="F137" s="53" t="s">
        <v>25</v>
      </c>
      <c r="G137" s="53" t="s">
        <v>25</v>
      </c>
      <c r="H137" s="53" t="s">
        <v>39</v>
      </c>
      <c r="I137" s="73">
        <v>44378</v>
      </c>
      <c r="J137" s="74">
        <f>EFEITO!$J$137*EFEITO!$Y$97</f>
        <v>0</v>
      </c>
      <c r="K137" s="74">
        <f ca="1">EFEITO!$L$137*EFEITO!$Z$97</f>
        <v>2140.1211486666407</v>
      </c>
      <c r="L137" s="74">
        <f>EFEITO!$N$137*EFEITO!$AA$97</f>
        <v>140.22988597822223</v>
      </c>
      <c r="M137" s="74">
        <f>$J$137-EFEITO!$K$137*EFEITO!$Y$137</f>
        <v>0</v>
      </c>
      <c r="N137" s="74">
        <f ca="1">$K$137-EFEITO!$M$137*EFEITO!$Z$137</f>
        <v>42.802422973332796</v>
      </c>
      <c r="O137" s="74">
        <f>$L$137-EFEITO!$O$137*EFEITO!$AA$137</f>
        <v>2.8045977195644411</v>
      </c>
      <c r="P137" s="57"/>
      <c r="Q137" s="57"/>
      <c r="R137" s="57"/>
      <c r="S137" s="57"/>
      <c r="T137" s="57"/>
      <c r="U137" s="57"/>
      <c r="V137" s="57"/>
      <c r="W137" s="57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53" t="s">
        <v>21</v>
      </c>
      <c r="B138" s="53" t="s">
        <v>37</v>
      </c>
      <c r="C138" s="53" t="s">
        <v>38</v>
      </c>
      <c r="D138" s="53" t="s">
        <v>44</v>
      </c>
      <c r="E138" s="53" t="s">
        <v>52</v>
      </c>
      <c r="F138" s="53" t="s">
        <v>25</v>
      </c>
      <c r="G138" s="53" t="s">
        <v>25</v>
      </c>
      <c r="H138" s="53" t="s">
        <v>39</v>
      </c>
      <c r="I138" s="73">
        <v>44409</v>
      </c>
      <c r="J138" s="74">
        <f>EFEITO!$J$138*EFEITO!$Y$97</f>
        <v>0</v>
      </c>
      <c r="K138" s="74">
        <f ca="1">EFEITO!$L$138*EFEITO!$Z$97</f>
        <v>2306.6871814638084</v>
      </c>
      <c r="L138" s="74">
        <f>EFEITO!$N$138*EFEITO!$AA$97</f>
        <v>151.14400446237633</v>
      </c>
      <c r="M138" s="74">
        <f>$J$138-EFEITO!$K$138*EFEITO!$Y$138</f>
        <v>0</v>
      </c>
      <c r="N138" s="74">
        <f ca="1">$K$138-EFEITO!$M$138*EFEITO!$Z$138</f>
        <v>46.133743629276069</v>
      </c>
      <c r="O138" s="74">
        <f>$L$138-EFEITO!$O$138*EFEITO!$AA$138</f>
        <v>3.0228800892475363</v>
      </c>
      <c r="P138" s="57"/>
      <c r="Q138" s="57"/>
      <c r="R138" s="57"/>
      <c r="S138" s="57"/>
      <c r="T138" s="57"/>
      <c r="U138" s="57"/>
      <c r="V138" s="57"/>
      <c r="W138" s="57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53" t="s">
        <v>21</v>
      </c>
      <c r="B139" s="53" t="s">
        <v>37</v>
      </c>
      <c r="C139" s="53" t="s">
        <v>38</v>
      </c>
      <c r="D139" s="53" t="s">
        <v>44</v>
      </c>
      <c r="E139" s="53" t="s">
        <v>52</v>
      </c>
      <c r="F139" s="53" t="s">
        <v>25</v>
      </c>
      <c r="G139" s="53" t="s">
        <v>25</v>
      </c>
      <c r="H139" s="53" t="s">
        <v>39</v>
      </c>
      <c r="I139" s="73">
        <v>44440</v>
      </c>
      <c r="J139" s="74">
        <f>EFEITO!$J$139*EFEITO!$Y$97</f>
        <v>0</v>
      </c>
      <c r="K139" s="74">
        <f ca="1">EFEITO!$L$139*EFEITO!$Z$97</f>
        <v>2003.8398491053215</v>
      </c>
      <c r="L139" s="74">
        <f>EFEITO!$N$139*EFEITO!$AA$97</f>
        <v>131.30015267300527</v>
      </c>
      <c r="M139" s="74">
        <f>$J$139-EFEITO!$K$139*EFEITO!$Y$139</f>
        <v>0</v>
      </c>
      <c r="N139" s="74">
        <f ca="1">$K$139-EFEITO!$M$139*EFEITO!$Z$139</f>
        <v>40.076796982106316</v>
      </c>
      <c r="O139" s="74">
        <f>$L$139-EFEITO!$O$139*EFEITO!$AA$139</f>
        <v>2.6260030534601242</v>
      </c>
      <c r="P139" s="57"/>
      <c r="Q139" s="57"/>
      <c r="R139" s="57"/>
      <c r="S139" s="57"/>
      <c r="T139" s="57"/>
      <c r="U139" s="57"/>
      <c r="V139" s="57"/>
      <c r="W139" s="57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53" t="s">
        <v>21</v>
      </c>
      <c r="B140" s="53" t="s">
        <v>37</v>
      </c>
      <c r="C140" s="53" t="s">
        <v>38</v>
      </c>
      <c r="D140" s="53" t="s">
        <v>44</v>
      </c>
      <c r="E140" s="53" t="s">
        <v>52</v>
      </c>
      <c r="F140" s="53" t="s">
        <v>25</v>
      </c>
      <c r="G140" s="53" t="s">
        <v>25</v>
      </c>
      <c r="H140" s="53" t="s">
        <v>39</v>
      </c>
      <c r="I140" s="73">
        <v>44470</v>
      </c>
      <c r="J140" s="74">
        <f>EFEITO!$J$140*EFEITO!$Y$97</f>
        <v>0</v>
      </c>
      <c r="K140" s="74">
        <f ca="1">EFEITO!$L$140*EFEITO!$Z$97</f>
        <v>1771.656894297148</v>
      </c>
      <c r="L140" s="74">
        <f>EFEITO!$N$140*EFEITO!$AA$97</f>
        <v>116.08653296782076</v>
      </c>
      <c r="M140" s="74">
        <f>$J$140-EFEITO!$K$140*EFEITO!$Y$140</f>
        <v>0</v>
      </c>
      <c r="N140" s="74">
        <f ca="1">$K$140-EFEITO!$M$140*EFEITO!$Z$140</f>
        <v>35.43313788594287</v>
      </c>
      <c r="O140" s="74">
        <f>$L$140-EFEITO!$O$140*EFEITO!$AA$140</f>
        <v>2.3217306593564189</v>
      </c>
      <c r="P140" s="57"/>
      <c r="Q140" s="57"/>
      <c r="R140" s="57"/>
      <c r="S140" s="57"/>
      <c r="T140" s="57"/>
      <c r="U140" s="57"/>
      <c r="V140" s="57"/>
      <c r="W140" s="57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53" t="s">
        <v>21</v>
      </c>
      <c r="B141" s="53" t="s">
        <v>37</v>
      </c>
      <c r="C141" s="53" t="s">
        <v>38</v>
      </c>
      <c r="D141" s="53" t="s">
        <v>44</v>
      </c>
      <c r="E141" s="53" t="s">
        <v>52</v>
      </c>
      <c r="F141" s="53" t="s">
        <v>25</v>
      </c>
      <c r="G141" s="53" t="s">
        <v>25</v>
      </c>
      <c r="H141" s="53" t="s">
        <v>39</v>
      </c>
      <c r="I141" s="73">
        <v>44501</v>
      </c>
      <c r="J141" s="74">
        <f>EFEITO!$J$141*EFEITO!$Y$97</f>
        <v>0</v>
      </c>
      <c r="K141" s="74">
        <f ca="1">EFEITO!$L$141*EFEITO!$Z$97</f>
        <v>2003.8398491053215</v>
      </c>
      <c r="L141" s="74">
        <f>EFEITO!$N$141*EFEITO!$AA$97</f>
        <v>131.30015267300527</v>
      </c>
      <c r="M141" s="74">
        <f>$J$141-EFEITO!$K$141*EFEITO!$Y$141</f>
        <v>0</v>
      </c>
      <c r="N141" s="74">
        <f ca="1">$K$141-EFEITO!$M$141*EFEITO!$Z$141</f>
        <v>40.076796982106316</v>
      </c>
      <c r="O141" s="74">
        <f>$L$141-EFEITO!$O$141*EFEITO!$AA$141</f>
        <v>2.6260030534601242</v>
      </c>
      <c r="P141" s="57"/>
      <c r="Q141" s="57"/>
      <c r="R141" s="57"/>
      <c r="S141" s="57"/>
      <c r="T141" s="57"/>
      <c r="U141" s="57"/>
      <c r="V141" s="57"/>
      <c r="W141" s="57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53" t="s">
        <v>21</v>
      </c>
      <c r="B142" s="53" t="s">
        <v>37</v>
      </c>
      <c r="C142" s="53" t="s">
        <v>38</v>
      </c>
      <c r="D142" s="53" t="s">
        <v>44</v>
      </c>
      <c r="E142" s="53" t="s">
        <v>52</v>
      </c>
      <c r="F142" s="53" t="s">
        <v>25</v>
      </c>
      <c r="G142" s="53" t="s">
        <v>25</v>
      </c>
      <c r="H142" s="53" t="s">
        <v>39</v>
      </c>
      <c r="I142" s="73">
        <v>44531</v>
      </c>
      <c r="J142" s="74">
        <f>EFEITO!$J$142*EFEITO!$Y$97</f>
        <v>0</v>
      </c>
      <c r="K142" s="74">
        <f ca="1">EFEITO!$L$142*EFEITO!$Z$97</f>
        <v>1993.7449380267053</v>
      </c>
      <c r="L142" s="74">
        <f>EFEITO!$N$142*EFEITO!$AA$97</f>
        <v>130.63869094669289</v>
      </c>
      <c r="M142" s="74">
        <f>$J$142-EFEITO!$K$142*EFEITO!$Y$142</f>
        <v>0</v>
      </c>
      <c r="N142" s="74">
        <f ca="1">$K$142-EFEITO!$M$142*EFEITO!$Z$142</f>
        <v>39.874898760534052</v>
      </c>
      <c r="O142" s="74">
        <f>$L$142-EFEITO!$O$142*EFEITO!$AA$142</f>
        <v>2.6127738189338743</v>
      </c>
      <c r="P142" s="57"/>
      <c r="Q142" s="57"/>
      <c r="R142" s="57"/>
      <c r="S142" s="57"/>
      <c r="T142" s="57"/>
      <c r="U142" s="57"/>
      <c r="V142" s="57"/>
      <c r="W142" s="57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53" t="s">
        <v>21</v>
      </c>
      <c r="B143" s="53" t="s">
        <v>37</v>
      </c>
      <c r="C143" s="53" t="s">
        <v>38</v>
      </c>
      <c r="D143" s="53" t="s">
        <v>44</v>
      </c>
      <c r="E143" s="53" t="s">
        <v>52</v>
      </c>
      <c r="F143" s="53" t="s">
        <v>25</v>
      </c>
      <c r="G143" s="53" t="s">
        <v>25</v>
      </c>
      <c r="H143" s="53" t="s">
        <v>39</v>
      </c>
      <c r="I143" s="73">
        <v>44562</v>
      </c>
      <c r="J143" s="74">
        <f>EFEITO!$J$143*EFEITO!$Y$97</f>
        <v>0</v>
      </c>
      <c r="K143" s="74">
        <f ca="1">EFEITO!$L$143*EFEITO!$Z$97</f>
        <v>2034.1245823411703</v>
      </c>
      <c r="L143" s="74">
        <f>EFEITO!$N$143*EFEITO!$AA$97</f>
        <v>133.28453785194236</v>
      </c>
      <c r="M143" s="74">
        <f>$J$143-EFEITO!$K$143*EFEITO!$Y$143</f>
        <v>0</v>
      </c>
      <c r="N143" s="74">
        <f ca="1">$K$143-EFEITO!$M$143*EFEITO!$Z$143</f>
        <v>40.682491646823337</v>
      </c>
      <c r="O143" s="74">
        <f>$L$143-EFEITO!$O$143*EFEITO!$AA$143</f>
        <v>2.6656907570388455</v>
      </c>
      <c r="P143" s="57"/>
      <c r="Q143" s="57"/>
      <c r="R143" s="57"/>
      <c r="S143" s="57"/>
      <c r="T143" s="57"/>
      <c r="U143" s="57"/>
      <c r="V143" s="57"/>
      <c r="W143" s="57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53" t="s">
        <v>21</v>
      </c>
      <c r="B144" s="53" t="s">
        <v>37</v>
      </c>
      <c r="C144" s="53" t="s">
        <v>38</v>
      </c>
      <c r="D144" s="53" t="s">
        <v>44</v>
      </c>
      <c r="E144" s="53" t="s">
        <v>52</v>
      </c>
      <c r="F144" s="53" t="s">
        <v>25</v>
      </c>
      <c r="G144" s="53" t="s">
        <v>25</v>
      </c>
      <c r="H144" s="53" t="s">
        <v>39</v>
      </c>
      <c r="I144" s="73">
        <v>44593</v>
      </c>
      <c r="J144" s="74">
        <f>EFEITO!$J$144*EFEITO!$Y$97</f>
        <v>0</v>
      </c>
      <c r="K144" s="74">
        <f ca="1">EFEITO!$L$144*EFEITO!$Z$97</f>
        <v>3316.1782893254313</v>
      </c>
      <c r="L144" s="74">
        <f>EFEITO!$N$144*EFEITO!$AA$97</f>
        <v>217.29017709361324</v>
      </c>
      <c r="M144" s="74">
        <f>$J$144-EFEITO!$K$144*EFEITO!$Y$144</f>
        <v>0</v>
      </c>
      <c r="N144" s="74">
        <f ca="1">$K$144-EFEITO!$M$144*EFEITO!$Z$144</f>
        <v>66.323565786508425</v>
      </c>
      <c r="O144" s="74">
        <f>$L$144-EFEITO!$O$144*EFEITO!$AA$144</f>
        <v>4.3458035418722716</v>
      </c>
      <c r="P144" s="57"/>
      <c r="Q144" s="57"/>
      <c r="R144" s="57"/>
      <c r="S144" s="57"/>
      <c r="T144" s="57"/>
      <c r="U144" s="57"/>
      <c r="V144" s="57"/>
      <c r="W144" s="57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53" t="s">
        <v>21</v>
      </c>
      <c r="B145" s="53" t="s">
        <v>37</v>
      </c>
      <c r="C145" s="53" t="s">
        <v>38</v>
      </c>
      <c r="D145" s="53" t="s">
        <v>44</v>
      </c>
      <c r="E145" s="53" t="s">
        <v>52</v>
      </c>
      <c r="F145" s="53" t="s">
        <v>25</v>
      </c>
      <c r="G145" s="53" t="s">
        <v>25</v>
      </c>
      <c r="H145" s="53" t="s">
        <v>39</v>
      </c>
      <c r="I145" s="73">
        <v>44621</v>
      </c>
      <c r="J145" s="74">
        <f>EFEITO!$J$145*EFEITO!$Y$97</f>
        <v>0</v>
      </c>
      <c r="K145" s="74">
        <f ca="1">EFEITO!$L$145*EFEITO!$Z$97</f>
        <v>2336.9719146996572</v>
      </c>
      <c r="L145" s="74">
        <f>EFEITO!$N$145*EFEITO!$AA$97</f>
        <v>153.12838964131345</v>
      </c>
      <c r="M145" s="74">
        <f>$J$145-EFEITO!$K$145*EFEITO!$Y$145</f>
        <v>0</v>
      </c>
      <c r="N145" s="74">
        <f ca="1">$K$145-EFEITO!$M$145*EFEITO!$Z$145</f>
        <v>46.739438293993317</v>
      </c>
      <c r="O145" s="74">
        <f>$L$145-EFEITO!$O$145*EFEITO!$AA$145</f>
        <v>3.062567792826286</v>
      </c>
      <c r="P145" s="57"/>
      <c r="Q145" s="57"/>
      <c r="R145" s="57"/>
      <c r="S145" s="57"/>
      <c r="T145" s="57"/>
      <c r="U145" s="57"/>
      <c r="V145" s="57"/>
      <c r="W145" s="57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53" t="s">
        <v>21</v>
      </c>
      <c r="B146" s="53" t="s">
        <v>37</v>
      </c>
      <c r="C146" s="53" t="s">
        <v>38</v>
      </c>
      <c r="D146" s="53" t="s">
        <v>49</v>
      </c>
      <c r="E146" s="53" t="s">
        <v>50</v>
      </c>
      <c r="F146" s="53" t="s">
        <v>25</v>
      </c>
      <c r="G146" s="53" t="s">
        <v>25</v>
      </c>
      <c r="H146" s="53" t="s">
        <v>34</v>
      </c>
      <c r="I146" s="73">
        <v>44287</v>
      </c>
      <c r="J146" s="74">
        <f>EFEITO!$J$146*EFEITO!$Y$73</f>
        <v>0</v>
      </c>
      <c r="K146" s="74">
        <f ca="1">EFEITO!$L$146*EFEITO!$Z$73</f>
        <v>1883.2435111286745</v>
      </c>
      <c r="L146" s="74">
        <f>EFEITO!$N$146*EFEITO!$AA$73</f>
        <v>4676.865135891605</v>
      </c>
      <c r="M146" s="74">
        <f>$J$146-EFEITO!$K$146*EFEITO!$Y$146</f>
        <v>0</v>
      </c>
      <c r="N146" s="74">
        <f ca="1">$K$146-EFEITO!$M$146*EFEITO!$Z$146</f>
        <v>56.497305333860368</v>
      </c>
      <c r="O146" s="74">
        <f>$L$146-EFEITO!$O$146*EFEITO!$AA$146</f>
        <v>140.30595407674809</v>
      </c>
      <c r="P146" s="57"/>
      <c r="Q146" s="57"/>
      <c r="R146" s="57"/>
      <c r="S146" s="57"/>
      <c r="T146" s="57"/>
      <c r="U146" s="57"/>
      <c r="V146" s="57"/>
      <c r="W146" s="57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53" t="s">
        <v>21</v>
      </c>
      <c r="B147" s="53" t="s">
        <v>37</v>
      </c>
      <c r="C147" s="53" t="s">
        <v>38</v>
      </c>
      <c r="D147" s="53" t="s">
        <v>49</v>
      </c>
      <c r="E147" s="53" t="s">
        <v>50</v>
      </c>
      <c r="F147" s="53" t="s">
        <v>25</v>
      </c>
      <c r="G147" s="53" t="s">
        <v>25</v>
      </c>
      <c r="H147" s="53" t="s">
        <v>34</v>
      </c>
      <c r="I147" s="73">
        <v>44317</v>
      </c>
      <c r="J147" s="74">
        <f>EFEITO!$J$147*EFEITO!$Y$73</f>
        <v>0</v>
      </c>
      <c r="K147" s="74">
        <f ca="1">EFEITO!$L$147*EFEITO!$Z$73</f>
        <v>2236.1602287929832</v>
      </c>
      <c r="L147" s="74">
        <f>EFEITO!$N$147*EFEITO!$AA$73</f>
        <v>5553.3019232554943</v>
      </c>
      <c r="M147" s="74">
        <f>$J$147-EFEITO!$K$147*EFEITO!$Y$147</f>
        <v>0</v>
      </c>
      <c r="N147" s="74">
        <f ca="1">$K$147-EFEITO!$M$147*EFEITO!$Z$147</f>
        <v>67.084806863789709</v>
      </c>
      <c r="O147" s="74">
        <f>$L$147-EFEITO!$O$147*EFEITO!$AA$147</f>
        <v>166.59905769766556</v>
      </c>
      <c r="P147" s="57"/>
      <c r="Q147" s="57"/>
      <c r="R147" s="57"/>
      <c r="S147" s="57"/>
      <c r="T147" s="57"/>
      <c r="U147" s="57"/>
      <c r="V147" s="57"/>
      <c r="W147" s="57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53" t="s">
        <v>21</v>
      </c>
      <c r="B148" s="53" t="s">
        <v>37</v>
      </c>
      <c r="C148" s="53" t="s">
        <v>38</v>
      </c>
      <c r="D148" s="53" t="s">
        <v>49</v>
      </c>
      <c r="E148" s="53" t="s">
        <v>50</v>
      </c>
      <c r="F148" s="53" t="s">
        <v>25</v>
      </c>
      <c r="G148" s="53" t="s">
        <v>25</v>
      </c>
      <c r="H148" s="53" t="s">
        <v>34</v>
      </c>
      <c r="I148" s="73">
        <v>44348</v>
      </c>
      <c r="J148" s="74">
        <f>EFEITO!$J$148*EFEITO!$Y$73</f>
        <v>0</v>
      </c>
      <c r="K148" s="74">
        <f ca="1">EFEITO!$L$148*EFEITO!$Z$73</f>
        <v>2274.2485990767541</v>
      </c>
      <c r="L148" s="74">
        <f>EFEITO!$N$148*EFEITO!$AA$73</f>
        <v>5647.8909501181633</v>
      </c>
      <c r="M148" s="74">
        <f>$J$148-EFEITO!$K$148*EFEITO!$Y$148</f>
        <v>0</v>
      </c>
      <c r="N148" s="74">
        <f ca="1">$K$148-EFEITO!$M$148*EFEITO!$Z$148</f>
        <v>68.227457972303</v>
      </c>
      <c r="O148" s="74">
        <f>$L$148-EFEITO!$O$148*EFEITO!$AA$148</f>
        <v>169.43672850354505</v>
      </c>
      <c r="P148" s="57"/>
      <c r="Q148" s="57"/>
      <c r="R148" s="57"/>
      <c r="S148" s="57"/>
      <c r="T148" s="57"/>
      <c r="U148" s="57"/>
      <c r="V148" s="57"/>
      <c r="W148" s="57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53" t="s">
        <v>21</v>
      </c>
      <c r="B149" s="53" t="s">
        <v>37</v>
      </c>
      <c r="C149" s="53" t="s">
        <v>38</v>
      </c>
      <c r="D149" s="53" t="s">
        <v>49</v>
      </c>
      <c r="E149" s="53" t="s">
        <v>50</v>
      </c>
      <c r="F149" s="53" t="s">
        <v>25</v>
      </c>
      <c r="G149" s="53" t="s">
        <v>25</v>
      </c>
      <c r="H149" s="53" t="s">
        <v>34</v>
      </c>
      <c r="I149" s="73">
        <v>44378</v>
      </c>
      <c r="J149" s="74">
        <f>EFEITO!$J$149*EFEITO!$Y$73</f>
        <v>0</v>
      </c>
      <c r="K149" s="74">
        <f ca="1">EFEITO!$L$149*EFEITO!$Z$73</f>
        <v>2397.9692144390715</v>
      </c>
      <c r="L149" s="74">
        <f>EFEITO!$N$149*EFEITO!$AA$73</f>
        <v>5955.1399219902587</v>
      </c>
      <c r="M149" s="74">
        <f>$J$149-EFEITO!$K$149*EFEITO!$Y$149</f>
        <v>0</v>
      </c>
      <c r="N149" s="74">
        <f ca="1">$K$149-EFEITO!$M$149*EFEITO!$Z$149</f>
        <v>71.939076433171977</v>
      </c>
      <c r="O149" s="74">
        <f>$L$149-EFEITO!$O$149*EFEITO!$AA$149</f>
        <v>178.65419765970819</v>
      </c>
      <c r="P149" s="57"/>
      <c r="Q149" s="57"/>
      <c r="R149" s="57"/>
      <c r="S149" s="57"/>
      <c r="T149" s="57"/>
      <c r="U149" s="57"/>
      <c r="V149" s="57"/>
      <c r="W149" s="57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53" t="s">
        <v>21</v>
      </c>
      <c r="B150" s="53" t="s">
        <v>37</v>
      </c>
      <c r="C150" s="53" t="s">
        <v>38</v>
      </c>
      <c r="D150" s="53" t="s">
        <v>49</v>
      </c>
      <c r="E150" s="53" t="s">
        <v>50</v>
      </c>
      <c r="F150" s="53" t="s">
        <v>25</v>
      </c>
      <c r="G150" s="53" t="s">
        <v>25</v>
      </c>
      <c r="H150" s="53" t="s">
        <v>34</v>
      </c>
      <c r="I150" s="73">
        <v>44409</v>
      </c>
      <c r="J150" s="74">
        <f>EFEITO!$J$150*EFEITO!$Y$73</f>
        <v>0</v>
      </c>
      <c r="K150" s="74">
        <f ca="1">EFEITO!$L$150*EFEITO!$Z$73</f>
        <v>2347.0959366474617</v>
      </c>
      <c r="L150" s="74">
        <f>EFEITO!$N$150*EFEITO!$AA$73</f>
        <v>5828.8007322645954</v>
      </c>
      <c r="M150" s="74">
        <f>$J$150-EFEITO!$K$150*EFEITO!$Y$150</f>
        <v>0</v>
      </c>
      <c r="N150" s="74">
        <f ca="1">$K$150-EFEITO!$M$150*EFEITO!$Z$150</f>
        <v>70.412878099423779</v>
      </c>
      <c r="O150" s="74">
        <f>$L$150-EFEITO!$O$150*EFEITO!$AA$150</f>
        <v>174.86402196793824</v>
      </c>
      <c r="P150" s="57"/>
      <c r="Q150" s="57"/>
      <c r="R150" s="57"/>
      <c r="S150" s="57"/>
      <c r="T150" s="57"/>
      <c r="U150" s="57"/>
      <c r="V150" s="57"/>
      <c r="W150" s="57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53" t="s">
        <v>21</v>
      </c>
      <c r="B151" s="53" t="s">
        <v>37</v>
      </c>
      <c r="C151" s="53" t="s">
        <v>38</v>
      </c>
      <c r="D151" s="53" t="s">
        <v>49</v>
      </c>
      <c r="E151" s="53" t="s">
        <v>50</v>
      </c>
      <c r="F151" s="53" t="s">
        <v>25</v>
      </c>
      <c r="G151" s="53" t="s">
        <v>25</v>
      </c>
      <c r="H151" s="53" t="s">
        <v>34</v>
      </c>
      <c r="I151" s="73">
        <v>44440</v>
      </c>
      <c r="J151" s="74">
        <f>EFEITO!$J$151*EFEITO!$Y$73</f>
        <v>0</v>
      </c>
      <c r="K151" s="74">
        <f ca="1">EFEITO!$L$151*EFEITO!$Z$73</f>
        <v>2253.2067721367684</v>
      </c>
      <c r="L151" s="74">
        <f>EFEITO!$N$151*EFEITO!$AA$73</f>
        <v>5595.6354737394859</v>
      </c>
      <c r="M151" s="74">
        <f>$J$151-EFEITO!$K$151*EFEITO!$Y$151</f>
        <v>0</v>
      </c>
      <c r="N151" s="74">
        <f ca="1">$K$151-EFEITO!$M$151*EFEITO!$Z$151</f>
        <v>67.596203164102917</v>
      </c>
      <c r="O151" s="74">
        <f>$L$151-EFEITO!$O$151*EFEITO!$AA$151</f>
        <v>167.86906421218464</v>
      </c>
      <c r="P151" s="57"/>
      <c r="Q151" s="57"/>
      <c r="R151" s="57"/>
      <c r="S151" s="57"/>
      <c r="T151" s="57"/>
      <c r="U151" s="57"/>
      <c r="V151" s="57"/>
      <c r="W151" s="57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53" t="s">
        <v>21</v>
      </c>
      <c r="B152" s="53" t="s">
        <v>37</v>
      </c>
      <c r="C152" s="53" t="s">
        <v>38</v>
      </c>
      <c r="D152" s="53" t="s">
        <v>49</v>
      </c>
      <c r="E152" s="53" t="s">
        <v>50</v>
      </c>
      <c r="F152" s="53" t="s">
        <v>25</v>
      </c>
      <c r="G152" s="53" t="s">
        <v>25</v>
      </c>
      <c r="H152" s="53" t="s">
        <v>34</v>
      </c>
      <c r="I152" s="73">
        <v>44470</v>
      </c>
      <c r="J152" s="74">
        <f>EFEITO!$J$152*EFEITO!$Y$73</f>
        <v>0</v>
      </c>
      <c r="K152" s="74">
        <f ca="1">EFEITO!$L$152*EFEITO!$Z$73</f>
        <v>2317.9303663952041</v>
      </c>
      <c r="L152" s="74">
        <f>EFEITO!$N$152*EFEITO!$AA$73</f>
        <v>5756.3706732333922</v>
      </c>
      <c r="M152" s="74">
        <f>$J$152-EFEITO!$K$152*EFEITO!$Y$152</f>
        <v>0</v>
      </c>
      <c r="N152" s="74">
        <f ca="1">$K$152-EFEITO!$M$152*EFEITO!$Z$152</f>
        <v>69.537910991856279</v>
      </c>
      <c r="O152" s="74">
        <f>$L$152-EFEITO!$O$152*EFEITO!$AA$152</f>
        <v>172.69112019700242</v>
      </c>
      <c r="P152" s="57"/>
      <c r="Q152" s="57"/>
      <c r="R152" s="57"/>
      <c r="S152" s="57"/>
      <c r="T152" s="57"/>
      <c r="U152" s="57"/>
      <c r="V152" s="57"/>
      <c r="W152" s="57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53" t="s">
        <v>21</v>
      </c>
      <c r="B153" s="53" t="s">
        <v>37</v>
      </c>
      <c r="C153" s="53" t="s">
        <v>38</v>
      </c>
      <c r="D153" s="53" t="s">
        <v>49</v>
      </c>
      <c r="E153" s="53" t="s">
        <v>50</v>
      </c>
      <c r="F153" s="53" t="s">
        <v>25</v>
      </c>
      <c r="G153" s="53" t="s">
        <v>25</v>
      </c>
      <c r="H153" s="53" t="s">
        <v>34</v>
      </c>
      <c r="I153" s="73">
        <v>44501</v>
      </c>
      <c r="J153" s="74">
        <f>EFEITO!$J$153*EFEITO!$Y$73</f>
        <v>0</v>
      </c>
      <c r="K153" s="74">
        <f ca="1">EFEITO!$L$153*EFEITO!$Z$73</f>
        <v>2299.6852379725588</v>
      </c>
      <c r="L153" s="74">
        <f>EFEITO!$N$153*EFEITO!$AA$73</f>
        <v>5711.0605449809946</v>
      </c>
      <c r="M153" s="74">
        <f>$J$153-EFEITO!$K$153*EFEITO!$Y$153</f>
        <v>0</v>
      </c>
      <c r="N153" s="74">
        <f ca="1">$K$153-EFEITO!$M$153*EFEITO!$Z$153</f>
        <v>68.990557139176872</v>
      </c>
      <c r="O153" s="74">
        <f>$L$153-EFEITO!$O$153*EFEITO!$AA$153</f>
        <v>171.33181634943048</v>
      </c>
      <c r="P153" s="57"/>
      <c r="Q153" s="57"/>
      <c r="R153" s="57"/>
      <c r="S153" s="57"/>
      <c r="T153" s="57"/>
      <c r="U153" s="57"/>
      <c r="V153" s="57"/>
      <c r="W153" s="57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53" t="s">
        <v>21</v>
      </c>
      <c r="B154" s="53" t="s">
        <v>37</v>
      </c>
      <c r="C154" s="53" t="s">
        <v>38</v>
      </c>
      <c r="D154" s="53" t="s">
        <v>49</v>
      </c>
      <c r="E154" s="53" t="s">
        <v>50</v>
      </c>
      <c r="F154" s="53" t="s">
        <v>25</v>
      </c>
      <c r="G154" s="53" t="s">
        <v>25</v>
      </c>
      <c r="H154" s="53" t="s">
        <v>34</v>
      </c>
      <c r="I154" s="73">
        <v>44531</v>
      </c>
      <c r="J154" s="74">
        <f>EFEITO!$J$154*EFEITO!$Y$73</f>
        <v>0</v>
      </c>
      <c r="K154" s="74">
        <f ca="1">EFEITO!$L$154*EFEITO!$Z$73</f>
        <v>2235.2279959538696</v>
      </c>
      <c r="L154" s="74">
        <f>EFEITO!$N$154*EFEITO!$AA$73</f>
        <v>5550.9868072134004</v>
      </c>
      <c r="M154" s="74">
        <f>$J$154-EFEITO!$K$154*EFEITO!$Y$154</f>
        <v>0</v>
      </c>
      <c r="N154" s="74">
        <f ca="1">$K$154-EFEITO!$M$154*EFEITO!$Z$154</f>
        <v>67.056839878616302</v>
      </c>
      <c r="O154" s="74">
        <f>$L$154-EFEITO!$O$154*EFEITO!$AA$154</f>
        <v>166.52960421640273</v>
      </c>
      <c r="P154" s="57"/>
      <c r="Q154" s="57"/>
      <c r="R154" s="57"/>
      <c r="S154" s="57"/>
      <c r="T154" s="57"/>
      <c r="U154" s="57"/>
      <c r="V154" s="57"/>
      <c r="W154" s="57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53" t="s">
        <v>21</v>
      </c>
      <c r="B155" s="53" t="s">
        <v>37</v>
      </c>
      <c r="C155" s="53" t="s">
        <v>38</v>
      </c>
      <c r="D155" s="53" t="s">
        <v>49</v>
      </c>
      <c r="E155" s="53" t="s">
        <v>50</v>
      </c>
      <c r="F155" s="53" t="s">
        <v>25</v>
      </c>
      <c r="G155" s="53" t="s">
        <v>25</v>
      </c>
      <c r="H155" s="53" t="s">
        <v>34</v>
      </c>
      <c r="I155" s="73">
        <v>44562</v>
      </c>
      <c r="J155" s="74">
        <f>EFEITO!$J$155*EFEITO!$Y$73</f>
        <v>0</v>
      </c>
      <c r="K155" s="74">
        <f ca="1">EFEITO!$L$155*EFEITO!$Z$73</f>
        <v>2275.3140080357402</v>
      </c>
      <c r="L155" s="74">
        <f>EFEITO!$N$155*EFEITO!$AA$73</f>
        <v>5650.5367970234129</v>
      </c>
      <c r="M155" s="74">
        <f>$J$155-EFEITO!$K$155*EFEITO!$Y$155</f>
        <v>0</v>
      </c>
      <c r="N155" s="74">
        <f ca="1">$K$155-EFEITO!$M$155*EFEITO!$Z$155</f>
        <v>68.259420241072348</v>
      </c>
      <c r="O155" s="74">
        <f>$L$155-EFEITO!$O$155*EFEITO!$AA$155</f>
        <v>169.51610391070335</v>
      </c>
      <c r="P155" s="57"/>
      <c r="Q155" s="57"/>
      <c r="R155" s="57"/>
      <c r="S155" s="57"/>
      <c r="T155" s="57"/>
      <c r="U155" s="57"/>
      <c r="V155" s="57"/>
      <c r="W155" s="57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53" t="s">
        <v>21</v>
      </c>
      <c r="B156" s="53" t="s">
        <v>37</v>
      </c>
      <c r="C156" s="53" t="s">
        <v>38</v>
      </c>
      <c r="D156" s="53" t="s">
        <v>49</v>
      </c>
      <c r="E156" s="53" t="s">
        <v>50</v>
      </c>
      <c r="F156" s="53" t="s">
        <v>25</v>
      </c>
      <c r="G156" s="53" t="s">
        <v>25</v>
      </c>
      <c r="H156" s="53" t="s">
        <v>34</v>
      </c>
      <c r="I156" s="73">
        <v>44593</v>
      </c>
      <c r="J156" s="74">
        <f>EFEITO!$J$156*EFEITO!$Y$73</f>
        <v>0</v>
      </c>
      <c r="K156" s="74">
        <f ca="1">EFEITO!$L$156*EFEITO!$Z$73</f>
        <v>2146.5327001182359</v>
      </c>
      <c r="L156" s="74">
        <f>EFEITO!$N$156*EFEITO!$AA$73</f>
        <v>5330.7200523513811</v>
      </c>
      <c r="M156" s="74">
        <f>$J$156-EFEITO!$K$156*EFEITO!$Y$156</f>
        <v>0</v>
      </c>
      <c r="N156" s="74">
        <f ca="1">$K$156-EFEITO!$M$156*EFEITO!$Z$156</f>
        <v>64.395981003547149</v>
      </c>
      <c r="O156" s="74">
        <f>$L$156-EFEITO!$O$156*EFEITO!$AA$156</f>
        <v>159.9216015705415</v>
      </c>
      <c r="P156" s="57"/>
      <c r="Q156" s="57"/>
      <c r="R156" s="57"/>
      <c r="S156" s="57"/>
      <c r="T156" s="57"/>
      <c r="U156" s="57"/>
      <c r="V156" s="57"/>
      <c r="W156" s="57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53" t="s">
        <v>21</v>
      </c>
      <c r="B157" s="53" t="s">
        <v>37</v>
      </c>
      <c r="C157" s="53" t="s">
        <v>38</v>
      </c>
      <c r="D157" s="53" t="s">
        <v>49</v>
      </c>
      <c r="E157" s="53" t="s">
        <v>50</v>
      </c>
      <c r="F157" s="53" t="s">
        <v>25</v>
      </c>
      <c r="G157" s="53" t="s">
        <v>25</v>
      </c>
      <c r="H157" s="53" t="s">
        <v>34</v>
      </c>
      <c r="I157" s="73">
        <v>44621</v>
      </c>
      <c r="J157" s="74">
        <f>EFEITO!$J$157*EFEITO!$Y$73</f>
        <v>0</v>
      </c>
      <c r="K157" s="74">
        <f ca="1">EFEITO!$L$157*EFEITO!$Z$73</f>
        <v>2363.3434232720074</v>
      </c>
      <c r="L157" s="74">
        <f>EFEITO!$N$157*EFEITO!$AA$73</f>
        <v>5869.1498975696495</v>
      </c>
      <c r="M157" s="74">
        <f>$J$157-EFEITO!$K$157*EFEITO!$Y$157</f>
        <v>0</v>
      </c>
      <c r="N157" s="74">
        <f ca="1">$K$157-EFEITO!$M$157*EFEITO!$Z$157</f>
        <v>70.900302698160431</v>
      </c>
      <c r="O157" s="74">
        <f>$L$157-EFEITO!$O$157*EFEITO!$AA$157</f>
        <v>176.07449692708906</v>
      </c>
      <c r="P157" s="57"/>
      <c r="Q157" s="57"/>
      <c r="R157" s="57"/>
      <c r="S157" s="57"/>
      <c r="T157" s="57"/>
      <c r="U157" s="57"/>
      <c r="V157" s="57"/>
      <c r="W157" s="57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53" t="s">
        <v>21</v>
      </c>
      <c r="B158" s="53" t="s">
        <v>37</v>
      </c>
      <c r="C158" s="53" t="s">
        <v>38</v>
      </c>
      <c r="D158" s="53" t="s">
        <v>49</v>
      </c>
      <c r="E158" s="53" t="s">
        <v>50</v>
      </c>
      <c r="F158" s="53" t="s">
        <v>25</v>
      </c>
      <c r="G158" s="53" t="s">
        <v>25</v>
      </c>
      <c r="H158" s="53" t="s">
        <v>25</v>
      </c>
      <c r="I158" s="73">
        <v>44287</v>
      </c>
      <c r="J158" s="74">
        <f ca="1">EFEITO!$J$158*EFEITO!$Y$85</f>
        <v>4700.3766276916185</v>
      </c>
      <c r="K158" s="74">
        <f>EFEITO!$L$158*EFEITO!$Z$85</f>
        <v>0</v>
      </c>
      <c r="L158" s="74">
        <f>EFEITO!$N$158*EFEITO!$AA$85</f>
        <v>0</v>
      </c>
      <c r="M158" s="74">
        <f ca="1">$J$158-EFEITO!$K$158*EFEITO!$Y$158</f>
        <v>141.01129883074918</v>
      </c>
      <c r="N158" s="74">
        <f>$K$158-EFEITO!$M$158*EFEITO!$Z$158</f>
        <v>0</v>
      </c>
      <c r="O158" s="74">
        <f>$L$158-EFEITO!$O$158*EFEITO!$AA$158</f>
        <v>0</v>
      </c>
      <c r="P158" s="57"/>
      <c r="Q158" s="57"/>
      <c r="R158" s="57"/>
      <c r="S158" s="57"/>
      <c r="T158" s="57"/>
      <c r="U158" s="57"/>
      <c r="V158" s="57"/>
      <c r="W158" s="57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53" t="s">
        <v>21</v>
      </c>
      <c r="B159" s="53" t="s">
        <v>37</v>
      </c>
      <c r="C159" s="53" t="s">
        <v>38</v>
      </c>
      <c r="D159" s="53" t="s">
        <v>49</v>
      </c>
      <c r="E159" s="53" t="s">
        <v>50</v>
      </c>
      <c r="F159" s="53" t="s">
        <v>25</v>
      </c>
      <c r="G159" s="53" t="s">
        <v>25</v>
      </c>
      <c r="H159" s="53" t="s">
        <v>25</v>
      </c>
      <c r="I159" s="73">
        <v>44317</v>
      </c>
      <c r="J159" s="74">
        <f ca="1">EFEITO!$J$159*EFEITO!$Y$85</f>
        <v>4700.3766276916185</v>
      </c>
      <c r="K159" s="74">
        <f>EFEITO!$L$159*EFEITO!$Z$85</f>
        <v>0</v>
      </c>
      <c r="L159" s="74">
        <f>EFEITO!$N$159*EFEITO!$AA$85</f>
        <v>0</v>
      </c>
      <c r="M159" s="74">
        <f ca="1">$J$159-EFEITO!$K$159*EFEITO!$Y$159</f>
        <v>141.01129883074918</v>
      </c>
      <c r="N159" s="74">
        <f>$K$159-EFEITO!$M$159*EFEITO!$Z$159</f>
        <v>0</v>
      </c>
      <c r="O159" s="74">
        <f>$L$159-EFEITO!$O$159*EFEITO!$AA$159</f>
        <v>0</v>
      </c>
      <c r="P159" s="57"/>
      <c r="Q159" s="57"/>
      <c r="R159" s="57"/>
      <c r="S159" s="57"/>
      <c r="T159" s="57"/>
      <c r="U159" s="57"/>
      <c r="V159" s="57"/>
      <c r="W159" s="57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53" t="s">
        <v>21</v>
      </c>
      <c r="B160" s="53" t="s">
        <v>37</v>
      </c>
      <c r="C160" s="53" t="s">
        <v>38</v>
      </c>
      <c r="D160" s="53" t="s">
        <v>49</v>
      </c>
      <c r="E160" s="53" t="s">
        <v>50</v>
      </c>
      <c r="F160" s="53" t="s">
        <v>25</v>
      </c>
      <c r="G160" s="53" t="s">
        <v>25</v>
      </c>
      <c r="H160" s="53" t="s">
        <v>25</v>
      </c>
      <c r="I160" s="73">
        <v>44348</v>
      </c>
      <c r="J160" s="74">
        <f ca="1">EFEITO!$J$160*EFEITO!$Y$85</f>
        <v>4700.3766276916185</v>
      </c>
      <c r="K160" s="74">
        <f>EFEITO!$L$160*EFEITO!$Z$85</f>
        <v>0</v>
      </c>
      <c r="L160" s="74">
        <f>EFEITO!$N$160*EFEITO!$AA$85</f>
        <v>0</v>
      </c>
      <c r="M160" s="74">
        <f ca="1">$J$160-EFEITO!$K$160*EFEITO!$Y$160</f>
        <v>141.01129883074918</v>
      </c>
      <c r="N160" s="74">
        <f>$K$160-EFEITO!$M$160*EFEITO!$Z$160</f>
        <v>0</v>
      </c>
      <c r="O160" s="74">
        <f>$L$160-EFEITO!$O$160*EFEITO!$AA$160</f>
        <v>0</v>
      </c>
      <c r="P160" s="57"/>
      <c r="Q160" s="57"/>
      <c r="R160" s="57"/>
      <c r="S160" s="57"/>
      <c r="T160" s="57"/>
      <c r="U160" s="57"/>
      <c r="V160" s="57"/>
      <c r="W160" s="57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53" t="s">
        <v>21</v>
      </c>
      <c r="B161" s="53" t="s">
        <v>37</v>
      </c>
      <c r="C161" s="53" t="s">
        <v>38</v>
      </c>
      <c r="D161" s="53" t="s">
        <v>49</v>
      </c>
      <c r="E161" s="53" t="s">
        <v>50</v>
      </c>
      <c r="F161" s="53" t="s">
        <v>25</v>
      </c>
      <c r="G161" s="53" t="s">
        <v>25</v>
      </c>
      <c r="H161" s="53" t="s">
        <v>25</v>
      </c>
      <c r="I161" s="73">
        <v>44378</v>
      </c>
      <c r="J161" s="74">
        <f ca="1">EFEITO!$J$161*EFEITO!$Y$85</f>
        <v>4700.3766276916185</v>
      </c>
      <c r="K161" s="74">
        <f>EFEITO!$L$161*EFEITO!$Z$85</f>
        <v>0</v>
      </c>
      <c r="L161" s="74">
        <f>EFEITO!$N$161*EFEITO!$AA$85</f>
        <v>0</v>
      </c>
      <c r="M161" s="74">
        <f ca="1">$J$161-EFEITO!$K$161*EFEITO!$Y$161</f>
        <v>141.01129883074918</v>
      </c>
      <c r="N161" s="74">
        <f>$K$161-EFEITO!$M$161*EFEITO!$Z$161</f>
        <v>0</v>
      </c>
      <c r="O161" s="74">
        <f>$L$161-EFEITO!$O$161*EFEITO!$AA$161</f>
        <v>0</v>
      </c>
      <c r="P161" s="57"/>
      <c r="Q161" s="57"/>
      <c r="R161" s="57"/>
      <c r="S161" s="57"/>
      <c r="T161" s="57"/>
      <c r="U161" s="57"/>
      <c r="V161" s="57"/>
      <c r="W161" s="57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53" t="s">
        <v>21</v>
      </c>
      <c r="B162" s="53" t="s">
        <v>37</v>
      </c>
      <c r="C162" s="53" t="s">
        <v>38</v>
      </c>
      <c r="D162" s="53" t="s">
        <v>49</v>
      </c>
      <c r="E162" s="53" t="s">
        <v>50</v>
      </c>
      <c r="F162" s="53" t="s">
        <v>25</v>
      </c>
      <c r="G162" s="53" t="s">
        <v>25</v>
      </c>
      <c r="H162" s="53" t="s">
        <v>25</v>
      </c>
      <c r="I162" s="73">
        <v>44409</v>
      </c>
      <c r="J162" s="74">
        <f ca="1">EFEITO!$J$162*EFEITO!$Y$85</f>
        <v>4700.3766276916185</v>
      </c>
      <c r="K162" s="74">
        <f>EFEITO!$L$162*EFEITO!$Z$85</f>
        <v>0</v>
      </c>
      <c r="L162" s="74">
        <f>EFEITO!$N$162*EFEITO!$AA$85</f>
        <v>0</v>
      </c>
      <c r="M162" s="74">
        <f ca="1">$J$162-EFEITO!$K$162*EFEITO!$Y$162</f>
        <v>141.01129883074918</v>
      </c>
      <c r="N162" s="74">
        <f>$K$162-EFEITO!$M$162*EFEITO!$Z$162</f>
        <v>0</v>
      </c>
      <c r="O162" s="74">
        <f>$L$162-EFEITO!$O$162*EFEITO!$AA$162</f>
        <v>0</v>
      </c>
      <c r="P162" s="57"/>
      <c r="Q162" s="57"/>
      <c r="R162" s="57"/>
      <c r="S162" s="57"/>
      <c r="T162" s="57"/>
      <c r="U162" s="57"/>
      <c r="V162" s="57"/>
      <c r="W162" s="57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53" t="s">
        <v>21</v>
      </c>
      <c r="B163" s="53" t="s">
        <v>37</v>
      </c>
      <c r="C163" s="53" t="s">
        <v>38</v>
      </c>
      <c r="D163" s="53" t="s">
        <v>49</v>
      </c>
      <c r="E163" s="53" t="s">
        <v>50</v>
      </c>
      <c r="F163" s="53" t="s">
        <v>25</v>
      </c>
      <c r="G163" s="53" t="s">
        <v>25</v>
      </c>
      <c r="H163" s="53" t="s">
        <v>25</v>
      </c>
      <c r="I163" s="73">
        <v>44440</v>
      </c>
      <c r="J163" s="74">
        <f ca="1">EFEITO!$J$163*EFEITO!$Y$85</f>
        <v>4700.3766276916185</v>
      </c>
      <c r="K163" s="74">
        <f>EFEITO!$L$163*EFEITO!$Z$85</f>
        <v>0</v>
      </c>
      <c r="L163" s="74">
        <f>EFEITO!$N$163*EFEITO!$AA$85</f>
        <v>0</v>
      </c>
      <c r="M163" s="74">
        <f ca="1">$J$163-EFEITO!$K$163*EFEITO!$Y$163</f>
        <v>141.01129883074918</v>
      </c>
      <c r="N163" s="74">
        <f>$K$163-EFEITO!$M$163*EFEITO!$Z$163</f>
        <v>0</v>
      </c>
      <c r="O163" s="74">
        <f>$L$163-EFEITO!$O$163*EFEITO!$AA$163</f>
        <v>0</v>
      </c>
      <c r="P163" s="57"/>
      <c r="Q163" s="57"/>
      <c r="R163" s="57"/>
      <c r="S163" s="57"/>
      <c r="T163" s="57"/>
      <c r="U163" s="57"/>
      <c r="V163" s="57"/>
      <c r="W163" s="57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53" t="s">
        <v>21</v>
      </c>
      <c r="B164" s="53" t="s">
        <v>37</v>
      </c>
      <c r="C164" s="53" t="s">
        <v>38</v>
      </c>
      <c r="D164" s="53" t="s">
        <v>49</v>
      </c>
      <c r="E164" s="53" t="s">
        <v>50</v>
      </c>
      <c r="F164" s="53" t="s">
        <v>25</v>
      </c>
      <c r="G164" s="53" t="s">
        <v>25</v>
      </c>
      <c r="H164" s="53" t="s">
        <v>25</v>
      </c>
      <c r="I164" s="73">
        <v>44470</v>
      </c>
      <c r="J164" s="74">
        <f ca="1">EFEITO!$J$164*EFEITO!$Y$85</f>
        <v>4700.3766276916185</v>
      </c>
      <c r="K164" s="74">
        <f>EFEITO!$L$164*EFEITO!$Z$85</f>
        <v>0</v>
      </c>
      <c r="L164" s="74">
        <f>EFEITO!$N$164*EFEITO!$AA$85</f>
        <v>0</v>
      </c>
      <c r="M164" s="74">
        <f ca="1">$J$164-EFEITO!$K$164*EFEITO!$Y$164</f>
        <v>141.01129883074918</v>
      </c>
      <c r="N164" s="74">
        <f>$K$164-EFEITO!$M$164*EFEITO!$Z$164</f>
        <v>0</v>
      </c>
      <c r="O164" s="74">
        <f>$L$164-EFEITO!$O$164*EFEITO!$AA$164</f>
        <v>0</v>
      </c>
      <c r="P164" s="57"/>
      <c r="Q164" s="57"/>
      <c r="R164" s="57"/>
      <c r="S164" s="57"/>
      <c r="T164" s="57"/>
      <c r="U164" s="57"/>
      <c r="V164" s="57"/>
      <c r="W164" s="57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53" t="s">
        <v>21</v>
      </c>
      <c r="B165" s="53" t="s">
        <v>37</v>
      </c>
      <c r="C165" s="53" t="s">
        <v>38</v>
      </c>
      <c r="D165" s="53" t="s">
        <v>49</v>
      </c>
      <c r="E165" s="53" t="s">
        <v>50</v>
      </c>
      <c r="F165" s="53" t="s">
        <v>25</v>
      </c>
      <c r="G165" s="53" t="s">
        <v>25</v>
      </c>
      <c r="H165" s="53" t="s">
        <v>25</v>
      </c>
      <c r="I165" s="73">
        <v>44501</v>
      </c>
      <c r="J165" s="74">
        <f ca="1">EFEITO!$J$165*EFEITO!$Y$85</f>
        <v>4700.3766276916185</v>
      </c>
      <c r="K165" s="74">
        <f>EFEITO!$L$165*EFEITO!$Z$85</f>
        <v>0</v>
      </c>
      <c r="L165" s="74">
        <f>EFEITO!$N$165*EFEITO!$AA$85</f>
        <v>0</v>
      </c>
      <c r="M165" s="74">
        <f ca="1">$J$165-EFEITO!$K$165*EFEITO!$Y$165</f>
        <v>141.01129883074918</v>
      </c>
      <c r="N165" s="74">
        <f>$K$165-EFEITO!$M$165*EFEITO!$Z$165</f>
        <v>0</v>
      </c>
      <c r="O165" s="74">
        <f>$L$165-EFEITO!$O$165*EFEITO!$AA$165</f>
        <v>0</v>
      </c>
      <c r="P165" s="57"/>
      <c r="Q165" s="57"/>
      <c r="R165" s="57"/>
      <c r="S165" s="57"/>
      <c r="T165" s="57"/>
      <c r="U165" s="57"/>
      <c r="V165" s="57"/>
      <c r="W165" s="57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53" t="s">
        <v>21</v>
      </c>
      <c r="B166" s="53" t="s">
        <v>37</v>
      </c>
      <c r="C166" s="53" t="s">
        <v>38</v>
      </c>
      <c r="D166" s="53" t="s">
        <v>49</v>
      </c>
      <c r="E166" s="53" t="s">
        <v>50</v>
      </c>
      <c r="F166" s="53" t="s">
        <v>25</v>
      </c>
      <c r="G166" s="53" t="s">
        <v>25</v>
      </c>
      <c r="H166" s="53" t="s">
        <v>25</v>
      </c>
      <c r="I166" s="73">
        <v>44531</v>
      </c>
      <c r="J166" s="74">
        <f ca="1">EFEITO!$J$166*EFEITO!$Y$85</f>
        <v>4700.3766276916185</v>
      </c>
      <c r="K166" s="74">
        <f>EFEITO!$L$166*EFEITO!$Z$85</f>
        <v>0</v>
      </c>
      <c r="L166" s="74">
        <f>EFEITO!$N$166*EFEITO!$AA$85</f>
        <v>0</v>
      </c>
      <c r="M166" s="74">
        <f ca="1">$J$166-EFEITO!$K$166*EFEITO!$Y$166</f>
        <v>141.01129883074918</v>
      </c>
      <c r="N166" s="74">
        <f>$K$166-EFEITO!$M$166*EFEITO!$Z$166</f>
        <v>0</v>
      </c>
      <c r="O166" s="74">
        <f>$L$166-EFEITO!$O$166*EFEITO!$AA$166</f>
        <v>0</v>
      </c>
      <c r="P166" s="57"/>
      <c r="Q166" s="57"/>
      <c r="R166" s="57"/>
      <c r="S166" s="57"/>
      <c r="T166" s="57"/>
      <c r="U166" s="57"/>
      <c r="V166" s="57"/>
      <c r="W166" s="57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53" t="s">
        <v>21</v>
      </c>
      <c r="B167" s="53" t="s">
        <v>37</v>
      </c>
      <c r="C167" s="53" t="s">
        <v>38</v>
      </c>
      <c r="D167" s="53" t="s">
        <v>49</v>
      </c>
      <c r="E167" s="53" t="s">
        <v>50</v>
      </c>
      <c r="F167" s="53" t="s">
        <v>25</v>
      </c>
      <c r="G167" s="53" t="s">
        <v>25</v>
      </c>
      <c r="H167" s="53" t="s">
        <v>25</v>
      </c>
      <c r="I167" s="73">
        <v>44562</v>
      </c>
      <c r="J167" s="74">
        <f ca="1">EFEITO!$J$167*EFEITO!$Y$85</f>
        <v>4700.3766276916185</v>
      </c>
      <c r="K167" s="74">
        <f>EFEITO!$L$167*EFEITO!$Z$85</f>
        <v>0</v>
      </c>
      <c r="L167" s="74">
        <f>EFEITO!$N$167*EFEITO!$AA$85</f>
        <v>0</v>
      </c>
      <c r="M167" s="74">
        <f ca="1">$J$167-EFEITO!$K$167*EFEITO!$Y$167</f>
        <v>141.01129883074918</v>
      </c>
      <c r="N167" s="74">
        <f>$K$167-EFEITO!$M$167*EFEITO!$Z$167</f>
        <v>0</v>
      </c>
      <c r="O167" s="74">
        <f>$L$167-EFEITO!$O$167*EFEITO!$AA$167</f>
        <v>0</v>
      </c>
      <c r="P167" s="57"/>
      <c r="Q167" s="57"/>
      <c r="R167" s="57"/>
      <c r="S167" s="57"/>
      <c r="T167" s="57"/>
      <c r="U167" s="57"/>
      <c r="V167" s="57"/>
      <c r="W167" s="57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53" t="s">
        <v>21</v>
      </c>
      <c r="B168" s="53" t="s">
        <v>37</v>
      </c>
      <c r="C168" s="53" t="s">
        <v>38</v>
      </c>
      <c r="D168" s="53" t="s">
        <v>49</v>
      </c>
      <c r="E168" s="53" t="s">
        <v>50</v>
      </c>
      <c r="F168" s="53" t="s">
        <v>25</v>
      </c>
      <c r="G168" s="53" t="s">
        <v>25</v>
      </c>
      <c r="H168" s="53" t="s">
        <v>25</v>
      </c>
      <c r="I168" s="73">
        <v>44593</v>
      </c>
      <c r="J168" s="74">
        <f ca="1">EFEITO!$J$168*EFEITO!$Y$85</f>
        <v>4700.3766276916185</v>
      </c>
      <c r="K168" s="74">
        <f>EFEITO!$L$168*EFEITO!$Z$85</f>
        <v>0</v>
      </c>
      <c r="L168" s="74">
        <f>EFEITO!$N$168*EFEITO!$AA$85</f>
        <v>0</v>
      </c>
      <c r="M168" s="74">
        <f ca="1">$J$168-EFEITO!$K$168*EFEITO!$Y$168</f>
        <v>141.01129883074918</v>
      </c>
      <c r="N168" s="74">
        <f>$K$168-EFEITO!$M$168*EFEITO!$Z$168</f>
        <v>0</v>
      </c>
      <c r="O168" s="74">
        <f>$L$168-EFEITO!$O$168*EFEITO!$AA$168</f>
        <v>0</v>
      </c>
      <c r="P168" s="57"/>
      <c r="Q168" s="57"/>
      <c r="R168" s="57"/>
      <c r="S168" s="57"/>
      <c r="T168" s="57"/>
      <c r="U168" s="57"/>
      <c r="V168" s="57"/>
      <c r="W168" s="57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53" t="s">
        <v>21</v>
      </c>
      <c r="B169" s="53" t="s">
        <v>37</v>
      </c>
      <c r="C169" s="53" t="s">
        <v>38</v>
      </c>
      <c r="D169" s="53" t="s">
        <v>49</v>
      </c>
      <c r="E169" s="53" t="s">
        <v>50</v>
      </c>
      <c r="F169" s="53" t="s">
        <v>25</v>
      </c>
      <c r="G169" s="53" t="s">
        <v>25</v>
      </c>
      <c r="H169" s="53" t="s">
        <v>25</v>
      </c>
      <c r="I169" s="73">
        <v>44621</v>
      </c>
      <c r="J169" s="74">
        <f ca="1">EFEITO!$J$169*EFEITO!$Y$85</f>
        <v>4700.3766276916185</v>
      </c>
      <c r="K169" s="74">
        <f>EFEITO!$L$169*EFEITO!$Z$85</f>
        <v>0</v>
      </c>
      <c r="L169" s="74">
        <f>EFEITO!$N$169*EFEITO!$AA$85</f>
        <v>0</v>
      </c>
      <c r="M169" s="74">
        <f ca="1">$J$169-EFEITO!$K$169*EFEITO!$Y$169</f>
        <v>141.01129883074918</v>
      </c>
      <c r="N169" s="74">
        <f>$K$169-EFEITO!$M$169*EFEITO!$Z$169</f>
        <v>0</v>
      </c>
      <c r="O169" s="74">
        <f>$L$169-EFEITO!$O$169*EFEITO!$AA$169</f>
        <v>0</v>
      </c>
      <c r="P169" s="57"/>
      <c r="Q169" s="57"/>
      <c r="R169" s="57"/>
      <c r="S169" s="57"/>
      <c r="T169" s="57"/>
      <c r="U169" s="57"/>
      <c r="V169" s="57"/>
      <c r="W169" s="57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53" t="s">
        <v>21</v>
      </c>
      <c r="B170" s="53" t="s">
        <v>37</v>
      </c>
      <c r="C170" s="53" t="s">
        <v>38</v>
      </c>
      <c r="D170" s="53" t="s">
        <v>49</v>
      </c>
      <c r="E170" s="53" t="s">
        <v>50</v>
      </c>
      <c r="F170" s="53" t="s">
        <v>25</v>
      </c>
      <c r="G170" s="53" t="s">
        <v>25</v>
      </c>
      <c r="H170" s="53" t="s">
        <v>39</v>
      </c>
      <c r="I170" s="73">
        <v>44287</v>
      </c>
      <c r="J170" s="74">
        <f>EFEITO!$J$170*EFEITO!$Y$97</f>
        <v>0</v>
      </c>
      <c r="K170" s="74">
        <f ca="1">EFEITO!$L$170*EFEITO!$Z$97</f>
        <v>7571.1833089621723</v>
      </c>
      <c r="L170" s="74">
        <f>EFEITO!$N$170*EFEITO!$AA$97</f>
        <v>496.09629473427674</v>
      </c>
      <c r="M170" s="74">
        <f>$J$170-EFEITO!$K$170*EFEITO!$Y$170</f>
        <v>0</v>
      </c>
      <c r="N170" s="74">
        <f ca="1">$K$170-EFEITO!$M$170*EFEITO!$Z$170</f>
        <v>227.13549926886662</v>
      </c>
      <c r="O170" s="74">
        <f>$L$170-EFEITO!$O$170*EFEITO!$AA$170</f>
        <v>14.882888842028308</v>
      </c>
      <c r="P170" s="57"/>
      <c r="Q170" s="57"/>
      <c r="R170" s="57"/>
      <c r="S170" s="57"/>
      <c r="T170" s="57"/>
      <c r="U170" s="57"/>
      <c r="V170" s="57"/>
      <c r="W170" s="57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53" t="s">
        <v>21</v>
      </c>
      <c r="B171" s="53" t="s">
        <v>37</v>
      </c>
      <c r="C171" s="53" t="s">
        <v>38</v>
      </c>
      <c r="D171" s="53" t="s">
        <v>49</v>
      </c>
      <c r="E171" s="53" t="s">
        <v>50</v>
      </c>
      <c r="F171" s="53" t="s">
        <v>25</v>
      </c>
      <c r="G171" s="53" t="s">
        <v>25</v>
      </c>
      <c r="H171" s="53" t="s">
        <v>39</v>
      </c>
      <c r="I171" s="73">
        <v>44317</v>
      </c>
      <c r="J171" s="74">
        <f>EFEITO!$J$171*EFEITO!$Y$97</f>
        <v>0</v>
      </c>
      <c r="K171" s="74">
        <f ca="1">EFEITO!$L$171*EFEITO!$Z$97</f>
        <v>8363.6338286335467</v>
      </c>
      <c r="L171" s="74">
        <f>EFEITO!$N$171*EFEITO!$AA$97</f>
        <v>548.02104024979769</v>
      </c>
      <c r="M171" s="74">
        <f>$J$171-EFEITO!$K$171*EFEITO!$Y$171</f>
        <v>0</v>
      </c>
      <c r="N171" s="74">
        <f ca="1">$K$171-EFEITO!$M$171*EFEITO!$Z$171</f>
        <v>250.90901485900758</v>
      </c>
      <c r="O171" s="74">
        <f>$L$171-EFEITO!$O$171*EFEITO!$AA$171</f>
        <v>16.44063120749388</v>
      </c>
      <c r="P171" s="57"/>
      <c r="Q171" s="57"/>
      <c r="R171" s="57"/>
      <c r="S171" s="57"/>
      <c r="T171" s="57"/>
      <c r="U171" s="57"/>
      <c r="V171" s="57"/>
      <c r="W171" s="57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53" t="s">
        <v>21</v>
      </c>
      <c r="B172" s="53" t="s">
        <v>37</v>
      </c>
      <c r="C172" s="53" t="s">
        <v>38</v>
      </c>
      <c r="D172" s="53" t="s">
        <v>49</v>
      </c>
      <c r="E172" s="53" t="s">
        <v>50</v>
      </c>
      <c r="F172" s="53" t="s">
        <v>25</v>
      </c>
      <c r="G172" s="53" t="s">
        <v>25</v>
      </c>
      <c r="H172" s="53" t="s">
        <v>39</v>
      </c>
      <c r="I172" s="73">
        <v>44348</v>
      </c>
      <c r="J172" s="74">
        <f>EFEITO!$J$172*EFEITO!$Y$97</f>
        <v>0</v>
      </c>
      <c r="K172" s="74">
        <f ca="1">EFEITO!$L$172*EFEITO!$Z$97</f>
        <v>8792.667549474736</v>
      </c>
      <c r="L172" s="74">
        <f>EFEITO!$N$172*EFEITO!$AA$97</f>
        <v>576.13316361807347</v>
      </c>
      <c r="M172" s="74">
        <f>$J$172-EFEITO!$K$172*EFEITO!$Y$172</f>
        <v>0</v>
      </c>
      <c r="N172" s="74">
        <f ca="1">$K$172-EFEITO!$M$172*EFEITO!$Z$172</f>
        <v>263.78002648424263</v>
      </c>
      <c r="O172" s="74">
        <f>$L$172-EFEITO!$O$172*EFEITO!$AA$172</f>
        <v>17.28399490854224</v>
      </c>
      <c r="P172" s="57"/>
      <c r="Q172" s="57"/>
      <c r="R172" s="57"/>
      <c r="S172" s="57"/>
      <c r="T172" s="57"/>
      <c r="U172" s="57"/>
      <c r="V172" s="57"/>
      <c r="W172" s="57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53" t="s">
        <v>21</v>
      </c>
      <c r="B173" s="53" t="s">
        <v>37</v>
      </c>
      <c r="C173" s="53" t="s">
        <v>38</v>
      </c>
      <c r="D173" s="53" t="s">
        <v>49</v>
      </c>
      <c r="E173" s="53" t="s">
        <v>50</v>
      </c>
      <c r="F173" s="53" t="s">
        <v>25</v>
      </c>
      <c r="G173" s="53" t="s">
        <v>25</v>
      </c>
      <c r="H173" s="53" t="s">
        <v>39</v>
      </c>
      <c r="I173" s="73">
        <v>44378</v>
      </c>
      <c r="J173" s="74">
        <f>EFEITO!$J$173*EFEITO!$Y$97</f>
        <v>0</v>
      </c>
      <c r="K173" s="74">
        <f ca="1">EFEITO!$L$173*EFEITO!$Z$97</f>
        <v>9125.7996150690706</v>
      </c>
      <c r="L173" s="74">
        <f>EFEITO!$N$173*EFEITO!$AA$97</f>
        <v>597.96140058638161</v>
      </c>
      <c r="M173" s="74">
        <f>$J$173-EFEITO!$K$173*EFEITO!$Y$173</f>
        <v>0</v>
      </c>
      <c r="N173" s="74">
        <f ca="1">$K$173-EFEITO!$M$173*EFEITO!$Z$173</f>
        <v>273.77398845207244</v>
      </c>
      <c r="O173" s="74">
        <f>$L$173-EFEITO!$O$173*EFEITO!$AA$173</f>
        <v>17.938842017591469</v>
      </c>
      <c r="P173" s="57"/>
      <c r="Q173" s="57"/>
      <c r="R173" s="57"/>
      <c r="S173" s="57"/>
      <c r="T173" s="57"/>
      <c r="U173" s="57"/>
      <c r="V173" s="57"/>
      <c r="W173" s="57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53" t="s">
        <v>21</v>
      </c>
      <c r="B174" s="53" t="s">
        <v>37</v>
      </c>
      <c r="C174" s="53" t="s">
        <v>38</v>
      </c>
      <c r="D174" s="53" t="s">
        <v>49</v>
      </c>
      <c r="E174" s="53" t="s">
        <v>50</v>
      </c>
      <c r="F174" s="53" t="s">
        <v>25</v>
      </c>
      <c r="G174" s="53" t="s">
        <v>25</v>
      </c>
      <c r="H174" s="53" t="s">
        <v>39</v>
      </c>
      <c r="I174" s="73">
        <v>44409</v>
      </c>
      <c r="J174" s="74">
        <f>EFEITO!$J$174*EFEITO!$Y$97</f>
        <v>0</v>
      </c>
      <c r="K174" s="74">
        <f ca="1">EFEITO!$L$174*EFEITO!$Z$97</f>
        <v>8292.9694510832323</v>
      </c>
      <c r="L174" s="74">
        <f>EFEITO!$N$174*EFEITO!$AA$97</f>
        <v>543.39080816561113</v>
      </c>
      <c r="M174" s="74">
        <f>$J$174-EFEITO!$K$174*EFEITO!$Y$174</f>
        <v>0</v>
      </c>
      <c r="N174" s="74">
        <f ca="1">$K$174-EFEITO!$M$174*EFEITO!$Z$174</f>
        <v>248.7890835324979</v>
      </c>
      <c r="O174" s="74">
        <f>$L$174-EFEITO!$O$174*EFEITO!$AA$174</f>
        <v>16.301724244968341</v>
      </c>
      <c r="P174" s="57"/>
      <c r="Q174" s="57"/>
      <c r="R174" s="57"/>
      <c r="S174" s="57"/>
      <c r="T174" s="57"/>
      <c r="U174" s="57"/>
      <c r="V174" s="57"/>
      <c r="W174" s="57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53" t="s">
        <v>21</v>
      </c>
      <c r="B175" s="53" t="s">
        <v>37</v>
      </c>
      <c r="C175" s="53" t="s">
        <v>38</v>
      </c>
      <c r="D175" s="53" t="s">
        <v>49</v>
      </c>
      <c r="E175" s="53" t="s">
        <v>50</v>
      </c>
      <c r="F175" s="53" t="s">
        <v>25</v>
      </c>
      <c r="G175" s="53" t="s">
        <v>25</v>
      </c>
      <c r="H175" s="53" t="s">
        <v>39</v>
      </c>
      <c r="I175" s="73">
        <v>44440</v>
      </c>
      <c r="J175" s="74">
        <f>EFEITO!$J$175*EFEITO!$Y$97</f>
        <v>0</v>
      </c>
      <c r="K175" s="74">
        <f ca="1">EFEITO!$L$175*EFEITO!$Z$97</f>
        <v>8398.9660174087021</v>
      </c>
      <c r="L175" s="74">
        <f>EFEITO!$N$175*EFEITO!$AA$97</f>
        <v>550.33615629189103</v>
      </c>
      <c r="M175" s="74">
        <f>$J$175-EFEITO!$K$175*EFEITO!$Y$175</f>
        <v>0</v>
      </c>
      <c r="N175" s="74">
        <f ca="1">$K$175-EFEITO!$M$175*EFEITO!$Z$175</f>
        <v>251.96898052226152</v>
      </c>
      <c r="O175" s="74">
        <f>$L$175-EFEITO!$O$175*EFEITO!$AA$175</f>
        <v>16.51008468875682</v>
      </c>
      <c r="P175" s="57"/>
      <c r="Q175" s="57"/>
      <c r="R175" s="57"/>
      <c r="S175" s="57"/>
      <c r="T175" s="57"/>
      <c r="U175" s="57"/>
      <c r="V175" s="57"/>
      <c r="W175" s="57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53" t="s">
        <v>21</v>
      </c>
      <c r="B176" s="53" t="s">
        <v>37</v>
      </c>
      <c r="C176" s="53" t="s">
        <v>38</v>
      </c>
      <c r="D176" s="53" t="s">
        <v>49</v>
      </c>
      <c r="E176" s="53" t="s">
        <v>50</v>
      </c>
      <c r="F176" s="53" t="s">
        <v>25</v>
      </c>
      <c r="G176" s="53" t="s">
        <v>25</v>
      </c>
      <c r="H176" s="53" t="s">
        <v>39</v>
      </c>
      <c r="I176" s="73">
        <v>44470</v>
      </c>
      <c r="J176" s="74">
        <f>EFEITO!$J$176*EFEITO!$Y$97</f>
        <v>0</v>
      </c>
      <c r="K176" s="74">
        <f ca="1">EFEITO!$L$176*EFEITO!$Z$97</f>
        <v>8035.5492185785188</v>
      </c>
      <c r="L176" s="74">
        <f>EFEITO!$N$176*EFEITO!$AA$97</f>
        <v>526.52353414464574</v>
      </c>
      <c r="M176" s="74">
        <f>$J$176-EFEITO!$K$176*EFEITO!$Y$176</f>
        <v>0</v>
      </c>
      <c r="N176" s="74">
        <f ca="1">$K$176-EFEITO!$M$176*EFEITO!$Z$176</f>
        <v>241.06647655735651</v>
      </c>
      <c r="O176" s="74">
        <f>$L$176-EFEITO!$O$176*EFEITO!$AA$176</f>
        <v>15.795706024339381</v>
      </c>
      <c r="P176" s="57"/>
      <c r="Q176" s="57"/>
      <c r="R176" s="57"/>
      <c r="S176" s="57"/>
      <c r="T176" s="57"/>
      <c r="U176" s="57"/>
      <c r="V176" s="57"/>
      <c r="W176" s="57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53" t="s">
        <v>21</v>
      </c>
      <c r="B177" s="53" t="s">
        <v>37</v>
      </c>
      <c r="C177" s="53" t="s">
        <v>38</v>
      </c>
      <c r="D177" s="53" t="s">
        <v>49</v>
      </c>
      <c r="E177" s="53" t="s">
        <v>50</v>
      </c>
      <c r="F177" s="53" t="s">
        <v>25</v>
      </c>
      <c r="G177" s="53" t="s">
        <v>25</v>
      </c>
      <c r="H177" s="53" t="s">
        <v>39</v>
      </c>
      <c r="I177" s="73">
        <v>44501</v>
      </c>
      <c r="J177" s="74">
        <f>EFEITO!$J$177*EFEITO!$Y$97</f>
        <v>0</v>
      </c>
      <c r="K177" s="74">
        <f ca="1">EFEITO!$L$177*EFEITO!$Z$97</f>
        <v>7414.712187243621</v>
      </c>
      <c r="L177" s="74">
        <f>EFEITO!$N$177*EFEITO!$AA$97</f>
        <v>485.84363797643505</v>
      </c>
      <c r="M177" s="74">
        <f>$J$177-EFEITO!$K$177*EFEITO!$Y$177</f>
        <v>0</v>
      </c>
      <c r="N177" s="74">
        <f ca="1">$K$177-EFEITO!$M$177*EFEITO!$Z$177</f>
        <v>222.4413656173092</v>
      </c>
      <c r="O177" s="74">
        <f>$L$177-EFEITO!$O$177*EFEITO!$AA$177</f>
        <v>14.57530913929304</v>
      </c>
      <c r="P177" s="57"/>
      <c r="Q177" s="57"/>
      <c r="R177" s="57"/>
      <c r="S177" s="57"/>
      <c r="T177" s="57"/>
      <c r="U177" s="57"/>
      <c r="V177" s="57"/>
      <c r="W177" s="57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53" t="s">
        <v>21</v>
      </c>
      <c r="B178" s="53" t="s">
        <v>37</v>
      </c>
      <c r="C178" s="53" t="s">
        <v>38</v>
      </c>
      <c r="D178" s="53" t="s">
        <v>49</v>
      </c>
      <c r="E178" s="53" t="s">
        <v>50</v>
      </c>
      <c r="F178" s="53" t="s">
        <v>25</v>
      </c>
      <c r="G178" s="53" t="s">
        <v>25</v>
      </c>
      <c r="H178" s="53" t="s">
        <v>39</v>
      </c>
      <c r="I178" s="73">
        <v>44531</v>
      </c>
      <c r="J178" s="74">
        <f>EFEITO!$J$178*EFEITO!$Y$97</f>
        <v>0</v>
      </c>
      <c r="K178" s="74">
        <f ca="1">EFEITO!$L$178*EFEITO!$Z$97</f>
        <v>8333.349095397698</v>
      </c>
      <c r="L178" s="74">
        <f>EFEITO!$N$178*EFEITO!$AA$97</f>
        <v>546.03665507086066</v>
      </c>
      <c r="M178" s="74">
        <f>$J$178-EFEITO!$K$178*EFEITO!$Y$178</f>
        <v>0</v>
      </c>
      <c r="N178" s="74">
        <f ca="1">$K$178-EFEITO!$M$178*EFEITO!$Z$178</f>
        <v>250.00047286193239</v>
      </c>
      <c r="O178" s="74">
        <f>$L$178-EFEITO!$O$178*EFEITO!$AA$178</f>
        <v>16.38109965212584</v>
      </c>
      <c r="P178" s="57"/>
      <c r="Q178" s="57"/>
      <c r="R178" s="57"/>
      <c r="S178" s="57"/>
      <c r="T178" s="57"/>
      <c r="U178" s="57"/>
      <c r="V178" s="57"/>
      <c r="W178" s="57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53" t="s">
        <v>21</v>
      </c>
      <c r="B179" s="53" t="s">
        <v>37</v>
      </c>
      <c r="C179" s="53" t="s">
        <v>38</v>
      </c>
      <c r="D179" s="53" t="s">
        <v>49</v>
      </c>
      <c r="E179" s="53" t="s">
        <v>50</v>
      </c>
      <c r="F179" s="53" t="s">
        <v>25</v>
      </c>
      <c r="G179" s="53" t="s">
        <v>25</v>
      </c>
      <c r="H179" s="53" t="s">
        <v>39</v>
      </c>
      <c r="I179" s="73">
        <v>44562</v>
      </c>
      <c r="J179" s="74">
        <f>EFEITO!$J$179*EFEITO!$Y$97</f>
        <v>0</v>
      </c>
      <c r="K179" s="74">
        <f ca="1">EFEITO!$L$179*EFEITO!$Z$97</f>
        <v>7974.9797521068213</v>
      </c>
      <c r="L179" s="74">
        <f>EFEITO!$N$179*EFEITO!$AA$97</f>
        <v>522.55476378677156</v>
      </c>
      <c r="M179" s="74">
        <f>$J$179-EFEITO!$K$179*EFEITO!$Y$179</f>
        <v>0</v>
      </c>
      <c r="N179" s="74">
        <f ca="1">$K$179-EFEITO!$M$179*EFEITO!$Z$179</f>
        <v>239.24939256320522</v>
      </c>
      <c r="O179" s="74">
        <f>$L$179-EFEITO!$O$179*EFEITO!$AA$179</f>
        <v>15.676642913603189</v>
      </c>
      <c r="P179" s="57"/>
      <c r="Q179" s="57"/>
      <c r="R179" s="57"/>
      <c r="S179" s="57"/>
      <c r="T179" s="57"/>
      <c r="U179" s="57"/>
      <c r="V179" s="57"/>
      <c r="W179" s="57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53" t="s">
        <v>21</v>
      </c>
      <c r="B180" s="53" t="s">
        <v>37</v>
      </c>
      <c r="C180" s="53" t="s">
        <v>38</v>
      </c>
      <c r="D180" s="53" t="s">
        <v>49</v>
      </c>
      <c r="E180" s="53" t="s">
        <v>50</v>
      </c>
      <c r="F180" s="53" t="s">
        <v>25</v>
      </c>
      <c r="G180" s="53" t="s">
        <v>25</v>
      </c>
      <c r="H180" s="53" t="s">
        <v>39</v>
      </c>
      <c r="I180" s="73">
        <v>44593</v>
      </c>
      <c r="J180" s="74">
        <f>EFEITO!$J$180*EFEITO!$Y$97</f>
        <v>0</v>
      </c>
      <c r="K180" s="74">
        <f ca="1">EFEITO!$L$180*EFEITO!$Z$97</f>
        <v>8146.5932404432979</v>
      </c>
      <c r="L180" s="74">
        <f>EFEITO!$N$180*EFEITO!$AA$97</f>
        <v>533.79961313408182</v>
      </c>
      <c r="M180" s="74">
        <f>$J$180-EFEITO!$K$180*EFEITO!$Y$180</f>
        <v>0</v>
      </c>
      <c r="N180" s="74">
        <f ca="1">$K$180-EFEITO!$M$180*EFEITO!$Z$180</f>
        <v>244.39779721329978</v>
      </c>
      <c r="O180" s="74">
        <f>$L$180-EFEITO!$O$180*EFEITO!$AA$180</f>
        <v>16.013988394022476</v>
      </c>
      <c r="P180" s="57"/>
      <c r="Q180" s="57"/>
      <c r="R180" s="57"/>
      <c r="S180" s="57"/>
      <c r="T180" s="57"/>
      <c r="U180" s="57"/>
      <c r="V180" s="57"/>
      <c r="W180" s="57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53" t="s">
        <v>21</v>
      </c>
      <c r="B181" s="53" t="s">
        <v>37</v>
      </c>
      <c r="C181" s="53" t="s">
        <v>38</v>
      </c>
      <c r="D181" s="53" t="s">
        <v>49</v>
      </c>
      <c r="E181" s="53" t="s">
        <v>50</v>
      </c>
      <c r="F181" s="53" t="s">
        <v>25</v>
      </c>
      <c r="G181" s="53" t="s">
        <v>25</v>
      </c>
      <c r="H181" s="53" t="s">
        <v>39</v>
      </c>
      <c r="I181" s="73">
        <v>44621</v>
      </c>
      <c r="J181" s="74">
        <f>EFEITO!$J$181*EFEITO!$Y$97</f>
        <v>0</v>
      </c>
      <c r="K181" s="74">
        <f ca="1">EFEITO!$L$181*EFEITO!$Z$97</f>
        <v>9206.5589036980018</v>
      </c>
      <c r="L181" s="74">
        <f>EFEITO!$N$181*EFEITO!$AA$97</f>
        <v>603.25309439688056</v>
      </c>
      <c r="M181" s="74">
        <f>$J$181-EFEITO!$K$181*EFEITO!$Y$181</f>
        <v>0</v>
      </c>
      <c r="N181" s="74">
        <f ca="1">$K$181-EFEITO!$M$181*EFEITO!$Z$181</f>
        <v>276.19676711094144</v>
      </c>
      <c r="O181" s="74">
        <f>$L$181-EFEITO!$O$181*EFEITO!$AA$181</f>
        <v>18.097592831906468</v>
      </c>
      <c r="P181" s="57"/>
      <c r="Q181" s="57"/>
      <c r="R181" s="57"/>
      <c r="S181" s="57"/>
      <c r="T181" s="57"/>
      <c r="U181" s="57"/>
      <c r="V181" s="57"/>
      <c r="W181" s="57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53" t="s">
        <v>21</v>
      </c>
      <c r="B182" s="53" t="s">
        <v>22</v>
      </c>
      <c r="C182" s="53" t="s">
        <v>33</v>
      </c>
      <c r="D182" s="53" t="s">
        <v>24</v>
      </c>
      <c r="E182" s="53" t="s">
        <v>24</v>
      </c>
      <c r="F182" s="53" t="s">
        <v>25</v>
      </c>
      <c r="G182" s="53" t="s">
        <v>25</v>
      </c>
      <c r="H182" s="53" t="s">
        <v>34</v>
      </c>
      <c r="I182" s="73">
        <v>44287</v>
      </c>
      <c r="J182" s="74">
        <f>EFEITO!$J$182*EFEITO!$Y$182</f>
        <v>0</v>
      </c>
      <c r="K182" s="74">
        <f ca="1">EFEITO!$L$182*EFEITO!$Z$182</f>
        <v>43.856200144851492</v>
      </c>
      <c r="L182" s="74">
        <f>EFEITO!$N$182*EFEITO!$AA$182</f>
        <v>23.812622147245282</v>
      </c>
      <c r="M182" s="74">
        <f>$J$182-EFEITO!$K$182*EFEITO!$Y$182</f>
        <v>0</v>
      </c>
      <c r="N182" s="74">
        <f ca="1">$K$182-EFEITO!$M$182*EFEITO!$Z$182</f>
        <v>0</v>
      </c>
      <c r="O182" s="74">
        <f>$L$182-EFEITO!$O$182*EFEITO!$AA$182</f>
        <v>0</v>
      </c>
      <c r="P182" s="57"/>
      <c r="Q182" s="57"/>
      <c r="R182" s="57"/>
      <c r="S182" s="57"/>
      <c r="T182" s="57"/>
      <c r="U182" s="57"/>
      <c r="V182" s="57"/>
      <c r="W182" s="57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53" t="s">
        <v>21</v>
      </c>
      <c r="B183" s="53" t="s">
        <v>22</v>
      </c>
      <c r="C183" s="53" t="s">
        <v>33</v>
      </c>
      <c r="D183" s="53" t="s">
        <v>24</v>
      </c>
      <c r="E183" s="53" t="s">
        <v>24</v>
      </c>
      <c r="F183" s="53" t="s">
        <v>25</v>
      </c>
      <c r="G183" s="53" t="s">
        <v>25</v>
      </c>
      <c r="H183" s="53" t="s">
        <v>34</v>
      </c>
      <c r="I183" s="73">
        <v>44317</v>
      </c>
      <c r="J183" s="74">
        <f>EFEITO!$J$183*EFEITO!$Y$183</f>
        <v>0</v>
      </c>
      <c r="K183" s="74">
        <f ca="1">EFEITO!$L$183*EFEITO!$Z$183</f>
        <v>43.856200144851492</v>
      </c>
      <c r="L183" s="74">
        <f>EFEITO!$N$183*EFEITO!$AA$183</f>
        <v>23.812622147245282</v>
      </c>
      <c r="M183" s="74">
        <f>$J$183-EFEITO!$K$183*EFEITO!$Y$183</f>
        <v>0</v>
      </c>
      <c r="N183" s="74">
        <f ca="1">$K$183-EFEITO!$M$183*EFEITO!$Z$183</f>
        <v>0</v>
      </c>
      <c r="O183" s="74">
        <f>$L$183-EFEITO!$O$183*EFEITO!$AA$183</f>
        <v>0</v>
      </c>
      <c r="P183" s="57"/>
      <c r="Q183" s="57"/>
      <c r="R183" s="57"/>
      <c r="S183" s="57"/>
      <c r="T183" s="57"/>
      <c r="U183" s="57"/>
      <c r="V183" s="57"/>
      <c r="W183" s="57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53" t="s">
        <v>21</v>
      </c>
      <c r="B184" s="53" t="s">
        <v>22</v>
      </c>
      <c r="C184" s="53" t="s">
        <v>33</v>
      </c>
      <c r="D184" s="53" t="s">
        <v>24</v>
      </c>
      <c r="E184" s="53" t="s">
        <v>24</v>
      </c>
      <c r="F184" s="53" t="s">
        <v>25</v>
      </c>
      <c r="G184" s="53" t="s">
        <v>25</v>
      </c>
      <c r="H184" s="53" t="s">
        <v>34</v>
      </c>
      <c r="I184" s="73">
        <v>44378</v>
      </c>
      <c r="J184" s="74">
        <f>EFEITO!$J$184*EFEITO!$Y$184</f>
        <v>0</v>
      </c>
      <c r="K184" s="74">
        <f ca="1">EFEITO!$L$184*EFEITO!$Z$184</f>
        <v>38.374175126745058</v>
      </c>
      <c r="L184" s="74">
        <f>EFEITO!$N$184*EFEITO!$AA$184</f>
        <v>20.836044378839624</v>
      </c>
      <c r="M184" s="74">
        <f>$J$184-EFEITO!$K$184*EFEITO!$Y$184</f>
        <v>0</v>
      </c>
      <c r="N184" s="74">
        <f ca="1">$K$184-EFEITO!$M$184*EFEITO!$Z$184</f>
        <v>0</v>
      </c>
      <c r="O184" s="74">
        <f>$L$184-EFEITO!$O$184*EFEITO!$AA$184</f>
        <v>0</v>
      </c>
      <c r="P184" s="57"/>
      <c r="Q184" s="57"/>
      <c r="R184" s="57"/>
      <c r="S184" s="57"/>
      <c r="T184" s="57"/>
      <c r="U184" s="57"/>
      <c r="V184" s="57"/>
      <c r="W184" s="57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53" t="s">
        <v>21</v>
      </c>
      <c r="B185" s="53" t="s">
        <v>22</v>
      </c>
      <c r="C185" s="53" t="s">
        <v>33</v>
      </c>
      <c r="D185" s="53" t="s">
        <v>24</v>
      </c>
      <c r="E185" s="53" t="s">
        <v>24</v>
      </c>
      <c r="F185" s="53" t="s">
        <v>25</v>
      </c>
      <c r="G185" s="53" t="s">
        <v>25</v>
      </c>
      <c r="H185" s="53" t="s">
        <v>34</v>
      </c>
      <c r="I185" s="73">
        <v>44409</v>
      </c>
      <c r="J185" s="74">
        <f>EFEITO!$J$185*EFEITO!$Y$185</f>
        <v>0</v>
      </c>
      <c r="K185" s="74">
        <f ca="1">EFEITO!$L$185*EFEITO!$Z$185</f>
        <v>43.856200144851492</v>
      </c>
      <c r="L185" s="74">
        <f>EFEITO!$N$185*EFEITO!$AA$185</f>
        <v>23.812622147245282</v>
      </c>
      <c r="M185" s="74">
        <f>$J$185-EFEITO!$K$185*EFEITO!$Y$185</f>
        <v>0</v>
      </c>
      <c r="N185" s="74">
        <f ca="1">$K$185-EFEITO!$M$185*EFEITO!$Z$185</f>
        <v>0</v>
      </c>
      <c r="O185" s="74">
        <f>$L$185-EFEITO!$O$185*EFEITO!$AA$185</f>
        <v>0</v>
      </c>
      <c r="P185" s="57"/>
      <c r="Q185" s="57"/>
      <c r="R185" s="57"/>
      <c r="S185" s="57"/>
      <c r="T185" s="57"/>
      <c r="U185" s="57"/>
      <c r="V185" s="57"/>
      <c r="W185" s="57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53" t="s">
        <v>21</v>
      </c>
      <c r="B186" s="53" t="s">
        <v>22</v>
      </c>
      <c r="C186" s="53" t="s">
        <v>33</v>
      </c>
      <c r="D186" s="53" t="s">
        <v>24</v>
      </c>
      <c r="E186" s="53" t="s">
        <v>24</v>
      </c>
      <c r="F186" s="53" t="s">
        <v>25</v>
      </c>
      <c r="G186" s="53" t="s">
        <v>25</v>
      </c>
      <c r="H186" s="53" t="s">
        <v>34</v>
      </c>
      <c r="I186" s="73">
        <v>44440</v>
      </c>
      <c r="J186" s="74">
        <f>EFEITO!$J$186*EFEITO!$Y$186</f>
        <v>0</v>
      </c>
      <c r="K186" s="74">
        <f ca="1">EFEITO!$L$186*EFEITO!$Z$186</f>
        <v>43.856200144851492</v>
      </c>
      <c r="L186" s="74">
        <f>EFEITO!$N$186*EFEITO!$AA$186</f>
        <v>23.812622147245282</v>
      </c>
      <c r="M186" s="74">
        <f>$J$186-EFEITO!$K$186*EFEITO!$Y$186</f>
        <v>0</v>
      </c>
      <c r="N186" s="74">
        <f ca="1">$K$186-EFEITO!$M$186*EFEITO!$Z$186</f>
        <v>0</v>
      </c>
      <c r="O186" s="74">
        <f>$L$186-EFEITO!$O$186*EFEITO!$AA$186</f>
        <v>0</v>
      </c>
      <c r="P186" s="57"/>
      <c r="Q186" s="57"/>
      <c r="R186" s="57"/>
      <c r="S186" s="57"/>
      <c r="T186" s="57"/>
      <c r="U186" s="57"/>
      <c r="V186" s="57"/>
      <c r="W186" s="57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53" t="s">
        <v>21</v>
      </c>
      <c r="B187" s="53" t="s">
        <v>22</v>
      </c>
      <c r="C187" s="53" t="s">
        <v>33</v>
      </c>
      <c r="D187" s="53" t="s">
        <v>24</v>
      </c>
      <c r="E187" s="53" t="s">
        <v>24</v>
      </c>
      <c r="F187" s="53" t="s">
        <v>25</v>
      </c>
      <c r="G187" s="53" t="s">
        <v>25</v>
      </c>
      <c r="H187" s="53" t="s">
        <v>34</v>
      </c>
      <c r="I187" s="73">
        <v>44470</v>
      </c>
      <c r="J187" s="74">
        <f>EFEITO!$J$187*EFEITO!$Y$187</f>
        <v>0</v>
      </c>
      <c r="K187" s="74">
        <f ca="1">EFEITO!$L$187*EFEITO!$Z$187</f>
        <v>43.856200144851492</v>
      </c>
      <c r="L187" s="74">
        <f>EFEITO!$N$187*EFEITO!$AA$187</f>
        <v>23.812622147245282</v>
      </c>
      <c r="M187" s="74">
        <f>$J$187-EFEITO!$K$187*EFEITO!$Y$187</f>
        <v>0</v>
      </c>
      <c r="N187" s="74">
        <f ca="1">$K$187-EFEITO!$M$187*EFEITO!$Z$187</f>
        <v>0</v>
      </c>
      <c r="O187" s="74">
        <f>$L$187-EFEITO!$O$187*EFEITO!$AA$187</f>
        <v>0</v>
      </c>
      <c r="P187" s="57"/>
      <c r="Q187" s="57"/>
      <c r="R187" s="57"/>
      <c r="S187" s="57"/>
      <c r="T187" s="57"/>
      <c r="U187" s="57"/>
      <c r="V187" s="57"/>
      <c r="W187" s="57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53" t="s">
        <v>21</v>
      </c>
      <c r="B188" s="53" t="s">
        <v>22</v>
      </c>
      <c r="C188" s="53" t="s">
        <v>33</v>
      </c>
      <c r="D188" s="53" t="s">
        <v>24</v>
      </c>
      <c r="E188" s="53" t="s">
        <v>24</v>
      </c>
      <c r="F188" s="53" t="s">
        <v>25</v>
      </c>
      <c r="G188" s="53" t="s">
        <v>25</v>
      </c>
      <c r="H188" s="53" t="s">
        <v>34</v>
      </c>
      <c r="I188" s="73">
        <v>44501</v>
      </c>
      <c r="J188" s="74">
        <f>EFEITO!$J$188*EFEITO!$Y$188</f>
        <v>0</v>
      </c>
      <c r="K188" s="74">
        <f ca="1">EFEITO!$L$188*EFEITO!$Z$188</f>
        <v>43.856200144851492</v>
      </c>
      <c r="L188" s="74">
        <f>EFEITO!$N$188*EFEITO!$AA$188</f>
        <v>23.812622147245282</v>
      </c>
      <c r="M188" s="74">
        <f>$J$188-EFEITO!$K$188*EFEITO!$Y$188</f>
        <v>0</v>
      </c>
      <c r="N188" s="74">
        <f ca="1">$K$188-EFEITO!$M$188*EFEITO!$Z$188</f>
        <v>0</v>
      </c>
      <c r="O188" s="74">
        <f>$L$188-EFEITO!$O$188*EFEITO!$AA$188</f>
        <v>0</v>
      </c>
      <c r="P188" s="57"/>
      <c r="Q188" s="57"/>
      <c r="R188" s="57"/>
      <c r="S188" s="57"/>
      <c r="T188" s="57"/>
      <c r="U188" s="57"/>
      <c r="V188" s="57"/>
      <c r="W188" s="57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53" t="s">
        <v>21</v>
      </c>
      <c r="B189" s="53" t="s">
        <v>22</v>
      </c>
      <c r="C189" s="53" t="s">
        <v>33</v>
      </c>
      <c r="D189" s="53" t="s">
        <v>24</v>
      </c>
      <c r="E189" s="53" t="s">
        <v>24</v>
      </c>
      <c r="F189" s="53" t="s">
        <v>25</v>
      </c>
      <c r="G189" s="53" t="s">
        <v>25</v>
      </c>
      <c r="H189" s="53" t="s">
        <v>34</v>
      </c>
      <c r="I189" s="73">
        <v>44531</v>
      </c>
      <c r="J189" s="74">
        <f>EFEITO!$J$189*EFEITO!$Y$189</f>
        <v>0</v>
      </c>
      <c r="K189" s="74">
        <f ca="1">EFEITO!$L$189*EFEITO!$Z$189</f>
        <v>43.856200144851492</v>
      </c>
      <c r="L189" s="74">
        <f>EFEITO!$N$189*EFEITO!$AA$189</f>
        <v>23.812622147245282</v>
      </c>
      <c r="M189" s="74">
        <f>$J$189-EFEITO!$K$189*EFEITO!$Y$189</f>
        <v>0</v>
      </c>
      <c r="N189" s="74">
        <f ca="1">$K$189-EFEITO!$M$189*EFEITO!$Z$189</f>
        <v>0</v>
      </c>
      <c r="O189" s="74">
        <f>$L$189-EFEITO!$O$189*EFEITO!$AA$189</f>
        <v>0</v>
      </c>
      <c r="P189" s="57"/>
      <c r="Q189" s="57"/>
      <c r="R189" s="57"/>
      <c r="S189" s="57"/>
      <c r="T189" s="57"/>
      <c r="U189" s="57"/>
      <c r="V189" s="57"/>
      <c r="W189" s="57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53" t="s">
        <v>21</v>
      </c>
      <c r="B190" s="53" t="s">
        <v>22</v>
      </c>
      <c r="C190" s="53" t="s">
        <v>33</v>
      </c>
      <c r="D190" s="53" t="s">
        <v>24</v>
      </c>
      <c r="E190" s="53" t="s">
        <v>24</v>
      </c>
      <c r="F190" s="53" t="s">
        <v>25</v>
      </c>
      <c r="G190" s="53" t="s">
        <v>25</v>
      </c>
      <c r="H190" s="53" t="s">
        <v>34</v>
      </c>
      <c r="I190" s="73">
        <v>44562</v>
      </c>
      <c r="J190" s="74">
        <f>EFEITO!$J$190*EFEITO!$Y$190</f>
        <v>0</v>
      </c>
      <c r="K190" s="74">
        <f ca="1">EFEITO!$L$190*EFEITO!$Z$190</f>
        <v>43.856200144851492</v>
      </c>
      <c r="L190" s="74">
        <f>EFEITO!$N$190*EFEITO!$AA$190</f>
        <v>23.812622147245282</v>
      </c>
      <c r="M190" s="74">
        <f>$J$190-EFEITO!$K$190*EFEITO!$Y$190</f>
        <v>0</v>
      </c>
      <c r="N190" s="74">
        <f ca="1">$K$190-EFEITO!$M$190*EFEITO!$Z$190</f>
        <v>0</v>
      </c>
      <c r="O190" s="74">
        <f>$L$190-EFEITO!$O$190*EFEITO!$AA$190</f>
        <v>0</v>
      </c>
      <c r="P190" s="57"/>
      <c r="Q190" s="57"/>
      <c r="R190" s="57"/>
      <c r="S190" s="57"/>
      <c r="T190" s="57"/>
      <c r="U190" s="57"/>
      <c r="V190" s="57"/>
      <c r="W190" s="57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53" t="s">
        <v>21</v>
      </c>
      <c r="B191" s="53" t="s">
        <v>22</v>
      </c>
      <c r="C191" s="53" t="s">
        <v>33</v>
      </c>
      <c r="D191" s="53" t="s">
        <v>24</v>
      </c>
      <c r="E191" s="53" t="s">
        <v>24</v>
      </c>
      <c r="F191" s="53" t="s">
        <v>25</v>
      </c>
      <c r="G191" s="53" t="s">
        <v>25</v>
      </c>
      <c r="H191" s="53" t="s">
        <v>34</v>
      </c>
      <c r="I191" s="73">
        <v>44593</v>
      </c>
      <c r="J191" s="74">
        <f>EFEITO!$J$191*EFEITO!$Y$191</f>
        <v>0</v>
      </c>
      <c r="K191" s="74">
        <f ca="1">EFEITO!$L$191*EFEITO!$Z$191</f>
        <v>43.856200144851492</v>
      </c>
      <c r="L191" s="74">
        <f>EFEITO!$N$191*EFEITO!$AA$191</f>
        <v>23.812622147245282</v>
      </c>
      <c r="M191" s="74">
        <f>$J$191-EFEITO!$K$191*EFEITO!$Y$191</f>
        <v>0</v>
      </c>
      <c r="N191" s="74">
        <f ca="1">$K$191-EFEITO!$M$191*EFEITO!$Z$191</f>
        <v>0</v>
      </c>
      <c r="O191" s="74">
        <f>$L$191-EFEITO!$O$191*EFEITO!$AA$191</f>
        <v>0</v>
      </c>
      <c r="P191" s="57"/>
      <c r="Q191" s="57"/>
      <c r="R191" s="57"/>
      <c r="S191" s="57"/>
      <c r="T191" s="57"/>
      <c r="U191" s="57"/>
      <c r="V191" s="57"/>
      <c r="W191" s="57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53" t="s">
        <v>21</v>
      </c>
      <c r="B192" s="53" t="s">
        <v>22</v>
      </c>
      <c r="C192" s="53" t="s">
        <v>33</v>
      </c>
      <c r="D192" s="53" t="s">
        <v>24</v>
      </c>
      <c r="E192" s="53" t="s">
        <v>24</v>
      </c>
      <c r="F192" s="53" t="s">
        <v>25</v>
      </c>
      <c r="G192" s="53" t="s">
        <v>25</v>
      </c>
      <c r="H192" s="53" t="s">
        <v>39</v>
      </c>
      <c r="I192" s="73">
        <v>44348</v>
      </c>
      <c r="J192" s="74">
        <f>EFEITO!$J$192*EFEITO!$Y$192</f>
        <v>0</v>
      </c>
      <c r="K192" s="74">
        <f ca="1">EFEITO!$L$192*EFEITO!$Z$192</f>
        <v>66.089213159904048</v>
      </c>
      <c r="L192" s="74">
        <f>EFEITO!$N$192*EFEITO!$AA$192</f>
        <v>9.2604641683731668</v>
      </c>
      <c r="M192" s="74">
        <f>$J$192-EFEITO!$K$192*EFEITO!$Y$192</f>
        <v>0</v>
      </c>
      <c r="N192" s="74">
        <f ca="1">$K$192-EFEITO!$M$192*EFEITO!$Z$192</f>
        <v>0</v>
      </c>
      <c r="O192" s="74">
        <f>$L$192-EFEITO!$O$192*EFEITO!$AA$192</f>
        <v>0</v>
      </c>
      <c r="P192" s="57"/>
      <c r="Q192" s="57"/>
      <c r="R192" s="57"/>
      <c r="S192" s="57"/>
      <c r="T192" s="57"/>
      <c r="U192" s="57"/>
      <c r="V192" s="57"/>
      <c r="W192" s="57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53" t="s">
        <v>21</v>
      </c>
      <c r="B193" s="53" t="s">
        <v>22</v>
      </c>
      <c r="C193" s="53" t="s">
        <v>33</v>
      </c>
      <c r="D193" s="53" t="s">
        <v>24</v>
      </c>
      <c r="E193" s="53" t="s">
        <v>24</v>
      </c>
      <c r="F193" s="53" t="s">
        <v>25</v>
      </c>
      <c r="G193" s="53" t="s">
        <v>25</v>
      </c>
      <c r="H193" s="53" t="s">
        <v>39</v>
      </c>
      <c r="I193" s="73">
        <v>44378</v>
      </c>
      <c r="J193" s="74">
        <f>EFEITO!$J$193*EFEITO!$Y$193</f>
        <v>0</v>
      </c>
      <c r="K193" s="74">
        <f ca="1">EFEITO!$L$193*EFEITO!$Z$193</f>
        <v>7.0809871242754339</v>
      </c>
      <c r="L193" s="74">
        <f>EFEITO!$N$193*EFEITO!$AA$193</f>
        <v>0.9921925894685536</v>
      </c>
      <c r="M193" s="74">
        <f>$J$193-EFEITO!$K$193*EFEITO!$Y$193</f>
        <v>0</v>
      </c>
      <c r="N193" s="74">
        <f ca="1">$K$193-EFEITO!$M$193*EFEITO!$Z$193</f>
        <v>0</v>
      </c>
      <c r="O193" s="74">
        <f>$L$193-EFEITO!$O$193*EFEITO!$AA$193</f>
        <v>0</v>
      </c>
      <c r="P193" s="57"/>
      <c r="Q193" s="57"/>
      <c r="R193" s="57"/>
      <c r="S193" s="57"/>
      <c r="T193" s="57"/>
      <c r="U193" s="57"/>
      <c r="V193" s="57"/>
      <c r="W193" s="57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53" t="s">
        <v>21</v>
      </c>
      <c r="B194" s="53" t="s">
        <v>22</v>
      </c>
      <c r="C194" s="53" t="s">
        <v>23</v>
      </c>
      <c r="D194" s="53" t="s">
        <v>24</v>
      </c>
      <c r="E194" s="53" t="s">
        <v>24</v>
      </c>
      <c r="F194" s="53" t="s">
        <v>25</v>
      </c>
      <c r="G194" s="53" t="s">
        <v>25</v>
      </c>
      <c r="H194" s="53" t="s">
        <v>25</v>
      </c>
      <c r="I194" s="73">
        <v>44287</v>
      </c>
      <c r="J194" s="74">
        <f>EFEITO!$J$194*EFEITO!$Y$194</f>
        <v>0</v>
      </c>
      <c r="K194" s="74">
        <f ca="1">EFEITO!$L$194*EFEITO!$Z$194</f>
        <v>946081.63223226473</v>
      </c>
      <c r="L194" s="74">
        <f>EFEITO!$N$194*EFEITO!$AA$194</f>
        <v>318615.19944618398</v>
      </c>
      <c r="M194" s="74">
        <f>$J$194-EFEITO!$K$194*EFEITO!$Y$194</f>
        <v>0</v>
      </c>
      <c r="N194" s="74">
        <f ca="1">$K$194-EFEITO!$M$194*EFEITO!$Z$194</f>
        <v>0</v>
      </c>
      <c r="O194" s="74">
        <f>$L$194-EFEITO!$O$194*EFEITO!$AA$194</f>
        <v>0</v>
      </c>
      <c r="P194" s="57"/>
      <c r="Q194" s="57"/>
      <c r="R194" s="57"/>
      <c r="S194" s="57"/>
      <c r="T194" s="57"/>
      <c r="U194" s="57"/>
      <c r="V194" s="57"/>
      <c r="W194" s="57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53" t="s">
        <v>27</v>
      </c>
      <c r="B195" s="53" t="s">
        <v>22</v>
      </c>
      <c r="C195" s="53" t="s">
        <v>23</v>
      </c>
      <c r="D195" s="53" t="s">
        <v>24</v>
      </c>
      <c r="E195" s="53" t="s">
        <v>24</v>
      </c>
      <c r="F195" s="53" t="s">
        <v>25</v>
      </c>
      <c r="G195" s="53" t="s">
        <v>25</v>
      </c>
      <c r="H195" s="53" t="s">
        <v>25</v>
      </c>
      <c r="I195" s="73">
        <v>44287</v>
      </c>
      <c r="J195" s="74">
        <f>EFEITO!$J$195*EFEITO!$Y$195</f>
        <v>0</v>
      </c>
      <c r="K195" s="74">
        <f ca="1">EFEITO!$L$195*EFEITO!$Z$195</f>
        <v>-1037.052549690068</v>
      </c>
      <c r="L195" s="74">
        <f>EFEITO!$N$195*EFEITO!$AA$195</f>
        <v>-349.25179149293086</v>
      </c>
      <c r="M195" s="74">
        <f>$J$195-EFEITO!$K$195*EFEITO!$Y$195</f>
        <v>0</v>
      </c>
      <c r="N195" s="74">
        <f ca="1">$K$195-EFEITO!$M$195*EFEITO!$Z$195</f>
        <v>0</v>
      </c>
      <c r="O195" s="74">
        <f>$L$195-EFEITO!$O$195*EFEITO!$AA$195</f>
        <v>0</v>
      </c>
      <c r="P195" s="57"/>
      <c r="Q195" s="57"/>
      <c r="R195" s="57"/>
      <c r="S195" s="57"/>
      <c r="T195" s="57"/>
      <c r="U195" s="57"/>
      <c r="V195" s="57"/>
      <c r="W195" s="57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53" t="s">
        <v>28</v>
      </c>
      <c r="B196" s="53" t="s">
        <v>22</v>
      </c>
      <c r="C196" s="53" t="s">
        <v>23</v>
      </c>
      <c r="D196" s="53" t="s">
        <v>24</v>
      </c>
      <c r="E196" s="53" t="s">
        <v>24</v>
      </c>
      <c r="F196" s="53" t="s">
        <v>25</v>
      </c>
      <c r="G196" s="53" t="s">
        <v>25</v>
      </c>
      <c r="H196" s="53" t="s">
        <v>25</v>
      </c>
      <c r="I196" s="73">
        <v>44287</v>
      </c>
      <c r="J196" s="74">
        <f>EFEITO!$J$196*EFEITO!$Y$196</f>
        <v>0</v>
      </c>
      <c r="K196" s="74">
        <f ca="1">EFEITO!$L$196*EFEITO!$Z$196</f>
        <v>3947.8705016610534</v>
      </c>
      <c r="L196" s="74">
        <f>EFEITO!$N$196*EFEITO!$AA$196</f>
        <v>1329.5380698878616</v>
      </c>
      <c r="M196" s="74">
        <f>$J$196-EFEITO!$K$196*EFEITO!$Y$196</f>
        <v>0</v>
      </c>
      <c r="N196" s="74">
        <f ca="1">$K$196-EFEITO!$M$196*EFEITO!$Z$196</f>
        <v>0</v>
      </c>
      <c r="O196" s="74">
        <f>$L$196-EFEITO!$O$196*EFEITO!$AA$196</f>
        <v>0</v>
      </c>
      <c r="P196" s="57"/>
      <c r="Q196" s="57"/>
      <c r="R196" s="57"/>
      <c r="S196" s="57"/>
      <c r="T196" s="57"/>
      <c r="U196" s="57"/>
      <c r="V196" s="57"/>
      <c r="W196" s="57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53" t="s">
        <v>21</v>
      </c>
      <c r="B197" s="53" t="s">
        <v>22</v>
      </c>
      <c r="C197" s="53" t="s">
        <v>23</v>
      </c>
      <c r="D197" s="53" t="s">
        <v>24</v>
      </c>
      <c r="E197" s="53" t="s">
        <v>24</v>
      </c>
      <c r="F197" s="53" t="s">
        <v>25</v>
      </c>
      <c r="G197" s="53" t="s">
        <v>25</v>
      </c>
      <c r="H197" s="53" t="s">
        <v>25</v>
      </c>
      <c r="I197" s="73">
        <v>44317</v>
      </c>
      <c r="J197" s="74">
        <f>EFEITO!$J$197*EFEITO!$Y$197</f>
        <v>0</v>
      </c>
      <c r="K197" s="74">
        <f ca="1">EFEITO!$L$197*EFEITO!$Z$197</f>
        <v>744501.59671424166</v>
      </c>
      <c r="L197" s="74">
        <f>EFEITO!$N$197*EFEITO!$AA$197</f>
        <v>250728.39028215612</v>
      </c>
      <c r="M197" s="74">
        <f>$J$197-EFEITO!$K$197*EFEITO!$Y$197</f>
        <v>0</v>
      </c>
      <c r="N197" s="74">
        <f ca="1">$K$197-EFEITO!$M$197*EFEITO!$Z$197</f>
        <v>0</v>
      </c>
      <c r="O197" s="74">
        <f>$L$197-EFEITO!$O$197*EFEITO!$AA$197</f>
        <v>0</v>
      </c>
      <c r="P197" s="57"/>
      <c r="Q197" s="57"/>
      <c r="R197" s="57"/>
      <c r="S197" s="57"/>
      <c r="T197" s="57"/>
      <c r="U197" s="57"/>
      <c r="V197" s="57"/>
      <c r="W197" s="57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53" t="s">
        <v>27</v>
      </c>
      <c r="B198" s="53" t="s">
        <v>22</v>
      </c>
      <c r="C198" s="53" t="s">
        <v>23</v>
      </c>
      <c r="D198" s="53" t="s">
        <v>24</v>
      </c>
      <c r="E198" s="53" t="s">
        <v>24</v>
      </c>
      <c r="F198" s="53" t="s">
        <v>25</v>
      </c>
      <c r="G198" s="53" t="s">
        <v>25</v>
      </c>
      <c r="H198" s="53" t="s">
        <v>25</v>
      </c>
      <c r="I198" s="73">
        <v>44317</v>
      </c>
      <c r="J198" s="74">
        <f>EFEITO!$J$198*EFEITO!$Y$198</f>
        <v>0</v>
      </c>
      <c r="K198" s="74">
        <f ca="1">EFEITO!$L$198*EFEITO!$Z$198</f>
        <v>-10935.20846666563</v>
      </c>
      <c r="L198" s="74">
        <f>EFEITO!$N$198*EFEITO!$AA$198</f>
        <v>-3682.6881612441143</v>
      </c>
      <c r="M198" s="74">
        <f>$J$198-EFEITO!$K$198*EFEITO!$Y$198</f>
        <v>0</v>
      </c>
      <c r="N198" s="74">
        <f ca="1">$K$198-EFEITO!$M$198*EFEITO!$Z$198</f>
        <v>0</v>
      </c>
      <c r="O198" s="74">
        <f>$L$198-EFEITO!$O$198*EFEITO!$AA$198</f>
        <v>0</v>
      </c>
      <c r="P198" s="57"/>
      <c r="Q198" s="57"/>
      <c r="R198" s="57"/>
      <c r="S198" s="57"/>
      <c r="T198" s="57"/>
      <c r="U198" s="57"/>
      <c r="V198" s="57"/>
      <c r="W198" s="57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53" t="s">
        <v>28</v>
      </c>
      <c r="B199" s="53" t="s">
        <v>22</v>
      </c>
      <c r="C199" s="53" t="s">
        <v>23</v>
      </c>
      <c r="D199" s="53" t="s">
        <v>24</v>
      </c>
      <c r="E199" s="53" t="s">
        <v>24</v>
      </c>
      <c r="F199" s="53" t="s">
        <v>25</v>
      </c>
      <c r="G199" s="53" t="s">
        <v>25</v>
      </c>
      <c r="H199" s="53" t="s">
        <v>25</v>
      </c>
      <c r="I199" s="73">
        <v>44317</v>
      </c>
      <c r="J199" s="74">
        <f>EFEITO!$J$199*EFEITO!$Y$199</f>
        <v>0</v>
      </c>
      <c r="K199" s="74">
        <f ca="1">EFEITO!$L$199*EFEITO!$Z$199</f>
        <v>3675.8406188351551</v>
      </c>
      <c r="L199" s="74">
        <f>EFEITO!$N$199*EFEITO!$AA$199</f>
        <v>1237.9256207935987</v>
      </c>
      <c r="M199" s="74">
        <f>$J$199-EFEITO!$K$199*EFEITO!$Y$199</f>
        <v>0</v>
      </c>
      <c r="N199" s="74">
        <f ca="1">$K$199-EFEITO!$M$199*EFEITO!$Z$199</f>
        <v>0</v>
      </c>
      <c r="O199" s="74">
        <f>$L$199-EFEITO!$O$199*EFEITO!$AA$199</f>
        <v>0</v>
      </c>
      <c r="P199" s="57"/>
      <c r="Q199" s="57"/>
      <c r="R199" s="57"/>
      <c r="S199" s="57"/>
      <c r="T199" s="57"/>
      <c r="U199" s="57"/>
      <c r="V199" s="57"/>
      <c r="W199" s="57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53" t="s">
        <v>21</v>
      </c>
      <c r="B200" s="53" t="s">
        <v>22</v>
      </c>
      <c r="C200" s="53" t="s">
        <v>23</v>
      </c>
      <c r="D200" s="53" t="s">
        <v>24</v>
      </c>
      <c r="E200" s="53" t="s">
        <v>24</v>
      </c>
      <c r="F200" s="53" t="s">
        <v>25</v>
      </c>
      <c r="G200" s="53" t="s">
        <v>25</v>
      </c>
      <c r="H200" s="53" t="s">
        <v>25</v>
      </c>
      <c r="I200" s="73">
        <v>44348</v>
      </c>
      <c r="J200" s="74">
        <f>EFEITO!$J$200*EFEITO!$Y$200</f>
        <v>0</v>
      </c>
      <c r="K200" s="74">
        <f ca="1">EFEITO!$L$200*EFEITO!$Z$200</f>
        <v>881782.41003680311</v>
      </c>
      <c r="L200" s="74">
        <f>EFEITO!$N$200*EFEITO!$AA$200</f>
        <v>296960.92691189598</v>
      </c>
      <c r="M200" s="74">
        <f>$J$200-EFEITO!$K$200*EFEITO!$Y$200</f>
        <v>0</v>
      </c>
      <c r="N200" s="74">
        <f ca="1">$K$200-EFEITO!$M$200*EFEITO!$Z$200</f>
        <v>0</v>
      </c>
      <c r="O200" s="74">
        <f>$L$200-EFEITO!$O$200*EFEITO!$AA$200</f>
        <v>0</v>
      </c>
      <c r="P200" s="57"/>
      <c r="Q200" s="57"/>
      <c r="R200" s="57"/>
      <c r="S200" s="57"/>
      <c r="T200" s="57"/>
      <c r="U200" s="57"/>
      <c r="V200" s="57"/>
      <c r="W200" s="57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53" t="s">
        <v>27</v>
      </c>
      <c r="B201" s="53" t="s">
        <v>22</v>
      </c>
      <c r="C201" s="53" t="s">
        <v>23</v>
      </c>
      <c r="D201" s="53" t="s">
        <v>24</v>
      </c>
      <c r="E201" s="53" t="s">
        <v>24</v>
      </c>
      <c r="F201" s="53" t="s">
        <v>25</v>
      </c>
      <c r="G201" s="53" t="s">
        <v>25</v>
      </c>
      <c r="H201" s="53" t="s">
        <v>25</v>
      </c>
      <c r="I201" s="73">
        <v>44348</v>
      </c>
      <c r="J201" s="74">
        <f>EFEITO!$J$201*EFEITO!$Y$201</f>
        <v>0</v>
      </c>
      <c r="K201" s="74">
        <f ca="1">EFEITO!$L$201*EFEITO!$Z$201</f>
        <v>-98314.742236763617</v>
      </c>
      <c r="L201" s="74">
        <f>EFEITO!$N$201*EFEITO!$AA$201</f>
        <v>-33109.797441428789</v>
      </c>
      <c r="M201" s="74">
        <f>$J$201-EFEITO!$K$201*EFEITO!$Y$201</f>
        <v>0</v>
      </c>
      <c r="N201" s="74">
        <f ca="1">$K$201-EFEITO!$M$201*EFEITO!$Z$201</f>
        <v>0</v>
      </c>
      <c r="O201" s="74">
        <f>$L$201-EFEITO!$O$201*EFEITO!$AA$201</f>
        <v>0</v>
      </c>
      <c r="P201" s="57"/>
      <c r="Q201" s="57"/>
      <c r="R201" s="57"/>
      <c r="S201" s="57"/>
      <c r="T201" s="57"/>
      <c r="U201" s="57"/>
      <c r="V201" s="57"/>
      <c r="W201" s="57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53" t="s">
        <v>28</v>
      </c>
      <c r="B202" s="53" t="s">
        <v>22</v>
      </c>
      <c r="C202" s="53" t="s">
        <v>23</v>
      </c>
      <c r="D202" s="53" t="s">
        <v>24</v>
      </c>
      <c r="E202" s="53" t="s">
        <v>24</v>
      </c>
      <c r="F202" s="53" t="s">
        <v>25</v>
      </c>
      <c r="G202" s="53" t="s">
        <v>25</v>
      </c>
      <c r="H202" s="53" t="s">
        <v>25</v>
      </c>
      <c r="I202" s="73">
        <v>44348</v>
      </c>
      <c r="J202" s="74">
        <f>EFEITO!$J$202*EFEITO!$Y$202</f>
        <v>0</v>
      </c>
      <c r="K202" s="74">
        <f ca="1">EFEITO!$L$202*EFEITO!$Z$202</f>
        <v>4569.5127970718613</v>
      </c>
      <c r="L202" s="74">
        <f>EFEITO!$N$202*EFEITO!$AA$202</f>
        <v>1538.8907062657263</v>
      </c>
      <c r="M202" s="74">
        <f>$J$202-EFEITO!$K$202*EFEITO!$Y$202</f>
        <v>0</v>
      </c>
      <c r="N202" s="74">
        <f ca="1">$K$202-EFEITO!$M$202*EFEITO!$Z$202</f>
        <v>0</v>
      </c>
      <c r="O202" s="74">
        <f>$L$202-EFEITO!$O$202*EFEITO!$AA$202</f>
        <v>0</v>
      </c>
      <c r="P202" s="57"/>
      <c r="Q202" s="57"/>
      <c r="R202" s="57"/>
      <c r="S202" s="57"/>
      <c r="T202" s="57"/>
      <c r="U202" s="57"/>
      <c r="V202" s="57"/>
      <c r="W202" s="57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53" t="s">
        <v>21</v>
      </c>
      <c r="B203" s="53" t="s">
        <v>22</v>
      </c>
      <c r="C203" s="53" t="s">
        <v>23</v>
      </c>
      <c r="D203" s="53" t="s">
        <v>24</v>
      </c>
      <c r="E203" s="53" t="s">
        <v>24</v>
      </c>
      <c r="F203" s="53" t="s">
        <v>25</v>
      </c>
      <c r="G203" s="53" t="s">
        <v>25</v>
      </c>
      <c r="H203" s="53" t="s">
        <v>25</v>
      </c>
      <c r="I203" s="73">
        <v>44378</v>
      </c>
      <c r="J203" s="74">
        <f>EFEITO!$J$203*EFEITO!$Y$203</f>
        <v>0</v>
      </c>
      <c r="K203" s="74">
        <f ca="1">EFEITO!$L$203*EFEITO!$Z$203</f>
        <v>667824.52382153226</v>
      </c>
      <c r="L203" s="74">
        <f>EFEITO!$N$203*EFEITO!$AA$203</f>
        <v>224905.58594864752</v>
      </c>
      <c r="M203" s="74">
        <f>$J$203-EFEITO!$K$203*EFEITO!$Y$203</f>
        <v>0</v>
      </c>
      <c r="N203" s="74">
        <f ca="1">$K$203-EFEITO!$M$203*EFEITO!$Z$203</f>
        <v>0</v>
      </c>
      <c r="O203" s="74">
        <f>$L$203-EFEITO!$O$203*EFEITO!$AA$203</f>
        <v>0</v>
      </c>
      <c r="P203" s="57"/>
      <c r="Q203" s="57"/>
      <c r="R203" s="57"/>
      <c r="S203" s="57"/>
      <c r="T203" s="57"/>
      <c r="U203" s="57"/>
      <c r="V203" s="57"/>
      <c r="W203" s="57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53" t="s">
        <v>27</v>
      </c>
      <c r="B204" s="53" t="s">
        <v>22</v>
      </c>
      <c r="C204" s="53" t="s">
        <v>23</v>
      </c>
      <c r="D204" s="53" t="s">
        <v>24</v>
      </c>
      <c r="E204" s="53" t="s">
        <v>24</v>
      </c>
      <c r="F204" s="53" t="s">
        <v>25</v>
      </c>
      <c r="G204" s="53" t="s">
        <v>25</v>
      </c>
      <c r="H204" s="53" t="s">
        <v>25</v>
      </c>
      <c r="I204" s="73">
        <v>44378</v>
      </c>
      <c r="J204" s="74">
        <f>EFEITO!$J$204*EFEITO!$Y$204</f>
        <v>0</v>
      </c>
      <c r="K204" s="74">
        <f ca="1">EFEITO!$L$204*EFEITO!$Z$204</f>
        <v>-2071.1589273639706</v>
      </c>
      <c r="L204" s="74">
        <f>EFEITO!$N$204*EFEITO!$AA$204</f>
        <v>-697.51139039639315</v>
      </c>
      <c r="M204" s="74">
        <f>$J$204-EFEITO!$K$204*EFEITO!$Y$204</f>
        <v>0</v>
      </c>
      <c r="N204" s="74">
        <f ca="1">$K$204-EFEITO!$M$204*EFEITO!$Z$204</f>
        <v>0</v>
      </c>
      <c r="O204" s="74">
        <f>$L$204-EFEITO!$O$204*EFEITO!$AA$204</f>
        <v>0</v>
      </c>
      <c r="P204" s="57"/>
      <c r="Q204" s="57"/>
      <c r="R204" s="57"/>
      <c r="S204" s="57"/>
      <c r="T204" s="57"/>
      <c r="U204" s="57"/>
      <c r="V204" s="57"/>
      <c r="W204" s="57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53" t="s">
        <v>28</v>
      </c>
      <c r="B205" s="53" t="s">
        <v>22</v>
      </c>
      <c r="C205" s="53" t="s">
        <v>23</v>
      </c>
      <c r="D205" s="53" t="s">
        <v>24</v>
      </c>
      <c r="E205" s="53" t="s">
        <v>24</v>
      </c>
      <c r="F205" s="53" t="s">
        <v>25</v>
      </c>
      <c r="G205" s="53" t="s">
        <v>25</v>
      </c>
      <c r="H205" s="53" t="s">
        <v>25</v>
      </c>
      <c r="I205" s="73">
        <v>44378</v>
      </c>
      <c r="J205" s="74">
        <f>EFEITO!$J$205*EFEITO!$Y$205</f>
        <v>0</v>
      </c>
      <c r="K205" s="74">
        <f ca="1">EFEITO!$L$205*EFEITO!$Z$205</f>
        <v>4114.8202492437358</v>
      </c>
      <c r="L205" s="74">
        <f>EFEITO!$N$205*EFEITO!$AA$205</f>
        <v>1385.7623166244132</v>
      </c>
      <c r="M205" s="74">
        <f>$J$205-EFEITO!$K$205*EFEITO!$Y$205</f>
        <v>0</v>
      </c>
      <c r="N205" s="74">
        <f ca="1">$K$205-EFEITO!$M$205*EFEITO!$Z$205</f>
        <v>0</v>
      </c>
      <c r="O205" s="74">
        <f>$L$205-EFEITO!$O$205*EFEITO!$AA$205</f>
        <v>0</v>
      </c>
      <c r="P205" s="57"/>
      <c r="Q205" s="57"/>
      <c r="R205" s="57"/>
      <c r="S205" s="57"/>
      <c r="T205" s="57"/>
      <c r="U205" s="57"/>
      <c r="V205" s="57"/>
      <c r="W205" s="57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53" t="s">
        <v>21</v>
      </c>
      <c r="B206" s="53" t="s">
        <v>22</v>
      </c>
      <c r="C206" s="53" t="s">
        <v>23</v>
      </c>
      <c r="D206" s="53" t="s">
        <v>24</v>
      </c>
      <c r="E206" s="53" t="s">
        <v>24</v>
      </c>
      <c r="F206" s="53" t="s">
        <v>25</v>
      </c>
      <c r="G206" s="53" t="s">
        <v>25</v>
      </c>
      <c r="H206" s="53" t="s">
        <v>25</v>
      </c>
      <c r="I206" s="73">
        <v>44409</v>
      </c>
      <c r="J206" s="74">
        <f>EFEITO!$J$206*EFEITO!$Y$206</f>
        <v>0</v>
      </c>
      <c r="K206" s="74">
        <f ca="1">EFEITO!$L$206*EFEITO!$Z$206</f>
        <v>709965.58628341719</v>
      </c>
      <c r="L206" s="74">
        <f>EFEITO!$N$206*EFEITO!$AA$206</f>
        <v>239097.57801754258</v>
      </c>
      <c r="M206" s="74">
        <f>$J$206-EFEITO!$K$206*EFEITO!$Y$206</f>
        <v>0</v>
      </c>
      <c r="N206" s="74">
        <f ca="1">$K$206-EFEITO!$M$206*EFEITO!$Z$206</f>
        <v>0</v>
      </c>
      <c r="O206" s="74">
        <f>$L$206-EFEITO!$O$206*EFEITO!$AA$206</f>
        <v>0</v>
      </c>
      <c r="P206" s="57"/>
      <c r="Q206" s="57"/>
      <c r="R206" s="57"/>
      <c r="S206" s="57"/>
      <c r="T206" s="57"/>
      <c r="U206" s="57"/>
      <c r="V206" s="57"/>
      <c r="W206" s="57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53" t="s">
        <v>27</v>
      </c>
      <c r="B207" s="53" t="s">
        <v>22</v>
      </c>
      <c r="C207" s="53" t="s">
        <v>23</v>
      </c>
      <c r="D207" s="53" t="s">
        <v>24</v>
      </c>
      <c r="E207" s="53" t="s">
        <v>24</v>
      </c>
      <c r="F207" s="53" t="s">
        <v>25</v>
      </c>
      <c r="G207" s="53" t="s">
        <v>25</v>
      </c>
      <c r="H207" s="53" t="s">
        <v>25</v>
      </c>
      <c r="I207" s="73">
        <v>44409</v>
      </c>
      <c r="J207" s="74">
        <f>EFEITO!$J$207*EFEITO!$Y$207</f>
        <v>0</v>
      </c>
      <c r="K207" s="74">
        <f ca="1">EFEITO!$L$207*EFEITO!$Z$207</f>
        <v>-435.05140105369321</v>
      </c>
      <c r="L207" s="74">
        <f>EFEITO!$N$207*EFEITO!$AA$207</f>
        <v>-146.51377237818974</v>
      </c>
      <c r="M207" s="74">
        <f>$J$207-EFEITO!$K$207*EFEITO!$Y$207</f>
        <v>0</v>
      </c>
      <c r="N207" s="74">
        <f ca="1">$K$207-EFEITO!$M$207*EFEITO!$Z$207</f>
        <v>0</v>
      </c>
      <c r="O207" s="74">
        <f>$L$207-EFEITO!$O$207*EFEITO!$AA$207</f>
        <v>0</v>
      </c>
      <c r="P207" s="57"/>
      <c r="Q207" s="57"/>
      <c r="R207" s="57"/>
      <c r="S207" s="57"/>
      <c r="T207" s="57"/>
      <c r="U207" s="57"/>
      <c r="V207" s="57"/>
      <c r="W207" s="57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53" t="s">
        <v>28</v>
      </c>
      <c r="B208" s="53" t="s">
        <v>22</v>
      </c>
      <c r="C208" s="53" t="s">
        <v>23</v>
      </c>
      <c r="D208" s="53" t="s">
        <v>24</v>
      </c>
      <c r="E208" s="53" t="s">
        <v>24</v>
      </c>
      <c r="F208" s="53" t="s">
        <v>25</v>
      </c>
      <c r="G208" s="53" t="s">
        <v>25</v>
      </c>
      <c r="H208" s="53" t="s">
        <v>25</v>
      </c>
      <c r="I208" s="73">
        <v>44409</v>
      </c>
      <c r="J208" s="74">
        <f>EFEITO!$J$208*EFEITO!$Y$208</f>
        <v>0</v>
      </c>
      <c r="K208" s="74">
        <f ca="1">EFEITO!$L$208*EFEITO!$Z$208</f>
        <v>4266.0570794068699</v>
      </c>
      <c r="L208" s="74">
        <f>EFEITO!$N$208*EFEITO!$AA$208</f>
        <v>1436.6948695504657</v>
      </c>
      <c r="M208" s="74">
        <f>$J$208-EFEITO!$K$208*EFEITO!$Y$208</f>
        <v>0</v>
      </c>
      <c r="N208" s="74">
        <f ca="1">$K$208-EFEITO!$M$208*EFEITO!$Z$208</f>
        <v>0</v>
      </c>
      <c r="O208" s="74">
        <f>$L$208-EFEITO!$O$208*EFEITO!$AA$208</f>
        <v>0</v>
      </c>
      <c r="P208" s="57"/>
      <c r="Q208" s="57"/>
      <c r="R208" s="57"/>
      <c r="S208" s="57"/>
      <c r="T208" s="57"/>
      <c r="U208" s="57"/>
      <c r="V208" s="57"/>
      <c r="W208" s="57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53" t="s">
        <v>21</v>
      </c>
      <c r="B209" s="53" t="s">
        <v>22</v>
      </c>
      <c r="C209" s="53" t="s">
        <v>23</v>
      </c>
      <c r="D209" s="53" t="s">
        <v>24</v>
      </c>
      <c r="E209" s="53" t="s">
        <v>24</v>
      </c>
      <c r="F209" s="53" t="s">
        <v>25</v>
      </c>
      <c r="G209" s="53" t="s">
        <v>25</v>
      </c>
      <c r="H209" s="53" t="s">
        <v>25</v>
      </c>
      <c r="I209" s="73">
        <v>44440</v>
      </c>
      <c r="J209" s="74">
        <f>EFEITO!$J$209*EFEITO!$Y$209</f>
        <v>0</v>
      </c>
      <c r="K209" s="74">
        <f ca="1">EFEITO!$L$209*EFEITO!$Z$209</f>
        <v>735289.89887703257</v>
      </c>
      <c r="L209" s="74">
        <f>EFEITO!$N$209*EFEITO!$AA$209</f>
        <v>247626.13478575111</v>
      </c>
      <c r="M209" s="74">
        <f>$J$209-EFEITO!$K$209*EFEITO!$Y$209</f>
        <v>0</v>
      </c>
      <c r="N209" s="74">
        <f ca="1">$K$209-EFEITO!$M$209*EFEITO!$Z$209</f>
        <v>0</v>
      </c>
      <c r="O209" s="74">
        <f>$L$209-EFEITO!$O$209*EFEITO!$AA$209</f>
        <v>0</v>
      </c>
      <c r="P209" s="57"/>
      <c r="Q209" s="57"/>
      <c r="R209" s="57"/>
      <c r="S209" s="57"/>
      <c r="T209" s="57"/>
      <c r="U209" s="57"/>
      <c r="V209" s="57"/>
      <c r="W209" s="57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53" t="s">
        <v>27</v>
      </c>
      <c r="B210" s="53" t="s">
        <v>22</v>
      </c>
      <c r="C210" s="53" t="s">
        <v>23</v>
      </c>
      <c r="D210" s="53" t="s">
        <v>24</v>
      </c>
      <c r="E210" s="53" t="s">
        <v>24</v>
      </c>
      <c r="F210" s="53" t="s">
        <v>25</v>
      </c>
      <c r="G210" s="53" t="s">
        <v>25</v>
      </c>
      <c r="H210" s="53" t="s">
        <v>25</v>
      </c>
      <c r="I210" s="73">
        <v>44440</v>
      </c>
      <c r="J210" s="74">
        <f>EFEITO!$J$210*EFEITO!$Y$210</f>
        <v>0</v>
      </c>
      <c r="K210" s="74">
        <f ca="1">EFEITO!$L$210*EFEITO!$Z$210</f>
        <v>-1828.5907646997221</v>
      </c>
      <c r="L210" s="74">
        <f>EFEITO!$N$210*EFEITO!$AA$210</f>
        <v>-615.82086719681558</v>
      </c>
      <c r="M210" s="74">
        <f>$J$210-EFEITO!$K$210*EFEITO!$Y$210</f>
        <v>0</v>
      </c>
      <c r="N210" s="74">
        <f ca="1">$K$210-EFEITO!$M$210*EFEITO!$Z$210</f>
        <v>0</v>
      </c>
      <c r="O210" s="74">
        <f>$L$210-EFEITO!$O$210*EFEITO!$AA$210</f>
        <v>0</v>
      </c>
      <c r="P210" s="57"/>
      <c r="Q210" s="57"/>
      <c r="R210" s="57"/>
      <c r="S210" s="57"/>
      <c r="T210" s="57"/>
      <c r="U210" s="57"/>
      <c r="V210" s="57"/>
      <c r="W210" s="57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53" t="s">
        <v>28</v>
      </c>
      <c r="B211" s="53" t="s">
        <v>22</v>
      </c>
      <c r="C211" s="53" t="s">
        <v>23</v>
      </c>
      <c r="D211" s="53" t="s">
        <v>24</v>
      </c>
      <c r="E211" s="53" t="s">
        <v>24</v>
      </c>
      <c r="F211" s="53" t="s">
        <v>25</v>
      </c>
      <c r="G211" s="53" t="s">
        <v>25</v>
      </c>
      <c r="H211" s="53" t="s">
        <v>25</v>
      </c>
      <c r="I211" s="73">
        <v>44440</v>
      </c>
      <c r="J211" s="74">
        <f>EFEITO!$J$211*EFEITO!$Y$211</f>
        <v>0</v>
      </c>
      <c r="K211" s="74">
        <f ca="1">EFEITO!$L$211*EFEITO!$Z$211</f>
        <v>4065.7173823076519</v>
      </c>
      <c r="L211" s="74">
        <f>EFEITO!$N$211*EFEITO!$AA$211</f>
        <v>1369.2257734666039</v>
      </c>
      <c r="M211" s="74">
        <f>$J$211-EFEITO!$K$211*EFEITO!$Y$211</f>
        <v>0</v>
      </c>
      <c r="N211" s="74">
        <f ca="1">$K$211-EFEITO!$M$211*EFEITO!$Z$211</f>
        <v>0</v>
      </c>
      <c r="O211" s="74">
        <f>$L$211-EFEITO!$O$211*EFEITO!$AA$211</f>
        <v>0</v>
      </c>
      <c r="P211" s="57"/>
      <c r="Q211" s="57"/>
      <c r="R211" s="57"/>
      <c r="S211" s="57"/>
      <c r="T211" s="57"/>
      <c r="U211" s="57"/>
      <c r="V211" s="57"/>
      <c r="W211" s="57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53" t="s">
        <v>21</v>
      </c>
      <c r="B212" s="53" t="s">
        <v>22</v>
      </c>
      <c r="C212" s="53" t="s">
        <v>23</v>
      </c>
      <c r="D212" s="53" t="s">
        <v>24</v>
      </c>
      <c r="E212" s="53" t="s">
        <v>24</v>
      </c>
      <c r="F212" s="53" t="s">
        <v>25</v>
      </c>
      <c r="G212" s="53" t="s">
        <v>25</v>
      </c>
      <c r="H212" s="53" t="s">
        <v>25</v>
      </c>
      <c r="I212" s="73">
        <v>44470</v>
      </c>
      <c r="J212" s="74">
        <f>EFEITO!$J$212*EFEITO!$Y$212</f>
        <v>0</v>
      </c>
      <c r="K212" s="74">
        <f ca="1">EFEITO!$L$212*EFEITO!$Z$212</f>
        <v>785838.35421571357</v>
      </c>
      <c r="L212" s="74">
        <f>EFEITO!$N$212*EFEITO!$AA$212</f>
        <v>264649.51377412624</v>
      </c>
      <c r="M212" s="74">
        <f>$J$212-EFEITO!$K$212*EFEITO!$Y$212</f>
        <v>0</v>
      </c>
      <c r="N212" s="74">
        <f ca="1">$K$212-EFEITO!$M$212*EFEITO!$Z$212</f>
        <v>0</v>
      </c>
      <c r="O212" s="74">
        <f>$L$212-EFEITO!$O$212*EFEITO!$AA$212</f>
        <v>0</v>
      </c>
      <c r="P212" s="57"/>
      <c r="Q212" s="57"/>
      <c r="R212" s="57"/>
      <c r="S212" s="57"/>
      <c r="T212" s="57"/>
      <c r="U212" s="57"/>
      <c r="V212" s="57"/>
      <c r="W212" s="57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53" t="s">
        <v>27</v>
      </c>
      <c r="B213" s="53" t="s">
        <v>22</v>
      </c>
      <c r="C213" s="53" t="s">
        <v>23</v>
      </c>
      <c r="D213" s="53" t="s">
        <v>24</v>
      </c>
      <c r="E213" s="53" t="s">
        <v>24</v>
      </c>
      <c r="F213" s="53" t="s">
        <v>25</v>
      </c>
      <c r="G213" s="53" t="s">
        <v>25</v>
      </c>
      <c r="H213" s="53" t="s">
        <v>25</v>
      </c>
      <c r="I213" s="73">
        <v>44470</v>
      </c>
      <c r="J213" s="74">
        <f>EFEITO!$J$213*EFEITO!$Y$213</f>
        <v>0</v>
      </c>
      <c r="K213" s="74">
        <f ca="1">EFEITO!$L$213*EFEITO!$Z$213</f>
        <v>-656.01430226606567</v>
      </c>
      <c r="L213" s="74">
        <f>EFEITO!$N$213*EFEITO!$AA$213</f>
        <v>-220.92821658833125</v>
      </c>
      <c r="M213" s="74">
        <f>$J$213-EFEITO!$K$213*EFEITO!$Y$213</f>
        <v>0</v>
      </c>
      <c r="N213" s="74">
        <f ca="1">$K$213-EFEITO!$M$213*EFEITO!$Z$213</f>
        <v>0</v>
      </c>
      <c r="O213" s="74">
        <f>$L$213-EFEITO!$O$213*EFEITO!$AA$213</f>
        <v>0</v>
      </c>
      <c r="P213" s="57"/>
      <c r="Q213" s="57"/>
      <c r="R213" s="57"/>
      <c r="S213" s="57"/>
      <c r="T213" s="57"/>
      <c r="U213" s="57"/>
      <c r="V213" s="57"/>
      <c r="W213" s="57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53" t="s">
        <v>28</v>
      </c>
      <c r="B214" s="53" t="s">
        <v>22</v>
      </c>
      <c r="C214" s="53" t="s">
        <v>23</v>
      </c>
      <c r="D214" s="53" t="s">
        <v>24</v>
      </c>
      <c r="E214" s="53" t="s">
        <v>24</v>
      </c>
      <c r="F214" s="53" t="s">
        <v>25</v>
      </c>
      <c r="G214" s="53" t="s">
        <v>25</v>
      </c>
      <c r="H214" s="53" t="s">
        <v>25</v>
      </c>
      <c r="I214" s="73">
        <v>44470</v>
      </c>
      <c r="J214" s="74">
        <f>EFEITO!$J$214*EFEITO!$Y$214</f>
        <v>0</v>
      </c>
      <c r="K214" s="74">
        <f ca="1">EFEITO!$L$214*EFEITO!$Z$214</f>
        <v>4203.2054097286846</v>
      </c>
      <c r="L214" s="74">
        <f>EFEITO!$N$214*EFEITO!$AA$214</f>
        <v>1415.5280943084697</v>
      </c>
      <c r="M214" s="74">
        <f>$J$214-EFEITO!$K$214*EFEITO!$Y$214</f>
        <v>0</v>
      </c>
      <c r="N214" s="74">
        <f ca="1">$K$214-EFEITO!$M$214*EFEITO!$Z$214</f>
        <v>0</v>
      </c>
      <c r="O214" s="74">
        <f>$L$214-EFEITO!$O$214*EFEITO!$AA$214</f>
        <v>0</v>
      </c>
      <c r="P214" s="57"/>
      <c r="Q214" s="57"/>
      <c r="R214" s="57"/>
      <c r="S214" s="57"/>
      <c r="T214" s="57"/>
      <c r="U214" s="57"/>
      <c r="V214" s="57"/>
      <c r="W214" s="57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53" t="s">
        <v>21</v>
      </c>
      <c r="B215" s="53" t="s">
        <v>22</v>
      </c>
      <c r="C215" s="53" t="s">
        <v>23</v>
      </c>
      <c r="D215" s="53" t="s">
        <v>24</v>
      </c>
      <c r="E215" s="53" t="s">
        <v>24</v>
      </c>
      <c r="F215" s="53" t="s">
        <v>25</v>
      </c>
      <c r="G215" s="53" t="s">
        <v>25</v>
      </c>
      <c r="H215" s="53" t="s">
        <v>25</v>
      </c>
      <c r="I215" s="73">
        <v>44501</v>
      </c>
      <c r="J215" s="74">
        <f>EFEITO!$J$215*EFEITO!$Y$215</f>
        <v>0</v>
      </c>
      <c r="K215" s="74">
        <f ca="1">EFEITO!$L$215*EFEITO!$Z$215</f>
        <v>734902.96828557621</v>
      </c>
      <c r="L215" s="74">
        <f>EFEITO!$N$215*EFEITO!$AA$215</f>
        <v>247495.82682566758</v>
      </c>
      <c r="M215" s="74">
        <f>$J$215-EFEITO!$K$215*EFEITO!$Y$215</f>
        <v>0</v>
      </c>
      <c r="N215" s="74">
        <f ca="1">$K$215-EFEITO!$M$215*EFEITO!$Z$215</f>
        <v>0</v>
      </c>
      <c r="O215" s="74">
        <f>$L$215-EFEITO!$O$215*EFEITO!$AA$215</f>
        <v>0</v>
      </c>
      <c r="P215" s="57"/>
      <c r="Q215" s="57"/>
      <c r="R215" s="57"/>
      <c r="S215" s="57"/>
      <c r="T215" s="57"/>
      <c r="U215" s="57"/>
      <c r="V215" s="57"/>
      <c r="W215" s="57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53" t="s">
        <v>27</v>
      </c>
      <c r="B216" s="53" t="s">
        <v>22</v>
      </c>
      <c r="C216" s="53" t="s">
        <v>23</v>
      </c>
      <c r="D216" s="53" t="s">
        <v>24</v>
      </c>
      <c r="E216" s="53" t="s">
        <v>24</v>
      </c>
      <c r="F216" s="53" t="s">
        <v>25</v>
      </c>
      <c r="G216" s="53" t="s">
        <v>25</v>
      </c>
      <c r="H216" s="53" t="s">
        <v>25</v>
      </c>
      <c r="I216" s="73">
        <v>44501</v>
      </c>
      <c r="J216" s="74">
        <f>EFEITO!$J$216*EFEITO!$Y$216</f>
        <v>0</v>
      </c>
      <c r="K216" s="74">
        <f ca="1">EFEITO!$L$216*EFEITO!$Z$216</f>
        <v>-886.79777686565455</v>
      </c>
      <c r="L216" s="74">
        <f>EFEITO!$N$216*EFEITO!$AA$216</f>
        <v>-298.64996943003462</v>
      </c>
      <c r="M216" s="74">
        <f>$J$216-EFEITO!$K$216*EFEITO!$Y$216</f>
        <v>0</v>
      </c>
      <c r="N216" s="74">
        <f ca="1">$K$216-EFEITO!$M$216*EFEITO!$Z$216</f>
        <v>0</v>
      </c>
      <c r="O216" s="74">
        <f>$L$216-EFEITO!$O$216*EFEITO!$AA$216</f>
        <v>0</v>
      </c>
      <c r="P216" s="57"/>
      <c r="Q216" s="57"/>
      <c r="R216" s="57"/>
      <c r="S216" s="57"/>
      <c r="T216" s="57"/>
      <c r="U216" s="57"/>
      <c r="V216" s="57"/>
      <c r="W216" s="57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53" t="s">
        <v>28</v>
      </c>
      <c r="B217" s="53" t="s">
        <v>22</v>
      </c>
      <c r="C217" s="53" t="s">
        <v>23</v>
      </c>
      <c r="D217" s="53" t="s">
        <v>24</v>
      </c>
      <c r="E217" s="53" t="s">
        <v>24</v>
      </c>
      <c r="F217" s="53" t="s">
        <v>25</v>
      </c>
      <c r="G217" s="53" t="s">
        <v>25</v>
      </c>
      <c r="H217" s="53" t="s">
        <v>25</v>
      </c>
      <c r="I217" s="73">
        <v>44501</v>
      </c>
      <c r="J217" s="74">
        <f>EFEITO!$J$217*EFEITO!$Y$217</f>
        <v>0</v>
      </c>
      <c r="K217" s="74">
        <f ca="1">EFEITO!$L$217*EFEITO!$Z$217</f>
        <v>5000.6359687706672</v>
      </c>
      <c r="L217" s="74">
        <f>EFEITO!$N$217*EFEITO!$AA$217</f>
        <v>1684.0815551912915</v>
      </c>
      <c r="M217" s="74">
        <f>$J$217-EFEITO!$K$217*EFEITO!$Y$217</f>
        <v>0</v>
      </c>
      <c r="N217" s="74">
        <f ca="1">$K$217-EFEITO!$M$217*EFEITO!$Z$217</f>
        <v>0</v>
      </c>
      <c r="O217" s="74">
        <f>$L$217-EFEITO!$O$217*EFEITO!$AA$217</f>
        <v>0</v>
      </c>
      <c r="P217" s="57"/>
      <c r="Q217" s="57"/>
      <c r="R217" s="57"/>
      <c r="S217" s="57"/>
      <c r="T217" s="57"/>
      <c r="U217" s="57"/>
      <c r="V217" s="57"/>
      <c r="W217" s="57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53" t="s">
        <v>21</v>
      </c>
      <c r="B218" s="53" t="s">
        <v>22</v>
      </c>
      <c r="C218" s="53" t="s">
        <v>23</v>
      </c>
      <c r="D218" s="53" t="s">
        <v>24</v>
      </c>
      <c r="E218" s="53" t="s">
        <v>24</v>
      </c>
      <c r="F218" s="53" t="s">
        <v>25</v>
      </c>
      <c r="G218" s="53" t="s">
        <v>25</v>
      </c>
      <c r="H218" s="53" t="s">
        <v>25</v>
      </c>
      <c r="I218" s="73">
        <v>44531</v>
      </c>
      <c r="J218" s="74">
        <f>EFEITO!$J$218*EFEITO!$Y$218</f>
        <v>0</v>
      </c>
      <c r="K218" s="74">
        <f ca="1">EFEITO!$L$218*EFEITO!$Z$218</f>
        <v>794621.87505323999</v>
      </c>
      <c r="L218" s="74">
        <f>EFEITO!$N$218*EFEITO!$AA$218</f>
        <v>267607.57061419514</v>
      </c>
      <c r="M218" s="74">
        <f>$J$218-EFEITO!$K$218*EFEITO!$Y$218</f>
        <v>0</v>
      </c>
      <c r="N218" s="74">
        <f ca="1">$K$218-EFEITO!$M$218*EFEITO!$Z$218</f>
        <v>0</v>
      </c>
      <c r="O218" s="74">
        <f>$L$218-EFEITO!$O$218*EFEITO!$AA$218</f>
        <v>0</v>
      </c>
      <c r="P218" s="57"/>
      <c r="Q218" s="57"/>
      <c r="R218" s="57"/>
      <c r="S218" s="57"/>
      <c r="T218" s="57"/>
      <c r="U218" s="57"/>
      <c r="V218" s="57"/>
      <c r="W218" s="57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53" t="s">
        <v>27</v>
      </c>
      <c r="B219" s="53" t="s">
        <v>22</v>
      </c>
      <c r="C219" s="53" t="s">
        <v>23</v>
      </c>
      <c r="D219" s="53" t="s">
        <v>24</v>
      </c>
      <c r="E219" s="53" t="s">
        <v>24</v>
      </c>
      <c r="F219" s="53" t="s">
        <v>25</v>
      </c>
      <c r="G219" s="53" t="s">
        <v>25</v>
      </c>
      <c r="H219" s="53" t="s">
        <v>25</v>
      </c>
      <c r="I219" s="73">
        <v>44531</v>
      </c>
      <c r="J219" s="74">
        <f>EFEITO!$J$219*EFEITO!$Y$219</f>
        <v>0</v>
      </c>
      <c r="K219" s="74">
        <f ca="1">EFEITO!$L$219*EFEITO!$Z$219</f>
        <v>-575.48560049088985</v>
      </c>
      <c r="L219" s="74">
        <f>EFEITO!$N$219*EFEITO!$AA$219</f>
        <v>-193.80828580952411</v>
      </c>
      <c r="M219" s="74">
        <f>$J$219-EFEITO!$K$219*EFEITO!$Y$219</f>
        <v>0</v>
      </c>
      <c r="N219" s="74">
        <f ca="1">$K$219-EFEITO!$M$219*EFEITO!$Z$219</f>
        <v>0</v>
      </c>
      <c r="O219" s="74">
        <f>$L$219-EFEITO!$O$219*EFEITO!$AA$219</f>
        <v>0</v>
      </c>
      <c r="P219" s="57"/>
      <c r="Q219" s="57"/>
      <c r="R219" s="57"/>
      <c r="S219" s="57"/>
      <c r="T219" s="57"/>
      <c r="U219" s="57"/>
      <c r="V219" s="57"/>
      <c r="W219" s="57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53" t="s">
        <v>28</v>
      </c>
      <c r="B220" s="53" t="s">
        <v>22</v>
      </c>
      <c r="C220" s="53" t="s">
        <v>23</v>
      </c>
      <c r="D220" s="53" t="s">
        <v>24</v>
      </c>
      <c r="E220" s="53" t="s">
        <v>24</v>
      </c>
      <c r="F220" s="53" t="s">
        <v>25</v>
      </c>
      <c r="G220" s="53" t="s">
        <v>25</v>
      </c>
      <c r="H220" s="53" t="s">
        <v>25</v>
      </c>
      <c r="I220" s="73">
        <v>44531</v>
      </c>
      <c r="J220" s="74">
        <f>EFEITO!$J$220*EFEITO!$Y$220</f>
        <v>0</v>
      </c>
      <c r="K220" s="74">
        <f ca="1">EFEITO!$L$220*EFEITO!$Z$220</f>
        <v>4580.3154277977992</v>
      </c>
      <c r="L220" s="74">
        <f>EFEITO!$N$220*EFEITO!$AA$220</f>
        <v>1542.5287457604445</v>
      </c>
      <c r="M220" s="74">
        <f>$J$220-EFEITO!$K$220*EFEITO!$Y$220</f>
        <v>0</v>
      </c>
      <c r="N220" s="74">
        <f ca="1">$K$220-EFEITO!$M$220*EFEITO!$Z$220</f>
        <v>0</v>
      </c>
      <c r="O220" s="74">
        <f>$L$220-EFEITO!$O$220*EFEITO!$AA$220</f>
        <v>0</v>
      </c>
      <c r="P220" s="57"/>
      <c r="Q220" s="57"/>
      <c r="R220" s="57"/>
      <c r="S220" s="57"/>
      <c r="T220" s="57"/>
      <c r="U220" s="57"/>
      <c r="V220" s="57"/>
      <c r="W220" s="57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53" t="s">
        <v>21</v>
      </c>
      <c r="B221" s="53" t="s">
        <v>22</v>
      </c>
      <c r="C221" s="53" t="s">
        <v>23</v>
      </c>
      <c r="D221" s="53" t="s">
        <v>24</v>
      </c>
      <c r="E221" s="53" t="s">
        <v>24</v>
      </c>
      <c r="F221" s="53" t="s">
        <v>25</v>
      </c>
      <c r="G221" s="53" t="s">
        <v>25</v>
      </c>
      <c r="H221" s="53" t="s">
        <v>25</v>
      </c>
      <c r="I221" s="73">
        <v>44562</v>
      </c>
      <c r="J221" s="74">
        <f>EFEITO!$J$221*EFEITO!$Y$221</f>
        <v>0</v>
      </c>
      <c r="K221" s="74">
        <f ca="1">EFEITO!$L$221*EFEITO!$Z$221</f>
        <v>907995.48452196154</v>
      </c>
      <c r="L221" s="74">
        <f>EFEITO!$N$221*EFEITO!$AA$221</f>
        <v>305788.79511126084</v>
      </c>
      <c r="M221" s="74">
        <f>$J$221-EFEITO!$K$221*EFEITO!$Y$221</f>
        <v>0</v>
      </c>
      <c r="N221" s="74">
        <f ca="1">$K$221-EFEITO!$M$221*EFEITO!$Z$221</f>
        <v>0</v>
      </c>
      <c r="O221" s="74">
        <f>$L$221-EFEITO!$O$221*EFEITO!$AA$221</f>
        <v>0</v>
      </c>
      <c r="P221" s="57"/>
      <c r="Q221" s="57"/>
      <c r="R221" s="57"/>
      <c r="S221" s="57"/>
      <c r="T221" s="57"/>
      <c r="U221" s="57"/>
      <c r="V221" s="57"/>
      <c r="W221" s="57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53" t="s">
        <v>27</v>
      </c>
      <c r="B222" s="53" t="s">
        <v>22</v>
      </c>
      <c r="C222" s="53" t="s">
        <v>23</v>
      </c>
      <c r="D222" s="53" t="s">
        <v>24</v>
      </c>
      <c r="E222" s="53" t="s">
        <v>24</v>
      </c>
      <c r="F222" s="53" t="s">
        <v>25</v>
      </c>
      <c r="G222" s="53" t="s">
        <v>25</v>
      </c>
      <c r="H222" s="53" t="s">
        <v>25</v>
      </c>
      <c r="I222" s="73">
        <v>44562</v>
      </c>
      <c r="J222" s="74">
        <f>EFEITO!$J$222*EFEITO!$Y$222</f>
        <v>0</v>
      </c>
      <c r="K222" s="74">
        <f ca="1">EFEITO!$L$222*EFEITO!$Z$222</f>
        <v>-109.00836459810373</v>
      </c>
      <c r="L222" s="74">
        <f>EFEITO!$N$222*EFEITO!$AA$222</f>
        <v>-36.711125810336483</v>
      </c>
      <c r="M222" s="74">
        <f>$J$222-EFEITO!$K$222*EFEITO!$Y$222</f>
        <v>0</v>
      </c>
      <c r="N222" s="74">
        <f ca="1">$K$222-EFEITO!$M$222*EFEITO!$Z$222</f>
        <v>0</v>
      </c>
      <c r="O222" s="74">
        <f>$L$222-EFEITO!$O$222*EFEITO!$AA$222</f>
        <v>0</v>
      </c>
      <c r="P222" s="57"/>
      <c r="Q222" s="57"/>
      <c r="R222" s="57"/>
      <c r="S222" s="57"/>
      <c r="T222" s="57"/>
      <c r="U222" s="57"/>
      <c r="V222" s="57"/>
      <c r="W222" s="57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53" t="s">
        <v>28</v>
      </c>
      <c r="B223" s="53" t="s">
        <v>22</v>
      </c>
      <c r="C223" s="53" t="s">
        <v>23</v>
      </c>
      <c r="D223" s="53" t="s">
        <v>24</v>
      </c>
      <c r="E223" s="53" t="s">
        <v>24</v>
      </c>
      <c r="F223" s="53" t="s">
        <v>25</v>
      </c>
      <c r="G223" s="53" t="s">
        <v>25</v>
      </c>
      <c r="H223" s="53" t="s">
        <v>25</v>
      </c>
      <c r="I223" s="73">
        <v>44562</v>
      </c>
      <c r="J223" s="74">
        <f>EFEITO!$J$223*EFEITO!$Y$223</f>
        <v>0</v>
      </c>
      <c r="K223" s="74">
        <f ca="1">EFEITO!$L$223*EFEITO!$Z$223</f>
        <v>8042.0675467916335</v>
      </c>
      <c r="L223" s="74">
        <f>EFEITO!$N$223*EFEITO!$AA$223</f>
        <v>2708.3550383859952</v>
      </c>
      <c r="M223" s="74">
        <f>$J$223-EFEITO!$K$223*EFEITO!$Y$223</f>
        <v>0</v>
      </c>
      <c r="N223" s="74">
        <f ca="1">$K$223-EFEITO!$M$223*EFEITO!$Z$223</f>
        <v>0</v>
      </c>
      <c r="O223" s="74">
        <f>$L$223-EFEITO!$O$223*EFEITO!$AA$223</f>
        <v>0</v>
      </c>
      <c r="P223" s="57"/>
      <c r="Q223" s="57"/>
      <c r="R223" s="57"/>
      <c r="S223" s="57"/>
      <c r="T223" s="57"/>
      <c r="U223" s="57"/>
      <c r="V223" s="57"/>
      <c r="W223" s="57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53" t="s">
        <v>21</v>
      </c>
      <c r="B224" s="53" t="s">
        <v>22</v>
      </c>
      <c r="C224" s="53" t="s">
        <v>23</v>
      </c>
      <c r="D224" s="53" t="s">
        <v>24</v>
      </c>
      <c r="E224" s="53" t="s">
        <v>24</v>
      </c>
      <c r="F224" s="53" t="s">
        <v>25</v>
      </c>
      <c r="G224" s="53" t="s">
        <v>25</v>
      </c>
      <c r="H224" s="53" t="s">
        <v>25</v>
      </c>
      <c r="I224" s="73">
        <v>44593</v>
      </c>
      <c r="J224" s="74">
        <f>EFEITO!$J$224*EFEITO!$Y$224</f>
        <v>0</v>
      </c>
      <c r="K224" s="74">
        <f ca="1">EFEITO!$L$224*EFEITO!$Z$224</f>
        <v>932296.4933686289</v>
      </c>
      <c r="L224" s="74">
        <f>EFEITO!$N$224*EFEITO!$AA$224</f>
        <v>313972.73032006068</v>
      </c>
      <c r="M224" s="74">
        <f>$J$224-EFEITO!$K$224*EFEITO!$Y$224</f>
        <v>0</v>
      </c>
      <c r="N224" s="74">
        <f ca="1">$K$224-EFEITO!$M$224*EFEITO!$Z$224</f>
        <v>0</v>
      </c>
      <c r="O224" s="74">
        <f>$L$224-EFEITO!$O$224*EFEITO!$AA$224</f>
        <v>0</v>
      </c>
      <c r="P224" s="57"/>
      <c r="Q224" s="57"/>
      <c r="R224" s="57"/>
      <c r="S224" s="57"/>
      <c r="T224" s="57"/>
      <c r="U224" s="57"/>
      <c r="V224" s="57"/>
      <c r="W224" s="57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53" t="s">
        <v>27</v>
      </c>
      <c r="B225" s="53" t="s">
        <v>22</v>
      </c>
      <c r="C225" s="53" t="s">
        <v>23</v>
      </c>
      <c r="D225" s="53" t="s">
        <v>24</v>
      </c>
      <c r="E225" s="53" t="s">
        <v>24</v>
      </c>
      <c r="F225" s="53" t="s">
        <v>25</v>
      </c>
      <c r="G225" s="53" t="s">
        <v>25</v>
      </c>
      <c r="H225" s="53" t="s">
        <v>25</v>
      </c>
      <c r="I225" s="73">
        <v>44593</v>
      </c>
      <c r="J225" s="74">
        <f>EFEITO!$J$225*EFEITO!$Y$225</f>
        <v>0</v>
      </c>
      <c r="K225" s="74">
        <f ca="1">EFEITO!$L$225*EFEITO!$Z$225</f>
        <v>-16.694974758268138</v>
      </c>
      <c r="L225" s="74">
        <f>EFEITO!$N$225*EFEITO!$AA$225</f>
        <v>-5.6224246736551375</v>
      </c>
      <c r="M225" s="74">
        <f>$J$225-EFEITO!$K$225*EFEITO!$Y$225</f>
        <v>0</v>
      </c>
      <c r="N225" s="74">
        <f ca="1">$K$225-EFEITO!$M$225*EFEITO!$Z$225</f>
        <v>0</v>
      </c>
      <c r="O225" s="74">
        <f>$L$225-EFEITO!$O$225*EFEITO!$AA$225</f>
        <v>0</v>
      </c>
      <c r="P225" s="57"/>
      <c r="Q225" s="57"/>
      <c r="R225" s="57"/>
      <c r="S225" s="57"/>
      <c r="T225" s="57"/>
      <c r="U225" s="57"/>
      <c r="V225" s="57"/>
      <c r="W225" s="57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53" t="s">
        <v>28</v>
      </c>
      <c r="B226" s="53" t="s">
        <v>22</v>
      </c>
      <c r="C226" s="53" t="s">
        <v>23</v>
      </c>
      <c r="D226" s="53" t="s">
        <v>24</v>
      </c>
      <c r="E226" s="53" t="s">
        <v>24</v>
      </c>
      <c r="F226" s="53" t="s">
        <v>25</v>
      </c>
      <c r="G226" s="53" t="s">
        <v>25</v>
      </c>
      <c r="H226" s="53" t="s">
        <v>25</v>
      </c>
      <c r="I226" s="73">
        <v>44593</v>
      </c>
      <c r="J226" s="74">
        <f>EFEITO!$J$226*EFEITO!$Y$226</f>
        <v>0</v>
      </c>
      <c r="K226" s="74">
        <f ca="1">EFEITO!$L$226*EFEITO!$Z$226</f>
        <v>6242.9385022535616</v>
      </c>
      <c r="L226" s="74">
        <f>EFEITO!$N$226*EFEITO!$AA$226</f>
        <v>2102.4560970838652</v>
      </c>
      <c r="M226" s="74">
        <f>$J$226-EFEITO!$K$226*EFEITO!$Y$226</f>
        <v>0</v>
      </c>
      <c r="N226" s="74">
        <f ca="1">$K$226-EFEITO!$M$226*EFEITO!$Z$226</f>
        <v>0</v>
      </c>
      <c r="O226" s="74">
        <f>$L$226-EFEITO!$O$226*EFEITO!$AA$226</f>
        <v>0</v>
      </c>
      <c r="P226" s="57"/>
      <c r="Q226" s="57"/>
      <c r="R226" s="57"/>
      <c r="S226" s="57"/>
      <c r="T226" s="57"/>
      <c r="U226" s="57"/>
      <c r="V226" s="57"/>
      <c r="W226" s="57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53" t="s">
        <v>21</v>
      </c>
      <c r="B227" s="53" t="s">
        <v>22</v>
      </c>
      <c r="C227" s="53" t="s">
        <v>23</v>
      </c>
      <c r="D227" s="53" t="s">
        <v>24</v>
      </c>
      <c r="E227" s="53" t="s">
        <v>24</v>
      </c>
      <c r="F227" s="53" t="s">
        <v>25</v>
      </c>
      <c r="G227" s="53" t="s">
        <v>25</v>
      </c>
      <c r="H227" s="53" t="s">
        <v>25</v>
      </c>
      <c r="I227" s="73">
        <v>44621</v>
      </c>
      <c r="J227" s="74">
        <f>EFEITO!$J$227*EFEITO!$Y$227</f>
        <v>0</v>
      </c>
      <c r="K227" s="74">
        <f ca="1">EFEITO!$L$227*EFEITO!$Z$227</f>
        <v>908704.52992051851</v>
      </c>
      <c r="L227" s="74">
        <f>EFEITO!$N$227*EFEITO!$AA$227</f>
        <v>306027.58279445965</v>
      </c>
      <c r="M227" s="74">
        <f>$J$227-EFEITO!$K$227*EFEITO!$Y$227</f>
        <v>0</v>
      </c>
      <c r="N227" s="74">
        <f ca="1">$K$227-EFEITO!$M$227*EFEITO!$Z$227</f>
        <v>0</v>
      </c>
      <c r="O227" s="74">
        <f>$L$227-EFEITO!$O$227*EFEITO!$AA$227</f>
        <v>0</v>
      </c>
      <c r="P227" s="57"/>
      <c r="Q227" s="57"/>
      <c r="R227" s="57"/>
      <c r="S227" s="57"/>
      <c r="T227" s="57"/>
      <c r="U227" s="57"/>
      <c r="V227" s="57"/>
      <c r="W227" s="57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53" t="s">
        <v>27</v>
      </c>
      <c r="B228" s="53" t="s">
        <v>22</v>
      </c>
      <c r="C228" s="53" t="s">
        <v>23</v>
      </c>
      <c r="D228" s="53" t="s">
        <v>24</v>
      </c>
      <c r="E228" s="53" t="s">
        <v>24</v>
      </c>
      <c r="F228" s="53" t="s">
        <v>25</v>
      </c>
      <c r="G228" s="53" t="s">
        <v>25</v>
      </c>
      <c r="H228" s="53" t="s">
        <v>25</v>
      </c>
      <c r="I228" s="73">
        <v>44621</v>
      </c>
      <c r="J228" s="74">
        <f>EFEITO!$J$228*EFEITO!$Y$228</f>
        <v>0</v>
      </c>
      <c r="K228" s="74">
        <f ca="1">EFEITO!$L$228*EFEITO!$Z$228</f>
        <v>202.30381177666095</v>
      </c>
      <c r="L228" s="74">
        <f>EFEITO!$N$228*EFEITO!$AA$228</f>
        <v>68.130557810174011</v>
      </c>
      <c r="M228" s="74">
        <f>$J$228-EFEITO!$K$228*EFEITO!$Y$228</f>
        <v>0</v>
      </c>
      <c r="N228" s="74">
        <f ca="1">$K$228-EFEITO!$M$228*EFEITO!$Z$228</f>
        <v>0</v>
      </c>
      <c r="O228" s="74">
        <f>$L$228-EFEITO!$O$228*EFEITO!$AA$228</f>
        <v>0</v>
      </c>
      <c r="P228" s="57"/>
      <c r="Q228" s="57"/>
      <c r="R228" s="57"/>
      <c r="S228" s="57"/>
      <c r="T228" s="57"/>
      <c r="U228" s="57"/>
      <c r="V228" s="57"/>
      <c r="W228" s="57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53" t="s">
        <v>28</v>
      </c>
      <c r="B229" s="53" t="s">
        <v>22</v>
      </c>
      <c r="C229" s="53" t="s">
        <v>23</v>
      </c>
      <c r="D229" s="53" t="s">
        <v>24</v>
      </c>
      <c r="E229" s="53" t="s">
        <v>24</v>
      </c>
      <c r="F229" s="53" t="s">
        <v>25</v>
      </c>
      <c r="G229" s="53" t="s">
        <v>25</v>
      </c>
      <c r="H229" s="53" t="s">
        <v>25</v>
      </c>
      <c r="I229" s="73">
        <v>44621</v>
      </c>
      <c r="J229" s="74">
        <f>EFEITO!$J$229*EFEITO!$Y$229</f>
        <v>0</v>
      </c>
      <c r="K229" s="74">
        <f ca="1">EFEITO!$L$229*EFEITO!$Z$229</f>
        <v>13331.428373146467</v>
      </c>
      <c r="L229" s="74">
        <f>EFEITO!$N$229*EFEITO!$AA$229</f>
        <v>4489.6714673452043</v>
      </c>
      <c r="M229" s="74">
        <f>$J$229-EFEITO!$K$229*EFEITO!$Y$229</f>
        <v>0</v>
      </c>
      <c r="N229" s="74">
        <f ca="1">$K$229-EFEITO!$M$229*EFEITO!$Z$229</f>
        <v>0</v>
      </c>
      <c r="O229" s="74">
        <f>$L$229-EFEITO!$O$229*EFEITO!$AA$229</f>
        <v>0</v>
      </c>
      <c r="P229" s="57"/>
      <c r="Q229" s="57"/>
      <c r="R229" s="57"/>
      <c r="S229" s="57"/>
      <c r="T229" s="57"/>
      <c r="U229" s="57"/>
      <c r="V229" s="57"/>
      <c r="W229" s="57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53" t="s">
        <v>21</v>
      </c>
      <c r="B230" s="53" t="s">
        <v>22</v>
      </c>
      <c r="C230" s="53" t="s">
        <v>23</v>
      </c>
      <c r="D230" s="53" t="s">
        <v>24</v>
      </c>
      <c r="E230" s="53" t="s">
        <v>29</v>
      </c>
      <c r="F230" s="53" t="s">
        <v>25</v>
      </c>
      <c r="G230" s="53" t="s">
        <v>25</v>
      </c>
      <c r="H230" s="53" t="s">
        <v>25</v>
      </c>
      <c r="I230" s="73">
        <v>44287</v>
      </c>
      <c r="J230" s="74">
        <f>EFEITO!$J$230*EFEITO!$Y$194</f>
        <v>0</v>
      </c>
      <c r="K230" s="74">
        <f ca="1">EFEITO!$L$230*EFEITO!$Z$266</f>
        <v>1678.2465156558212</v>
      </c>
      <c r="L230" s="74">
        <f>EFEITO!$N$230*EFEITO!$AA$266</f>
        <v>644.92518315455982</v>
      </c>
      <c r="M230" s="74">
        <f>$J$230-EFEITO!$K$230*EFEITO!$Y$230</f>
        <v>0</v>
      </c>
      <c r="N230" s="74">
        <f ca="1">$K$230-EFEITO!$M$230*EFEITO!$Z$230</f>
        <v>1090.8602351762838</v>
      </c>
      <c r="O230" s="74">
        <f>$L$230-EFEITO!$O$230*EFEITO!$AA$230</f>
        <v>419.20136905046388</v>
      </c>
      <c r="P230" s="57"/>
      <c r="Q230" s="57"/>
      <c r="R230" s="57"/>
      <c r="S230" s="57"/>
      <c r="T230" s="57"/>
      <c r="U230" s="57"/>
      <c r="V230" s="57"/>
      <c r="W230" s="57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53" t="s">
        <v>21</v>
      </c>
      <c r="B231" s="53" t="s">
        <v>22</v>
      </c>
      <c r="C231" s="53" t="s">
        <v>23</v>
      </c>
      <c r="D231" s="53" t="s">
        <v>24</v>
      </c>
      <c r="E231" s="53" t="s">
        <v>29</v>
      </c>
      <c r="F231" s="53" t="s">
        <v>25</v>
      </c>
      <c r="G231" s="53" t="s">
        <v>25</v>
      </c>
      <c r="H231" s="53" t="s">
        <v>25</v>
      </c>
      <c r="I231" s="73">
        <v>44317</v>
      </c>
      <c r="J231" s="74">
        <f>EFEITO!$J$231*EFEITO!$Y$194</f>
        <v>0</v>
      </c>
      <c r="K231" s="74">
        <f ca="1">EFEITO!$L$231*EFEITO!$Z$266</f>
        <v>1833.1615786394354</v>
      </c>
      <c r="L231" s="74">
        <f>EFEITO!$N$231*EFEITO!$AA$266</f>
        <v>704.45673852267294</v>
      </c>
      <c r="M231" s="74">
        <f>$J$231-EFEITO!$K$231*EFEITO!$Y$231</f>
        <v>0</v>
      </c>
      <c r="N231" s="74">
        <f ca="1">$K$231-EFEITO!$M$231*EFEITO!$Z$231</f>
        <v>1191.5550261156332</v>
      </c>
      <c r="O231" s="74">
        <f>$L$231-EFEITO!$O$231*EFEITO!$AA$231</f>
        <v>457.89688003973743</v>
      </c>
      <c r="P231" s="57"/>
      <c r="Q231" s="57"/>
      <c r="R231" s="57"/>
      <c r="S231" s="57"/>
      <c r="T231" s="57"/>
      <c r="U231" s="57"/>
      <c r="V231" s="57"/>
      <c r="W231" s="57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53" t="s">
        <v>21</v>
      </c>
      <c r="B232" s="53" t="s">
        <v>22</v>
      </c>
      <c r="C232" s="53" t="s">
        <v>23</v>
      </c>
      <c r="D232" s="53" t="s">
        <v>24</v>
      </c>
      <c r="E232" s="53" t="s">
        <v>29</v>
      </c>
      <c r="F232" s="53" t="s">
        <v>25</v>
      </c>
      <c r="G232" s="53" t="s">
        <v>25</v>
      </c>
      <c r="H232" s="53" t="s">
        <v>25</v>
      </c>
      <c r="I232" s="73">
        <v>44348</v>
      </c>
      <c r="J232" s="74">
        <f>EFEITO!$J$232*EFEITO!$Y$194</f>
        <v>0</v>
      </c>
      <c r="K232" s="74">
        <f ca="1">EFEITO!$L$232*EFEITO!$Z$266</f>
        <v>1910.6191101312429</v>
      </c>
      <c r="L232" s="74">
        <f>EFEITO!$N$232*EFEITO!$AA$266</f>
        <v>734.22251620672967</v>
      </c>
      <c r="M232" s="74">
        <f>$J$232-EFEITO!$K$232*EFEITO!$Y$232</f>
        <v>0</v>
      </c>
      <c r="N232" s="74">
        <f ca="1">$K$232-EFEITO!$M$232*EFEITO!$Z$232</f>
        <v>1241.9024215853078</v>
      </c>
      <c r="O232" s="74">
        <f>$L$232-EFEITO!$O$232*EFEITO!$AA$232</f>
        <v>477.24463553437431</v>
      </c>
      <c r="P232" s="57"/>
      <c r="Q232" s="57"/>
      <c r="R232" s="57"/>
      <c r="S232" s="57"/>
      <c r="T232" s="57"/>
      <c r="U232" s="57"/>
      <c r="V232" s="57"/>
      <c r="W232" s="57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53" t="s">
        <v>21</v>
      </c>
      <c r="B233" s="53" t="s">
        <v>22</v>
      </c>
      <c r="C233" s="53" t="s">
        <v>23</v>
      </c>
      <c r="D233" s="53" t="s">
        <v>24</v>
      </c>
      <c r="E233" s="53" t="s">
        <v>29</v>
      </c>
      <c r="F233" s="53" t="s">
        <v>25</v>
      </c>
      <c r="G233" s="53" t="s">
        <v>25</v>
      </c>
      <c r="H233" s="53" t="s">
        <v>25</v>
      </c>
      <c r="I233" s="73">
        <v>44378</v>
      </c>
      <c r="J233" s="74">
        <f>EFEITO!$J$233*EFEITO!$Y$194</f>
        <v>0</v>
      </c>
      <c r="K233" s="74">
        <f ca="1">EFEITO!$L$233*EFEITO!$Z$266</f>
        <v>1962.2574644591139</v>
      </c>
      <c r="L233" s="74">
        <f>EFEITO!$N$233*EFEITO!$AA$266</f>
        <v>754.06636799610067</v>
      </c>
      <c r="M233" s="74">
        <f>$J$233-EFEITO!$K$233*EFEITO!$Y$233</f>
        <v>0</v>
      </c>
      <c r="N233" s="74">
        <f ca="1">$K$233-EFEITO!$M$233*EFEITO!$Z$233</f>
        <v>1275.4673518984241</v>
      </c>
      <c r="O233" s="74">
        <f>$L$233-EFEITO!$O$233*EFEITO!$AA$233</f>
        <v>490.14313919746547</v>
      </c>
      <c r="P233" s="57"/>
      <c r="Q233" s="57"/>
      <c r="R233" s="57"/>
      <c r="S233" s="57"/>
      <c r="T233" s="57"/>
      <c r="U233" s="57"/>
      <c r="V233" s="57"/>
      <c r="W233" s="57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53" t="s">
        <v>21</v>
      </c>
      <c r="B234" s="53" t="s">
        <v>22</v>
      </c>
      <c r="C234" s="53" t="s">
        <v>23</v>
      </c>
      <c r="D234" s="53" t="s">
        <v>24</v>
      </c>
      <c r="E234" s="53" t="s">
        <v>29</v>
      </c>
      <c r="F234" s="53" t="s">
        <v>25</v>
      </c>
      <c r="G234" s="53" t="s">
        <v>25</v>
      </c>
      <c r="H234" s="53" t="s">
        <v>25</v>
      </c>
      <c r="I234" s="73">
        <v>44409</v>
      </c>
      <c r="J234" s="74">
        <f>EFEITO!$J$234*EFEITO!$Y$194</f>
        <v>0</v>
      </c>
      <c r="K234" s="74">
        <f ca="1">EFEITO!$L$234*EFEITO!$Z$266</f>
        <v>1988.0766416230499</v>
      </c>
      <c r="L234" s="74">
        <f>EFEITO!$N$234*EFEITO!$AA$266</f>
        <v>763.98829389078628</v>
      </c>
      <c r="M234" s="74">
        <f>$J$234-EFEITO!$K$234*EFEITO!$Y$234</f>
        <v>0</v>
      </c>
      <c r="N234" s="74">
        <f ca="1">$K$234-EFEITO!$M$234*EFEITO!$Z$234</f>
        <v>1292.2498170549825</v>
      </c>
      <c r="O234" s="74">
        <f>$L$234-EFEITO!$O$234*EFEITO!$AA$234</f>
        <v>496.59239102901114</v>
      </c>
      <c r="P234" s="57"/>
      <c r="Q234" s="57"/>
      <c r="R234" s="57"/>
      <c r="S234" s="57"/>
      <c r="T234" s="57"/>
      <c r="U234" s="57"/>
      <c r="V234" s="57"/>
      <c r="W234" s="57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53" t="s">
        <v>21</v>
      </c>
      <c r="B235" s="53" t="s">
        <v>22</v>
      </c>
      <c r="C235" s="53" t="s">
        <v>23</v>
      </c>
      <c r="D235" s="53" t="s">
        <v>24</v>
      </c>
      <c r="E235" s="53" t="s">
        <v>29</v>
      </c>
      <c r="F235" s="53" t="s">
        <v>25</v>
      </c>
      <c r="G235" s="53" t="s">
        <v>25</v>
      </c>
      <c r="H235" s="53" t="s">
        <v>25</v>
      </c>
      <c r="I235" s="73">
        <v>44440</v>
      </c>
      <c r="J235" s="74">
        <f>EFEITO!$J$235*EFEITO!$Y$194</f>
        <v>0</v>
      </c>
      <c r="K235" s="74">
        <f ca="1">EFEITO!$L$235*EFEITO!$Z$266</f>
        <v>2013.8958187869853</v>
      </c>
      <c r="L235" s="74">
        <f>EFEITO!$N$235*EFEITO!$AA$266</f>
        <v>773.91021978547167</v>
      </c>
      <c r="M235" s="74">
        <f>$J$235-EFEITO!$K$235*EFEITO!$Y$235</f>
        <v>0</v>
      </c>
      <c r="N235" s="74">
        <f ca="1">$K$235-EFEITO!$M$235*EFEITO!$Z$235</f>
        <v>1309.0322822115404</v>
      </c>
      <c r="O235" s="74">
        <f>$L$235-EFEITO!$O$235*EFEITO!$AA$235</f>
        <v>503.04164286055658</v>
      </c>
      <c r="P235" s="57"/>
      <c r="Q235" s="57"/>
      <c r="R235" s="57"/>
      <c r="S235" s="57"/>
      <c r="T235" s="57"/>
      <c r="U235" s="57"/>
      <c r="V235" s="57"/>
      <c r="W235" s="57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53" t="s">
        <v>21</v>
      </c>
      <c r="B236" s="53" t="s">
        <v>22</v>
      </c>
      <c r="C236" s="53" t="s">
        <v>23</v>
      </c>
      <c r="D236" s="53" t="s">
        <v>24</v>
      </c>
      <c r="E236" s="53" t="s">
        <v>29</v>
      </c>
      <c r="F236" s="53" t="s">
        <v>25</v>
      </c>
      <c r="G236" s="53" t="s">
        <v>25</v>
      </c>
      <c r="H236" s="53" t="s">
        <v>25</v>
      </c>
      <c r="I236" s="73">
        <v>44470</v>
      </c>
      <c r="J236" s="74">
        <f>EFEITO!$J$236*EFEITO!$Y$194</f>
        <v>0</v>
      </c>
      <c r="K236" s="74">
        <f ca="1">EFEITO!$L$236*EFEITO!$Z$266</f>
        <v>2091.3533502787927</v>
      </c>
      <c r="L236" s="74">
        <f>EFEITO!$N$236*EFEITO!$AA$266</f>
        <v>803.6759974695284</v>
      </c>
      <c r="M236" s="74">
        <f>$J$236-EFEITO!$K$236*EFEITO!$Y$236</f>
        <v>0</v>
      </c>
      <c r="N236" s="74">
        <f ca="1">$K$236-EFEITO!$M$236*EFEITO!$Z$236</f>
        <v>1359.3796776812153</v>
      </c>
      <c r="O236" s="74">
        <f>$L$236-EFEITO!$O$236*EFEITO!$AA$236</f>
        <v>522.38939835519341</v>
      </c>
      <c r="P236" s="57"/>
      <c r="Q236" s="57"/>
      <c r="R236" s="57"/>
      <c r="S236" s="57"/>
      <c r="T236" s="57"/>
      <c r="U236" s="57"/>
      <c r="V236" s="57"/>
      <c r="W236" s="57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53" t="s">
        <v>21</v>
      </c>
      <c r="B237" s="53" t="s">
        <v>22</v>
      </c>
      <c r="C237" s="53" t="s">
        <v>23</v>
      </c>
      <c r="D237" s="53" t="s">
        <v>24</v>
      </c>
      <c r="E237" s="53" t="s">
        <v>29</v>
      </c>
      <c r="F237" s="53" t="s">
        <v>25</v>
      </c>
      <c r="G237" s="53" t="s">
        <v>25</v>
      </c>
      <c r="H237" s="53" t="s">
        <v>25</v>
      </c>
      <c r="I237" s="73">
        <v>44501</v>
      </c>
      <c r="J237" s="74">
        <f>EFEITO!$J$237*EFEITO!$Y$194</f>
        <v>0</v>
      </c>
      <c r="K237" s="74">
        <f ca="1">EFEITO!$L$237*EFEITO!$Z$266</f>
        <v>2272.0875904263426</v>
      </c>
      <c r="L237" s="74">
        <f>EFEITO!$N$237*EFEITO!$AA$266</f>
        <v>873.12947873232713</v>
      </c>
      <c r="M237" s="74">
        <f>$J$237-EFEITO!$K$237*EFEITO!$Y$237</f>
        <v>0</v>
      </c>
      <c r="N237" s="74">
        <f ca="1">$K$237-EFEITO!$M$237*EFEITO!$Z$237</f>
        <v>1476.8569337771228</v>
      </c>
      <c r="O237" s="74">
        <f>$L$237-EFEITO!$O$237*EFEITO!$AA$237</f>
        <v>567.53416117601273</v>
      </c>
      <c r="P237" s="57"/>
      <c r="Q237" s="57"/>
      <c r="R237" s="57"/>
      <c r="S237" s="57"/>
      <c r="T237" s="57"/>
      <c r="U237" s="57"/>
      <c r="V237" s="57"/>
      <c r="W237" s="57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53" t="s">
        <v>21</v>
      </c>
      <c r="B238" s="53" t="s">
        <v>22</v>
      </c>
      <c r="C238" s="53" t="s">
        <v>23</v>
      </c>
      <c r="D238" s="53" t="s">
        <v>24</v>
      </c>
      <c r="E238" s="53" t="s">
        <v>29</v>
      </c>
      <c r="F238" s="53" t="s">
        <v>25</v>
      </c>
      <c r="G238" s="53" t="s">
        <v>25</v>
      </c>
      <c r="H238" s="53" t="s">
        <v>25</v>
      </c>
      <c r="I238" s="73">
        <v>44531</v>
      </c>
      <c r="J238" s="74">
        <f>EFEITO!$J$238*EFEITO!$Y$194</f>
        <v>0</v>
      </c>
      <c r="K238" s="74">
        <f ca="1">EFEITO!$L$238*EFEITO!$Z$266</f>
        <v>2349.5451219181496</v>
      </c>
      <c r="L238" s="74">
        <f>EFEITO!$N$238*EFEITO!$AA$266</f>
        <v>902.89525641638375</v>
      </c>
      <c r="M238" s="74">
        <f>$J$238-EFEITO!$K$238*EFEITO!$Y$238</f>
        <v>0</v>
      </c>
      <c r="N238" s="74">
        <f ca="1">$K$238-EFEITO!$M$238*EFEITO!$Z$238</f>
        <v>1527.2043292467972</v>
      </c>
      <c r="O238" s="74">
        <f>$L$238-EFEITO!$O$238*EFEITO!$AA$238</f>
        <v>586.8819166706495</v>
      </c>
      <c r="P238" s="57"/>
      <c r="Q238" s="57"/>
      <c r="R238" s="57"/>
      <c r="S238" s="57"/>
      <c r="T238" s="57"/>
      <c r="U238" s="57"/>
      <c r="V238" s="57"/>
      <c r="W238" s="57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53" t="s">
        <v>21</v>
      </c>
      <c r="B239" s="53" t="s">
        <v>22</v>
      </c>
      <c r="C239" s="53" t="s">
        <v>23</v>
      </c>
      <c r="D239" s="53" t="s">
        <v>24</v>
      </c>
      <c r="E239" s="53" t="s">
        <v>29</v>
      </c>
      <c r="F239" s="53" t="s">
        <v>25</v>
      </c>
      <c r="G239" s="53" t="s">
        <v>25</v>
      </c>
      <c r="H239" s="53" t="s">
        <v>25</v>
      </c>
      <c r="I239" s="73">
        <v>44562</v>
      </c>
      <c r="J239" s="74">
        <f>EFEITO!$J$239*EFEITO!$Y$194</f>
        <v>0</v>
      </c>
      <c r="K239" s="74">
        <f ca="1">EFEITO!$L$239*EFEITO!$Z$266</f>
        <v>2349.5451219181496</v>
      </c>
      <c r="L239" s="74">
        <f>EFEITO!$N$239*EFEITO!$AA$266</f>
        <v>902.89525641638375</v>
      </c>
      <c r="M239" s="74">
        <f>$J$239-EFEITO!$K$239*EFEITO!$Y$239</f>
        <v>0</v>
      </c>
      <c r="N239" s="74">
        <f ca="1">$K$239-EFEITO!$M$239*EFEITO!$Z$239</f>
        <v>1527.2043292467972</v>
      </c>
      <c r="O239" s="74">
        <f>$L$239-EFEITO!$O$239*EFEITO!$AA$239</f>
        <v>586.8819166706495</v>
      </c>
      <c r="P239" s="57"/>
      <c r="Q239" s="57"/>
      <c r="R239" s="57"/>
      <c r="S239" s="57"/>
      <c r="T239" s="57"/>
      <c r="U239" s="57"/>
      <c r="V239" s="57"/>
      <c r="W239" s="57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53" t="s">
        <v>21</v>
      </c>
      <c r="B240" s="53" t="s">
        <v>22</v>
      </c>
      <c r="C240" s="53" t="s">
        <v>23</v>
      </c>
      <c r="D240" s="53" t="s">
        <v>24</v>
      </c>
      <c r="E240" s="53" t="s">
        <v>29</v>
      </c>
      <c r="F240" s="53" t="s">
        <v>25</v>
      </c>
      <c r="G240" s="53" t="s">
        <v>25</v>
      </c>
      <c r="H240" s="53" t="s">
        <v>25</v>
      </c>
      <c r="I240" s="73">
        <v>44593</v>
      </c>
      <c r="J240" s="74">
        <f>EFEITO!$J$240*EFEITO!$Y$194</f>
        <v>0</v>
      </c>
      <c r="K240" s="74">
        <f ca="1">EFEITO!$L$240*EFEITO!$Z$266</f>
        <v>2711.0136022132497</v>
      </c>
      <c r="L240" s="74">
        <f>EFEITO!$N$240*EFEITO!$AA$266</f>
        <v>1041.8022189419812</v>
      </c>
      <c r="M240" s="74">
        <f>$J$240-EFEITO!$K$240*EFEITO!$Y$240</f>
        <v>0</v>
      </c>
      <c r="N240" s="74">
        <f ca="1">$K$240-EFEITO!$M$240*EFEITO!$Z$240</f>
        <v>1762.1588414386124</v>
      </c>
      <c r="O240" s="74">
        <f>$L$240-EFEITO!$O$240*EFEITO!$AA$240</f>
        <v>677.17144231228781</v>
      </c>
      <c r="P240" s="57"/>
      <c r="Q240" s="57"/>
      <c r="R240" s="57"/>
      <c r="S240" s="57"/>
      <c r="T240" s="57"/>
      <c r="U240" s="57"/>
      <c r="V240" s="57"/>
      <c r="W240" s="57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53" t="s">
        <v>21</v>
      </c>
      <c r="B241" s="53" t="s">
        <v>22</v>
      </c>
      <c r="C241" s="53" t="s">
        <v>23</v>
      </c>
      <c r="D241" s="53" t="s">
        <v>24</v>
      </c>
      <c r="E241" s="53" t="s">
        <v>29</v>
      </c>
      <c r="F241" s="53" t="s">
        <v>25</v>
      </c>
      <c r="G241" s="53" t="s">
        <v>25</v>
      </c>
      <c r="H241" s="53" t="s">
        <v>25</v>
      </c>
      <c r="I241" s="73">
        <v>44621</v>
      </c>
      <c r="J241" s="74">
        <f>EFEITO!$J$241*EFEITO!$Y$194</f>
        <v>0</v>
      </c>
      <c r="K241" s="74">
        <f ca="1">EFEITO!$L$241*EFEITO!$Z$266</f>
        <v>10043.659916770992</v>
      </c>
      <c r="L241" s="74">
        <f>EFEITO!$N$241*EFEITO!$AA$266</f>
        <v>3859.6291730326734</v>
      </c>
      <c r="M241" s="74">
        <f>$J$241-EFEITO!$K$241*EFEITO!$Y$241</f>
        <v>0</v>
      </c>
      <c r="N241" s="74">
        <f ca="1">$K$241-EFEITO!$M$241*EFEITO!$Z$241</f>
        <v>6528.378945901145</v>
      </c>
      <c r="O241" s="74">
        <f>$L$241-EFEITO!$O$241*EFEITO!$AA$241</f>
        <v>2508.7589624712382</v>
      </c>
      <c r="P241" s="57"/>
      <c r="Q241" s="57"/>
      <c r="R241" s="57"/>
      <c r="S241" s="57"/>
      <c r="T241" s="57"/>
      <c r="U241" s="57"/>
      <c r="V241" s="57"/>
      <c r="W241" s="57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53" t="s">
        <v>21</v>
      </c>
      <c r="B242" s="53" t="s">
        <v>22</v>
      </c>
      <c r="C242" s="53" t="s">
        <v>23</v>
      </c>
      <c r="D242" s="53" t="s">
        <v>24</v>
      </c>
      <c r="E242" s="53" t="s">
        <v>30</v>
      </c>
      <c r="F242" s="53" t="s">
        <v>25</v>
      </c>
      <c r="G242" s="53" t="s">
        <v>25</v>
      </c>
      <c r="H242" s="53" t="s">
        <v>25</v>
      </c>
      <c r="I242" s="73">
        <v>44287</v>
      </c>
      <c r="J242" s="74">
        <f>EFEITO!$J$242*EFEITO!$Y$194</f>
        <v>0</v>
      </c>
      <c r="K242" s="74">
        <f ca="1">EFEITO!$L$242*EFEITO!$Z$266</f>
        <v>3662.0199610848817</v>
      </c>
      <c r="L242" s="74">
        <f>EFEITO!$N$242*EFEITO!$AA$266</f>
        <v>1407.259822729565</v>
      </c>
      <c r="M242" s="74">
        <f>$J$242-EFEITO!$K$242*EFEITO!$Y$242</f>
        <v>0</v>
      </c>
      <c r="N242" s="74">
        <f ca="1">$K$242-EFEITO!$M$242*EFEITO!$Z$242</f>
        <v>1464.8079844339527</v>
      </c>
      <c r="O242" s="74">
        <f>$L$242-EFEITO!$O$242*EFEITO!$AA$242</f>
        <v>562.90392909182606</v>
      </c>
      <c r="P242" s="57"/>
      <c r="Q242" s="57"/>
      <c r="R242" s="57"/>
      <c r="S242" s="57"/>
      <c r="T242" s="57"/>
      <c r="U242" s="57"/>
      <c r="V242" s="57"/>
      <c r="W242" s="57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53" t="s">
        <v>21</v>
      </c>
      <c r="B243" s="53" t="s">
        <v>22</v>
      </c>
      <c r="C243" s="53" t="s">
        <v>23</v>
      </c>
      <c r="D243" s="53" t="s">
        <v>24</v>
      </c>
      <c r="E243" s="53" t="s">
        <v>30</v>
      </c>
      <c r="F243" s="53" t="s">
        <v>25</v>
      </c>
      <c r="G243" s="53" t="s">
        <v>25</v>
      </c>
      <c r="H243" s="53" t="s">
        <v>25</v>
      </c>
      <c r="I243" s="73">
        <v>44317</v>
      </c>
      <c r="J243" s="74">
        <f>EFEITO!$J$243*EFEITO!$Y$194</f>
        <v>0</v>
      </c>
      <c r="K243" s="74">
        <f ca="1">EFEITO!$L$243*EFEITO!$Z$266</f>
        <v>3822.0988595012832</v>
      </c>
      <c r="L243" s="74">
        <f>EFEITO!$N$243*EFEITO!$AA$266</f>
        <v>1468.7757632766154</v>
      </c>
      <c r="M243" s="74">
        <f>$J$243-EFEITO!$K$243*EFEITO!$Y$243</f>
        <v>0</v>
      </c>
      <c r="N243" s="74">
        <f ca="1">$K$243-EFEITO!$M$243*EFEITO!$Z$243</f>
        <v>1528.8395438005132</v>
      </c>
      <c r="O243" s="74">
        <f>$L$243-EFEITO!$O$243*EFEITO!$AA$243</f>
        <v>587.51030531064623</v>
      </c>
      <c r="P243" s="57"/>
      <c r="Q243" s="57"/>
      <c r="R243" s="57"/>
      <c r="S243" s="57"/>
      <c r="T243" s="57"/>
      <c r="U243" s="57"/>
      <c r="V243" s="57"/>
      <c r="W243" s="57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53" t="s">
        <v>21</v>
      </c>
      <c r="B244" s="53" t="s">
        <v>22</v>
      </c>
      <c r="C244" s="53" t="s">
        <v>23</v>
      </c>
      <c r="D244" s="53" t="s">
        <v>24</v>
      </c>
      <c r="E244" s="53" t="s">
        <v>30</v>
      </c>
      <c r="F244" s="53" t="s">
        <v>25</v>
      </c>
      <c r="G244" s="53" t="s">
        <v>25</v>
      </c>
      <c r="H244" s="53" t="s">
        <v>25</v>
      </c>
      <c r="I244" s="73">
        <v>44348</v>
      </c>
      <c r="J244" s="74">
        <f>EFEITO!$J$244*EFEITO!$Y$194</f>
        <v>0</v>
      </c>
      <c r="K244" s="74">
        <f ca="1">EFEITO!$L$244*EFEITO!$Z$266</f>
        <v>4049.3076185439177</v>
      </c>
      <c r="L244" s="74">
        <f>EFEITO!$N$244*EFEITO!$AA$266</f>
        <v>1556.0887111498482</v>
      </c>
      <c r="M244" s="74">
        <f>$J$244-EFEITO!$K$244*EFEITO!$Y$244</f>
        <v>0</v>
      </c>
      <c r="N244" s="74">
        <f ca="1">$K$244-EFEITO!$M$244*EFEITO!$Z$244</f>
        <v>1619.7230474175672</v>
      </c>
      <c r="O244" s="74">
        <f>$L$244-EFEITO!$O$244*EFEITO!$AA$244</f>
        <v>622.4354844599394</v>
      </c>
      <c r="P244" s="57"/>
      <c r="Q244" s="57"/>
      <c r="R244" s="57"/>
      <c r="S244" s="57"/>
      <c r="T244" s="57"/>
      <c r="U244" s="57"/>
      <c r="V244" s="57"/>
      <c r="W244" s="57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53" t="s">
        <v>21</v>
      </c>
      <c r="B245" s="53" t="s">
        <v>22</v>
      </c>
      <c r="C245" s="53" t="s">
        <v>23</v>
      </c>
      <c r="D245" s="53" t="s">
        <v>24</v>
      </c>
      <c r="E245" s="53" t="s">
        <v>30</v>
      </c>
      <c r="F245" s="53" t="s">
        <v>25</v>
      </c>
      <c r="G245" s="53" t="s">
        <v>25</v>
      </c>
      <c r="H245" s="53" t="s">
        <v>25</v>
      </c>
      <c r="I245" s="73">
        <v>44378</v>
      </c>
      <c r="J245" s="74">
        <f>EFEITO!$J$245*EFEITO!$Y$194</f>
        <v>0</v>
      </c>
      <c r="K245" s="74">
        <f ca="1">EFEITO!$L$245*EFEITO!$Z$266</f>
        <v>3838.4510050384424</v>
      </c>
      <c r="L245" s="74">
        <f>EFEITO!$N$245*EFEITO!$AA$266</f>
        <v>1475.0596496765829</v>
      </c>
      <c r="M245" s="74">
        <f>$J$245-EFEITO!$K$245*EFEITO!$Y$245</f>
        <v>0</v>
      </c>
      <c r="N245" s="74">
        <f ca="1">$K$245-EFEITO!$M$245*EFEITO!$Z$245</f>
        <v>1535.3804020153771</v>
      </c>
      <c r="O245" s="74">
        <f>$L$245-EFEITO!$O$245*EFEITO!$AA$245</f>
        <v>590.02385987063326</v>
      </c>
      <c r="P245" s="57"/>
      <c r="Q245" s="57"/>
      <c r="R245" s="57"/>
      <c r="S245" s="57"/>
      <c r="T245" s="57"/>
      <c r="U245" s="57"/>
      <c r="V245" s="57"/>
      <c r="W245" s="57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53" t="s">
        <v>21</v>
      </c>
      <c r="B246" s="53" t="s">
        <v>22</v>
      </c>
      <c r="C246" s="53" t="s">
        <v>23</v>
      </c>
      <c r="D246" s="53" t="s">
        <v>24</v>
      </c>
      <c r="E246" s="53" t="s">
        <v>30</v>
      </c>
      <c r="F246" s="53" t="s">
        <v>25</v>
      </c>
      <c r="G246" s="53" t="s">
        <v>25</v>
      </c>
      <c r="H246" s="53" t="s">
        <v>25</v>
      </c>
      <c r="I246" s="73">
        <v>44409</v>
      </c>
      <c r="J246" s="74">
        <f>EFEITO!$J$246*EFEITO!$Y$194</f>
        <v>0</v>
      </c>
      <c r="K246" s="74">
        <f ca="1">EFEITO!$L$246*EFEITO!$Z$266</f>
        <v>3765.2966697406246</v>
      </c>
      <c r="L246" s="74">
        <f>EFEITO!$N$246*EFEITO!$AA$266</f>
        <v>1446.9475263083073</v>
      </c>
      <c r="M246" s="74">
        <f>$J$246-EFEITO!$K$246*EFEITO!$Y$246</f>
        <v>0</v>
      </c>
      <c r="N246" s="74">
        <f ca="1">$K$246-EFEITO!$M$246*EFEITO!$Z$246</f>
        <v>1506.1186678962499</v>
      </c>
      <c r="O246" s="74">
        <f>$L$246-EFEITO!$O$246*EFEITO!$AA$246</f>
        <v>578.779010523323</v>
      </c>
      <c r="P246" s="57"/>
      <c r="Q246" s="57"/>
      <c r="R246" s="57"/>
      <c r="S246" s="57"/>
      <c r="T246" s="57"/>
      <c r="U246" s="57"/>
      <c r="V246" s="57"/>
      <c r="W246" s="57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53" t="s">
        <v>21</v>
      </c>
      <c r="B247" s="53" t="s">
        <v>22</v>
      </c>
      <c r="C247" s="53" t="s">
        <v>23</v>
      </c>
      <c r="D247" s="53" t="s">
        <v>24</v>
      </c>
      <c r="E247" s="53" t="s">
        <v>30</v>
      </c>
      <c r="F247" s="53" t="s">
        <v>25</v>
      </c>
      <c r="G247" s="53" t="s">
        <v>25</v>
      </c>
      <c r="H247" s="53" t="s">
        <v>25</v>
      </c>
      <c r="I247" s="73">
        <v>44440</v>
      </c>
      <c r="J247" s="74">
        <f>EFEITO!$J$247*EFEITO!$Y$194</f>
        <v>0</v>
      </c>
      <c r="K247" s="74">
        <f ca="1">EFEITO!$L$247*EFEITO!$Z$266</f>
        <v>4014.8820489920031</v>
      </c>
      <c r="L247" s="74">
        <f>EFEITO!$N$247*EFEITO!$AA$266</f>
        <v>1542.8594766236008</v>
      </c>
      <c r="M247" s="74">
        <f>$J$247-EFEITO!$K$247*EFEITO!$Y$247</f>
        <v>0</v>
      </c>
      <c r="N247" s="74">
        <f ca="1">$K$247-EFEITO!$M$247*EFEITO!$Z$247</f>
        <v>1605.9528195968014</v>
      </c>
      <c r="O247" s="74">
        <f>$L$247-EFEITO!$O$247*EFEITO!$AA$247</f>
        <v>617.14379064944046</v>
      </c>
      <c r="P247" s="57"/>
      <c r="Q247" s="57"/>
      <c r="R247" s="57"/>
      <c r="S247" s="57"/>
      <c r="T247" s="57"/>
      <c r="U247" s="57"/>
      <c r="V247" s="57"/>
      <c r="W247" s="57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53" t="s">
        <v>21</v>
      </c>
      <c r="B248" s="53" t="s">
        <v>22</v>
      </c>
      <c r="C248" s="53" t="s">
        <v>23</v>
      </c>
      <c r="D248" s="53" t="s">
        <v>24</v>
      </c>
      <c r="E248" s="53" t="s">
        <v>30</v>
      </c>
      <c r="F248" s="53" t="s">
        <v>25</v>
      </c>
      <c r="G248" s="53" t="s">
        <v>25</v>
      </c>
      <c r="H248" s="53" t="s">
        <v>25</v>
      </c>
      <c r="I248" s="73">
        <v>44470</v>
      </c>
      <c r="J248" s="74">
        <f>EFEITO!$J$248*EFEITO!$Y$194</f>
        <v>0</v>
      </c>
      <c r="K248" s="74">
        <f ca="1">EFEITO!$L$248*EFEITO!$Z$266</f>
        <v>4252.4184789002111</v>
      </c>
      <c r="L248" s="74">
        <f>EFEITO!$N$248*EFEITO!$AA$266</f>
        <v>1634.1411948547077</v>
      </c>
      <c r="M248" s="74">
        <f>$J$248-EFEITO!$K$248*EFEITO!$Y$248</f>
        <v>0</v>
      </c>
      <c r="N248" s="74">
        <f ca="1">$K$248-EFEITO!$M$248*EFEITO!$Z$248</f>
        <v>1700.9673915600843</v>
      </c>
      <c r="O248" s="74">
        <f>$L$248-EFEITO!$O$248*EFEITO!$AA$248</f>
        <v>653.65647794188317</v>
      </c>
      <c r="P248" s="57"/>
      <c r="Q248" s="57"/>
      <c r="R248" s="57"/>
      <c r="S248" s="57"/>
      <c r="T248" s="57"/>
      <c r="U248" s="57"/>
      <c r="V248" s="57"/>
      <c r="W248" s="57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53" t="s">
        <v>21</v>
      </c>
      <c r="B249" s="53" t="s">
        <v>22</v>
      </c>
      <c r="C249" s="53" t="s">
        <v>23</v>
      </c>
      <c r="D249" s="53" t="s">
        <v>24</v>
      </c>
      <c r="E249" s="53" t="s">
        <v>30</v>
      </c>
      <c r="F249" s="53" t="s">
        <v>25</v>
      </c>
      <c r="G249" s="53" t="s">
        <v>25</v>
      </c>
      <c r="H249" s="53" t="s">
        <v>25</v>
      </c>
      <c r="I249" s="73">
        <v>44501</v>
      </c>
      <c r="J249" s="74">
        <f>EFEITO!$J$249*EFEITO!$Y$194</f>
        <v>0</v>
      </c>
      <c r="K249" s="74">
        <f ca="1">EFEITO!$L$249*EFEITO!$Z$266</f>
        <v>4329.0153711532212</v>
      </c>
      <c r="L249" s="74">
        <f>EFEITO!$N$249*EFEITO!$AA$266</f>
        <v>1663.5762416756081</v>
      </c>
      <c r="M249" s="74">
        <f>$J$249-EFEITO!$K$249*EFEITO!$Y$249</f>
        <v>0</v>
      </c>
      <c r="N249" s="74">
        <f ca="1">$K$249-EFEITO!$M$249*EFEITO!$Z$249</f>
        <v>1731.6061484612883</v>
      </c>
      <c r="O249" s="74">
        <f>$L$249-EFEITO!$O$249*EFEITO!$AA$249</f>
        <v>665.43049667024331</v>
      </c>
      <c r="P249" s="57"/>
      <c r="Q249" s="57"/>
      <c r="R249" s="57"/>
      <c r="S249" s="57"/>
      <c r="T249" s="57"/>
      <c r="U249" s="57"/>
      <c r="V249" s="57"/>
      <c r="W249" s="57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53" t="s">
        <v>21</v>
      </c>
      <c r="B250" s="53" t="s">
        <v>22</v>
      </c>
      <c r="C250" s="53" t="s">
        <v>23</v>
      </c>
      <c r="D250" s="53" t="s">
        <v>24</v>
      </c>
      <c r="E250" s="53" t="s">
        <v>30</v>
      </c>
      <c r="F250" s="53" t="s">
        <v>25</v>
      </c>
      <c r="G250" s="53" t="s">
        <v>25</v>
      </c>
      <c r="H250" s="53" t="s">
        <v>25</v>
      </c>
      <c r="I250" s="73">
        <v>44531</v>
      </c>
      <c r="J250" s="74">
        <f>EFEITO!$J$250*EFEITO!$Y$194</f>
        <v>0</v>
      </c>
      <c r="K250" s="74">
        <f ca="1">EFEITO!$L$250*EFEITO!$Z$266</f>
        <v>4742.1222057761925</v>
      </c>
      <c r="L250" s="74">
        <f>EFEITO!$N$250*EFEITO!$AA$266</f>
        <v>1822.3270559905766</v>
      </c>
      <c r="M250" s="74">
        <f>$J$250-EFEITO!$K$250*EFEITO!$Y$250</f>
        <v>0</v>
      </c>
      <c r="N250" s="74">
        <f ca="1">$K$250-EFEITO!$M$250*EFEITO!$Z$250</f>
        <v>1896.8488823104772</v>
      </c>
      <c r="O250" s="74">
        <f>$L$250-EFEITO!$O$250*EFEITO!$AA$250</f>
        <v>728.93082239623072</v>
      </c>
      <c r="P250" s="57"/>
      <c r="Q250" s="57"/>
      <c r="R250" s="57"/>
      <c r="S250" s="57"/>
      <c r="T250" s="57"/>
      <c r="U250" s="57"/>
      <c r="V250" s="57"/>
      <c r="W250" s="57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53" t="s">
        <v>21</v>
      </c>
      <c r="B251" s="53" t="s">
        <v>22</v>
      </c>
      <c r="C251" s="53" t="s">
        <v>23</v>
      </c>
      <c r="D251" s="53" t="s">
        <v>24</v>
      </c>
      <c r="E251" s="53" t="s">
        <v>30</v>
      </c>
      <c r="F251" s="53" t="s">
        <v>25</v>
      </c>
      <c r="G251" s="53" t="s">
        <v>25</v>
      </c>
      <c r="H251" s="53" t="s">
        <v>25</v>
      </c>
      <c r="I251" s="73">
        <v>44562</v>
      </c>
      <c r="J251" s="74">
        <f>EFEITO!$J$251*EFEITO!$Y$194</f>
        <v>0</v>
      </c>
      <c r="K251" s="74">
        <f ca="1">EFEITO!$L$251*EFEITO!$Z$266</f>
        <v>4854.8659460587114</v>
      </c>
      <c r="L251" s="74">
        <f>EFEITO!$N$251*EFEITO!$AA$266</f>
        <v>1865.6527990640368</v>
      </c>
      <c r="M251" s="74">
        <f>$J$251-EFEITO!$K$251*EFEITO!$Y$251</f>
        <v>0</v>
      </c>
      <c r="N251" s="74">
        <f ca="1">$K$251-EFEITO!$M$251*EFEITO!$Z$251</f>
        <v>1941.9463784234845</v>
      </c>
      <c r="O251" s="74">
        <f>$L$251-EFEITO!$O$251*EFEITO!$AA$251</f>
        <v>746.26111962561481</v>
      </c>
      <c r="P251" s="57"/>
      <c r="Q251" s="57"/>
      <c r="R251" s="57"/>
      <c r="S251" s="57"/>
      <c r="T251" s="57"/>
      <c r="U251" s="57"/>
      <c r="V251" s="57"/>
      <c r="W251" s="57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53" t="s">
        <v>21</v>
      </c>
      <c r="B252" s="53" t="s">
        <v>22</v>
      </c>
      <c r="C252" s="53" t="s">
        <v>23</v>
      </c>
      <c r="D252" s="53" t="s">
        <v>24</v>
      </c>
      <c r="E252" s="53" t="s">
        <v>30</v>
      </c>
      <c r="F252" s="53" t="s">
        <v>25</v>
      </c>
      <c r="G252" s="53" t="s">
        <v>25</v>
      </c>
      <c r="H252" s="53" t="s">
        <v>25</v>
      </c>
      <c r="I252" s="73">
        <v>44593</v>
      </c>
      <c r="J252" s="74">
        <f>EFEITO!$J$252*EFEITO!$Y$194</f>
        <v>0</v>
      </c>
      <c r="K252" s="74">
        <f ca="1">EFEITO!$L$252*EFEITO!$Z$266</f>
        <v>5823.9457289450993</v>
      </c>
      <c r="L252" s="74">
        <f>EFEITO!$N$252*EFEITO!$AA$266</f>
        <v>2238.0557509779005</v>
      </c>
      <c r="M252" s="74">
        <f>$J$252-EFEITO!$K$252*EFEITO!$Y$252</f>
        <v>0</v>
      </c>
      <c r="N252" s="74">
        <f ca="1">$K$252-EFEITO!$M$252*EFEITO!$Z$252</f>
        <v>2329.5782915780401</v>
      </c>
      <c r="O252" s="74">
        <f>$L$252-EFEITO!$O$252*EFEITO!$AA$252</f>
        <v>895.22230039116016</v>
      </c>
      <c r="P252" s="57"/>
      <c r="Q252" s="57"/>
      <c r="R252" s="57"/>
      <c r="S252" s="57"/>
      <c r="T252" s="57"/>
      <c r="U252" s="57"/>
      <c r="V252" s="57"/>
      <c r="W252" s="57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53" t="s">
        <v>21</v>
      </c>
      <c r="B253" s="53" t="s">
        <v>22</v>
      </c>
      <c r="C253" s="53" t="s">
        <v>23</v>
      </c>
      <c r="D253" s="53" t="s">
        <v>24</v>
      </c>
      <c r="E253" s="53" t="s">
        <v>30</v>
      </c>
      <c r="F253" s="53" t="s">
        <v>25</v>
      </c>
      <c r="G253" s="53" t="s">
        <v>25</v>
      </c>
      <c r="H253" s="53" t="s">
        <v>25</v>
      </c>
      <c r="I253" s="73">
        <v>44621</v>
      </c>
      <c r="J253" s="74">
        <f>EFEITO!$J$253*EFEITO!$Y$194</f>
        <v>0</v>
      </c>
      <c r="K253" s="74">
        <f ca="1">EFEITO!$L$253*EFEITO!$Z$266</f>
        <v>19218.934841594946</v>
      </c>
      <c r="L253" s="74">
        <f>EFEITO!$N$253*EFEITO!$AA$266</f>
        <v>7385.5509051407562</v>
      </c>
      <c r="M253" s="74">
        <f>$J$253-EFEITO!$K$253*EFEITO!$Y$253</f>
        <v>0</v>
      </c>
      <c r="N253" s="74">
        <f ca="1">$K$253-EFEITO!$M$253*EFEITO!$Z$253</f>
        <v>7687.5739366379785</v>
      </c>
      <c r="O253" s="74">
        <f>$L$253-EFEITO!$O$253*EFEITO!$AA$253</f>
        <v>2954.2203620563023</v>
      </c>
      <c r="P253" s="57"/>
      <c r="Q253" s="57"/>
      <c r="R253" s="57"/>
      <c r="S253" s="57"/>
      <c r="T253" s="57"/>
      <c r="U253" s="57"/>
      <c r="V253" s="57"/>
      <c r="W253" s="57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53" t="s">
        <v>21</v>
      </c>
      <c r="B254" s="53" t="s">
        <v>22</v>
      </c>
      <c r="C254" s="53" t="s">
        <v>23</v>
      </c>
      <c r="D254" s="53" t="s">
        <v>24</v>
      </c>
      <c r="E254" s="53" t="s">
        <v>31</v>
      </c>
      <c r="F254" s="53" t="s">
        <v>25</v>
      </c>
      <c r="G254" s="53" t="s">
        <v>25</v>
      </c>
      <c r="H254" s="53" t="s">
        <v>25</v>
      </c>
      <c r="I254" s="73">
        <v>44287</v>
      </c>
      <c r="J254" s="74">
        <f>EFEITO!$J$254*EFEITO!$Y$194</f>
        <v>0</v>
      </c>
      <c r="K254" s="74">
        <f ca="1">EFEITO!$L$254*EFEITO!$Z$266</f>
        <v>3493.334670280502</v>
      </c>
      <c r="L254" s="74">
        <f>EFEITO!$N$254*EFEITO!$AA$266</f>
        <v>1342.436573550953</v>
      </c>
      <c r="M254" s="74">
        <f>$J$254-EFEITO!$K$254*EFEITO!$Y$254</f>
        <v>0</v>
      </c>
      <c r="N254" s="74">
        <f ca="1">$K$254-EFEITO!$M$254*EFEITO!$Z$254</f>
        <v>349.33346702805011</v>
      </c>
      <c r="O254" s="74">
        <f>$L$254-EFEITO!$O$254*EFEITO!$AA$254</f>
        <v>134.24365735509537</v>
      </c>
      <c r="P254" s="57"/>
      <c r="Q254" s="57"/>
      <c r="R254" s="57"/>
      <c r="S254" s="57"/>
      <c r="T254" s="57"/>
      <c r="U254" s="57"/>
      <c r="V254" s="57"/>
      <c r="W254" s="57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53" t="s">
        <v>21</v>
      </c>
      <c r="B255" s="53" t="s">
        <v>22</v>
      </c>
      <c r="C255" s="53" t="s">
        <v>23</v>
      </c>
      <c r="D255" s="53" t="s">
        <v>24</v>
      </c>
      <c r="E255" s="53" t="s">
        <v>31</v>
      </c>
      <c r="F255" s="53" t="s">
        <v>25</v>
      </c>
      <c r="G255" s="53" t="s">
        <v>25</v>
      </c>
      <c r="H255" s="53" t="s">
        <v>25</v>
      </c>
      <c r="I255" s="73">
        <v>44317</v>
      </c>
      <c r="J255" s="74">
        <f>EFEITO!$J$255*EFEITO!$Y$194</f>
        <v>0</v>
      </c>
      <c r="K255" s="74">
        <f ca="1">EFEITO!$L$255*EFEITO!$Z$266</f>
        <v>2212.7034829492904</v>
      </c>
      <c r="L255" s="74">
        <f>EFEITO!$N$255*EFEITO!$AA$266</f>
        <v>850.30904917455041</v>
      </c>
      <c r="M255" s="74">
        <f>$J$255-EFEITO!$K$255*EFEITO!$Y$255</f>
        <v>0</v>
      </c>
      <c r="N255" s="74">
        <f ca="1">$K$255-EFEITO!$M$255*EFEITO!$Z$255</f>
        <v>221.27034829492868</v>
      </c>
      <c r="O255" s="74">
        <f>$L$255-EFEITO!$O$255*EFEITO!$AA$255</f>
        <v>85.030904917455018</v>
      </c>
      <c r="P255" s="57"/>
      <c r="Q255" s="57"/>
      <c r="R255" s="57"/>
      <c r="S255" s="57"/>
      <c r="T255" s="57"/>
      <c r="U255" s="57"/>
      <c r="V255" s="57"/>
      <c r="W255" s="57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53" t="s">
        <v>21</v>
      </c>
      <c r="B256" s="53" t="s">
        <v>22</v>
      </c>
      <c r="C256" s="53" t="s">
        <v>23</v>
      </c>
      <c r="D256" s="53" t="s">
        <v>24</v>
      </c>
      <c r="E256" s="53" t="s">
        <v>31</v>
      </c>
      <c r="F256" s="53" t="s">
        <v>25</v>
      </c>
      <c r="G256" s="53" t="s">
        <v>25</v>
      </c>
      <c r="H256" s="53" t="s">
        <v>25</v>
      </c>
      <c r="I256" s="73">
        <v>44348</v>
      </c>
      <c r="J256" s="74">
        <f>EFEITO!$J$256*EFEITO!$Y$194</f>
        <v>0</v>
      </c>
      <c r="K256" s="74">
        <f ca="1">EFEITO!$L$256*EFEITO!$Z$266</f>
        <v>2909.8212663755544</v>
      </c>
      <c r="L256" s="74">
        <f>EFEITO!$N$256*EFEITO!$AA$266</f>
        <v>1118.2010483310598</v>
      </c>
      <c r="M256" s="74">
        <f>$J$256-EFEITO!$K$256*EFEITO!$Y$256</f>
        <v>0</v>
      </c>
      <c r="N256" s="74">
        <f ca="1">$K$256-EFEITO!$M$256*EFEITO!$Z$256</f>
        <v>290.98212663755521</v>
      </c>
      <c r="O256" s="74">
        <f>$L$256-EFEITO!$O$256*EFEITO!$AA$256</f>
        <v>111.82010483310614</v>
      </c>
      <c r="P256" s="57"/>
      <c r="Q256" s="57"/>
      <c r="R256" s="57"/>
      <c r="S256" s="57"/>
      <c r="T256" s="57"/>
      <c r="U256" s="57"/>
      <c r="V256" s="57"/>
      <c r="W256" s="57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53" t="s">
        <v>21</v>
      </c>
      <c r="B257" s="53" t="s">
        <v>22</v>
      </c>
      <c r="C257" s="53" t="s">
        <v>23</v>
      </c>
      <c r="D257" s="53" t="s">
        <v>24</v>
      </c>
      <c r="E257" s="53" t="s">
        <v>31</v>
      </c>
      <c r="F257" s="53" t="s">
        <v>25</v>
      </c>
      <c r="G257" s="53" t="s">
        <v>25</v>
      </c>
      <c r="H257" s="53" t="s">
        <v>25</v>
      </c>
      <c r="I257" s="73">
        <v>44378</v>
      </c>
      <c r="J257" s="74">
        <f>EFEITO!$J$257*EFEITO!$Y$194</f>
        <v>0</v>
      </c>
      <c r="K257" s="74">
        <f ca="1">EFEITO!$L$257*EFEITO!$Z$266</f>
        <v>1375.3015035989756</v>
      </c>
      <c r="L257" s="74">
        <f>EFEITO!$N$257*EFEITO!$AA$266</f>
        <v>528.50791932358288</v>
      </c>
      <c r="M257" s="74">
        <f>$J$257-EFEITO!$K$257*EFEITO!$Y$257</f>
        <v>0</v>
      </c>
      <c r="N257" s="74">
        <f ca="1">$K$257-EFEITO!$M$257*EFEITO!$Z$257</f>
        <v>137.53015035989756</v>
      </c>
      <c r="O257" s="74">
        <f>$L$257-EFEITO!$O$257*EFEITO!$AA$257</f>
        <v>52.850791932358334</v>
      </c>
      <c r="P257" s="57"/>
      <c r="Q257" s="57"/>
      <c r="R257" s="57"/>
      <c r="S257" s="57"/>
      <c r="T257" s="57"/>
      <c r="U257" s="57"/>
      <c r="V257" s="57"/>
      <c r="W257" s="57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53" t="s">
        <v>21</v>
      </c>
      <c r="B258" s="53" t="s">
        <v>22</v>
      </c>
      <c r="C258" s="53" t="s">
        <v>23</v>
      </c>
      <c r="D258" s="53" t="s">
        <v>24</v>
      </c>
      <c r="E258" s="53" t="s">
        <v>31</v>
      </c>
      <c r="F258" s="53" t="s">
        <v>25</v>
      </c>
      <c r="G258" s="53" t="s">
        <v>25</v>
      </c>
      <c r="H258" s="53" t="s">
        <v>25</v>
      </c>
      <c r="I258" s="73">
        <v>44409</v>
      </c>
      <c r="J258" s="74">
        <f>EFEITO!$J$258*EFEITO!$Y$194</f>
        <v>0</v>
      </c>
      <c r="K258" s="74">
        <f ca="1">EFEITO!$L$258*EFEITO!$Z$266</f>
        <v>1346.0397694798485</v>
      </c>
      <c r="L258" s="74">
        <f>EFEITO!$N$258*EFEITO!$AA$266</f>
        <v>517.26306997627262</v>
      </c>
      <c r="M258" s="74">
        <f>$J$258-EFEITO!$K$258*EFEITO!$Y$258</f>
        <v>0</v>
      </c>
      <c r="N258" s="74">
        <f ca="1">$K$258-EFEITO!$M$258*EFEITO!$Z$258</f>
        <v>134.60397694798485</v>
      </c>
      <c r="O258" s="74">
        <f>$L$258-EFEITO!$O$258*EFEITO!$AA$258</f>
        <v>51.726306997627319</v>
      </c>
      <c r="P258" s="57"/>
      <c r="Q258" s="57"/>
      <c r="R258" s="57"/>
      <c r="S258" s="57"/>
      <c r="T258" s="57"/>
      <c r="U258" s="57"/>
      <c r="V258" s="57"/>
      <c r="W258" s="57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53" t="s">
        <v>21</v>
      </c>
      <c r="B259" s="53" t="s">
        <v>22</v>
      </c>
      <c r="C259" s="53" t="s">
        <v>23</v>
      </c>
      <c r="D259" s="53" t="s">
        <v>24</v>
      </c>
      <c r="E259" s="53" t="s">
        <v>31</v>
      </c>
      <c r="F259" s="53" t="s">
        <v>25</v>
      </c>
      <c r="G259" s="53" t="s">
        <v>25</v>
      </c>
      <c r="H259" s="53" t="s">
        <v>25</v>
      </c>
      <c r="I259" s="73">
        <v>44440</v>
      </c>
      <c r="J259" s="74">
        <f>EFEITO!$J$259*EFEITO!$Y$194</f>
        <v>0</v>
      </c>
      <c r="K259" s="74">
        <f ca="1">EFEITO!$L$259*EFEITO!$Z$266</f>
        <v>2321.1440270378207</v>
      </c>
      <c r="L259" s="74">
        <f>EFEITO!$N$259*EFEITO!$AA$266</f>
        <v>891.98113793222967</v>
      </c>
      <c r="M259" s="74">
        <f>$J$259-EFEITO!$K$259*EFEITO!$Y$259</f>
        <v>0</v>
      </c>
      <c r="N259" s="74">
        <f ca="1">$K$259-EFEITO!$M$259*EFEITO!$Z$259</f>
        <v>232.11440270378216</v>
      </c>
      <c r="O259" s="74">
        <f>$L$259-EFEITO!$O$259*EFEITO!$AA$259</f>
        <v>89.198113793223001</v>
      </c>
      <c r="P259" s="57"/>
      <c r="Q259" s="57"/>
      <c r="R259" s="57"/>
      <c r="S259" s="57"/>
      <c r="T259" s="57"/>
      <c r="U259" s="57"/>
      <c r="V259" s="57"/>
      <c r="W259" s="57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53" t="s">
        <v>21</v>
      </c>
      <c r="B260" s="53" t="s">
        <v>22</v>
      </c>
      <c r="C260" s="53" t="s">
        <v>23</v>
      </c>
      <c r="D260" s="53" t="s">
        <v>24</v>
      </c>
      <c r="E260" s="53" t="s">
        <v>31</v>
      </c>
      <c r="F260" s="53" t="s">
        <v>25</v>
      </c>
      <c r="G260" s="53" t="s">
        <v>25</v>
      </c>
      <c r="H260" s="53" t="s">
        <v>25</v>
      </c>
      <c r="I260" s="73">
        <v>44470</v>
      </c>
      <c r="J260" s="74">
        <f>EFEITO!$J$260*EFEITO!$Y$194</f>
        <v>0</v>
      </c>
      <c r="K260" s="74">
        <f ca="1">EFEITO!$L$260*EFEITO!$Z$266</f>
        <v>2448.5186343799037</v>
      </c>
      <c r="L260" s="74">
        <f>EFEITO!$N$260*EFEITO!$AA$266</f>
        <v>940.92930567934502</v>
      </c>
      <c r="M260" s="74">
        <f>$J$260-EFEITO!$K$260*EFEITO!$Y$260</f>
        <v>0</v>
      </c>
      <c r="N260" s="74">
        <f ca="1">$K$260-EFEITO!$M$260*EFEITO!$Z$260</f>
        <v>244.85186343799023</v>
      </c>
      <c r="O260" s="74">
        <f>$L$260-EFEITO!$O$260*EFEITO!$AA$260</f>
        <v>94.092930567934559</v>
      </c>
      <c r="P260" s="57"/>
      <c r="Q260" s="57"/>
      <c r="R260" s="57"/>
      <c r="S260" s="57"/>
      <c r="T260" s="57"/>
      <c r="U260" s="57"/>
      <c r="V260" s="57"/>
      <c r="W260" s="57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53" t="s">
        <v>21</v>
      </c>
      <c r="B261" s="53" t="s">
        <v>22</v>
      </c>
      <c r="C261" s="53" t="s">
        <v>23</v>
      </c>
      <c r="D261" s="53" t="s">
        <v>24</v>
      </c>
      <c r="E261" s="53" t="s">
        <v>31</v>
      </c>
      <c r="F261" s="53" t="s">
        <v>25</v>
      </c>
      <c r="G261" s="53" t="s">
        <v>25</v>
      </c>
      <c r="H261" s="53" t="s">
        <v>25</v>
      </c>
      <c r="I261" s="73">
        <v>44501</v>
      </c>
      <c r="J261" s="74">
        <f>EFEITO!$J$261*EFEITO!$Y$194</f>
        <v>0</v>
      </c>
      <c r="K261" s="74">
        <f ca="1">EFEITO!$L$261*EFEITO!$Z$266</f>
        <v>2141.2704261290683</v>
      </c>
      <c r="L261" s="74">
        <f>EFEITO!$N$261*EFEITO!$AA$266</f>
        <v>822.85838753258702</v>
      </c>
      <c r="M261" s="74">
        <f>$J$261-EFEITO!$K$261*EFEITO!$Y$261</f>
        <v>0</v>
      </c>
      <c r="N261" s="74">
        <f ca="1">$K$261-EFEITO!$M$261*EFEITO!$Z$261</f>
        <v>214.12704261290673</v>
      </c>
      <c r="O261" s="74">
        <f>$L$261-EFEITO!$O$261*EFEITO!$AA$261</f>
        <v>82.285838753258759</v>
      </c>
      <c r="P261" s="57"/>
      <c r="Q261" s="57"/>
      <c r="R261" s="57"/>
      <c r="S261" s="57"/>
      <c r="T261" s="57"/>
      <c r="U261" s="57"/>
      <c r="V261" s="57"/>
      <c r="W261" s="57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53" t="s">
        <v>21</v>
      </c>
      <c r="B262" s="53" t="s">
        <v>22</v>
      </c>
      <c r="C262" s="53" t="s">
        <v>23</v>
      </c>
      <c r="D262" s="53" t="s">
        <v>24</v>
      </c>
      <c r="E262" s="53" t="s">
        <v>31</v>
      </c>
      <c r="F262" s="53" t="s">
        <v>25</v>
      </c>
      <c r="G262" s="53" t="s">
        <v>25</v>
      </c>
      <c r="H262" s="53" t="s">
        <v>25</v>
      </c>
      <c r="I262" s="73">
        <v>44531</v>
      </c>
      <c r="J262" s="74">
        <f>EFEITO!$J$262*EFEITO!$Y$194</f>
        <v>0</v>
      </c>
      <c r="K262" s="74">
        <f ca="1">EFEITO!$L$262*EFEITO!$Z$266</f>
        <v>3241.1673733127295</v>
      </c>
      <c r="L262" s="74">
        <f>EFEITO!$N$262*EFEITO!$AA$266</f>
        <v>1245.532430646191</v>
      </c>
      <c r="M262" s="74">
        <f>$J$262-EFEITO!$K$262*EFEITO!$Y$262</f>
        <v>0</v>
      </c>
      <c r="N262" s="74">
        <f ca="1">$K$262-EFEITO!$M$262*EFEITO!$Z$262</f>
        <v>324.11673733127282</v>
      </c>
      <c r="O262" s="74">
        <f>$L$262-EFEITO!$O$262*EFEITO!$AA$262</f>
        <v>124.55324306461921</v>
      </c>
      <c r="P262" s="57"/>
      <c r="Q262" s="57"/>
      <c r="R262" s="57"/>
      <c r="S262" s="57"/>
      <c r="T262" s="57"/>
      <c r="U262" s="57"/>
      <c r="V262" s="57"/>
      <c r="W262" s="57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53" t="s">
        <v>21</v>
      </c>
      <c r="B263" s="53" t="s">
        <v>22</v>
      </c>
      <c r="C263" s="53" t="s">
        <v>23</v>
      </c>
      <c r="D263" s="53" t="s">
        <v>24</v>
      </c>
      <c r="E263" s="53" t="s">
        <v>31</v>
      </c>
      <c r="F263" s="53" t="s">
        <v>25</v>
      </c>
      <c r="G263" s="53" t="s">
        <v>25</v>
      </c>
      <c r="H263" s="53" t="s">
        <v>25</v>
      </c>
      <c r="I263" s="73">
        <v>44562</v>
      </c>
      <c r="J263" s="74">
        <f>EFEITO!$J$263*EFEITO!$Y$194</f>
        <v>0</v>
      </c>
      <c r="K263" s="74">
        <f ca="1">EFEITO!$L$263*EFEITO!$Z$266</f>
        <v>3769.5998659346137</v>
      </c>
      <c r="L263" s="74">
        <f>EFEITO!$N$263*EFEITO!$AA$266</f>
        <v>1448.6011806240881</v>
      </c>
      <c r="M263" s="74">
        <f>$J$263-EFEITO!$K$263*EFEITO!$Y$263</f>
        <v>0</v>
      </c>
      <c r="N263" s="74">
        <f ca="1">$K$263-EFEITO!$M$263*EFEITO!$Z$263</f>
        <v>376.95998659346105</v>
      </c>
      <c r="O263" s="74">
        <f>$L$263-EFEITO!$O$263*EFEITO!$AA$263</f>
        <v>144.8601180624089</v>
      </c>
      <c r="P263" s="57"/>
      <c r="Q263" s="57"/>
      <c r="R263" s="57"/>
      <c r="S263" s="57"/>
      <c r="T263" s="57"/>
      <c r="U263" s="57"/>
      <c r="V263" s="57"/>
      <c r="W263" s="57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53" t="s">
        <v>21</v>
      </c>
      <c r="B264" s="53" t="s">
        <v>22</v>
      </c>
      <c r="C264" s="53" t="s">
        <v>23</v>
      </c>
      <c r="D264" s="53" t="s">
        <v>24</v>
      </c>
      <c r="E264" s="53" t="s">
        <v>31</v>
      </c>
      <c r="F264" s="53" t="s">
        <v>25</v>
      </c>
      <c r="G264" s="53" t="s">
        <v>25</v>
      </c>
      <c r="H264" s="53" t="s">
        <v>25</v>
      </c>
      <c r="I264" s="73">
        <v>44593</v>
      </c>
      <c r="J264" s="74">
        <f>EFEITO!$J$264*EFEITO!$Y$194</f>
        <v>0</v>
      </c>
      <c r="K264" s="74">
        <f ca="1">EFEITO!$L$264*EFEITO!$Z$266</f>
        <v>5228.3833756969816</v>
      </c>
      <c r="L264" s="74">
        <f>EFEITO!$N$264*EFEITO!$AA$266</f>
        <v>2009.1899936738209</v>
      </c>
      <c r="M264" s="74">
        <f>$J$264-EFEITO!$K$264*EFEITO!$Y$264</f>
        <v>0</v>
      </c>
      <c r="N264" s="74">
        <f ca="1">$K$264-EFEITO!$M$264*EFEITO!$Z$264</f>
        <v>522.83833756969761</v>
      </c>
      <c r="O264" s="74">
        <f>$L$264-EFEITO!$O$264*EFEITO!$AA$264</f>
        <v>200.91899936738218</v>
      </c>
      <c r="P264" s="57"/>
      <c r="Q264" s="57"/>
      <c r="R264" s="57"/>
      <c r="S264" s="57"/>
      <c r="T264" s="57"/>
      <c r="U264" s="57"/>
      <c r="V264" s="57"/>
      <c r="W264" s="57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53" t="s">
        <v>21</v>
      </c>
      <c r="B265" s="53" t="s">
        <v>22</v>
      </c>
      <c r="C265" s="53" t="s">
        <v>23</v>
      </c>
      <c r="D265" s="53" t="s">
        <v>24</v>
      </c>
      <c r="E265" s="53" t="s">
        <v>31</v>
      </c>
      <c r="F265" s="53" t="s">
        <v>25</v>
      </c>
      <c r="G265" s="53" t="s">
        <v>25</v>
      </c>
      <c r="H265" s="53" t="s">
        <v>25</v>
      </c>
      <c r="I265" s="73">
        <v>44621</v>
      </c>
      <c r="J265" s="74">
        <f>EFEITO!$J$265*EFEITO!$Y$194</f>
        <v>0</v>
      </c>
      <c r="K265" s="74">
        <f ca="1">EFEITO!$L$265*EFEITO!$Z$266</f>
        <v>16391.734942143983</v>
      </c>
      <c r="L265" s="74">
        <f>EFEITO!$N$265*EFEITO!$AA$266</f>
        <v>6299.10001967269</v>
      </c>
      <c r="M265" s="74">
        <f>$J$265-EFEITO!$K$265*EFEITO!$Y$265</f>
        <v>0</v>
      </c>
      <c r="N265" s="74">
        <f ca="1">$K$265-EFEITO!$M$265*EFEITO!$Z$265</f>
        <v>1639.1734942143958</v>
      </c>
      <c r="O265" s="74">
        <f>$L$265-EFEITO!$O$265*EFEITO!$AA$265</f>
        <v>629.91000196726964</v>
      </c>
      <c r="P265" s="57"/>
      <c r="Q265" s="57"/>
      <c r="R265" s="57"/>
      <c r="S265" s="57"/>
      <c r="T265" s="57"/>
      <c r="U265" s="57"/>
      <c r="V265" s="57"/>
      <c r="W265" s="57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53" t="s">
        <v>21</v>
      </c>
      <c r="B266" s="53" t="s">
        <v>22</v>
      </c>
      <c r="C266" s="53" t="s">
        <v>23</v>
      </c>
      <c r="D266" s="53" t="s">
        <v>24</v>
      </c>
      <c r="E266" s="53" t="s">
        <v>32</v>
      </c>
      <c r="F266" s="53" t="s">
        <v>25</v>
      </c>
      <c r="G266" s="53" t="s">
        <v>25</v>
      </c>
      <c r="H266" s="53" t="s">
        <v>25</v>
      </c>
      <c r="I266" s="73">
        <v>44287</v>
      </c>
      <c r="J266" s="74">
        <f>EFEITO!$J$266*EFEITO!$Y$194</f>
        <v>0</v>
      </c>
      <c r="K266" s="74">
        <f ca="1">EFEITO!$L$266*EFEITO!$Z$266</f>
        <v>840.84453630550627</v>
      </c>
      <c r="L266" s="74">
        <f>EFEITO!$N$266*EFEITO!$AA$266</f>
        <v>323.12405330359223</v>
      </c>
      <c r="M266" s="74">
        <f>$J$266-EFEITO!$K$266*EFEITO!$Y$266</f>
        <v>0</v>
      </c>
      <c r="N266" s="74">
        <f ca="1">$K$266-EFEITO!$M$266*EFEITO!$Z$266</f>
        <v>0</v>
      </c>
      <c r="O266" s="74">
        <f>$L$266-EFEITO!$O$266*EFEITO!$AA$266</f>
        <v>0</v>
      </c>
      <c r="P266" s="57"/>
      <c r="Q266" s="57"/>
      <c r="R266" s="57"/>
      <c r="S266" s="57"/>
      <c r="T266" s="57"/>
      <c r="U266" s="57"/>
      <c r="V266" s="57"/>
      <c r="W266" s="57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53" t="s">
        <v>21</v>
      </c>
      <c r="B267" s="53" t="s">
        <v>22</v>
      </c>
      <c r="C267" s="53" t="s">
        <v>23</v>
      </c>
      <c r="D267" s="53" t="s">
        <v>24</v>
      </c>
      <c r="E267" s="53" t="s">
        <v>32</v>
      </c>
      <c r="F267" s="53" t="s">
        <v>25</v>
      </c>
      <c r="G267" s="53" t="s">
        <v>25</v>
      </c>
      <c r="H267" s="53" t="s">
        <v>25</v>
      </c>
      <c r="I267" s="73">
        <v>44317</v>
      </c>
      <c r="J267" s="74">
        <f>EFEITO!$J$267*EFEITO!$Y$194</f>
        <v>0</v>
      </c>
      <c r="K267" s="74">
        <f ca="1">EFEITO!$L$267*EFEITO!$Z$266</f>
        <v>182.45551862514569</v>
      </c>
      <c r="L267" s="74">
        <f>EFEITO!$N$267*EFEITO!$AA$266</f>
        <v>70.114942989111114</v>
      </c>
      <c r="M267" s="74">
        <f>$J$267-EFEITO!$K$267*EFEITO!$Y$267</f>
        <v>0</v>
      </c>
      <c r="N267" s="74">
        <f ca="1">$K$267-EFEITO!$M$267*EFEITO!$Z$267</f>
        <v>0</v>
      </c>
      <c r="O267" s="74">
        <f>$L$267-EFEITO!$O$267*EFEITO!$AA$267</f>
        <v>0</v>
      </c>
      <c r="P267" s="57"/>
      <c r="Q267" s="57"/>
      <c r="R267" s="57"/>
      <c r="S267" s="57"/>
      <c r="T267" s="57"/>
      <c r="U267" s="57"/>
      <c r="V267" s="57"/>
      <c r="W267" s="57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53" t="s">
        <v>21</v>
      </c>
      <c r="B268" s="53" t="s">
        <v>22</v>
      </c>
      <c r="C268" s="53" t="s">
        <v>23</v>
      </c>
      <c r="D268" s="53" t="s">
        <v>24</v>
      </c>
      <c r="E268" s="53" t="s">
        <v>32</v>
      </c>
      <c r="F268" s="53" t="s">
        <v>25</v>
      </c>
      <c r="G268" s="53" t="s">
        <v>25</v>
      </c>
      <c r="H268" s="53" t="s">
        <v>25</v>
      </c>
      <c r="I268" s="73">
        <v>44348</v>
      </c>
      <c r="J268" s="74">
        <f>EFEITO!$J$268*EFEITO!$Y$194</f>
        <v>0</v>
      </c>
      <c r="K268" s="74">
        <f ca="1">EFEITO!$L$268*EFEITO!$Z$266</f>
        <v>333.92802465356857</v>
      </c>
      <c r="L268" s="74">
        <f>EFEITO!$N$268*EFEITO!$AA$266</f>
        <v>128.32357490459958</v>
      </c>
      <c r="M268" s="74">
        <f>$J$268-EFEITO!$K$268*EFEITO!$Y$268</f>
        <v>0</v>
      </c>
      <c r="N268" s="74">
        <f ca="1">$K$268-EFEITO!$M$268*EFEITO!$Z$268</f>
        <v>0</v>
      </c>
      <c r="O268" s="74">
        <f>$L$268-EFEITO!$O$268*EFEITO!$AA$268</f>
        <v>0</v>
      </c>
      <c r="P268" s="57"/>
      <c r="Q268" s="57"/>
      <c r="R268" s="57"/>
      <c r="S268" s="57"/>
      <c r="T268" s="57"/>
      <c r="U268" s="57"/>
      <c r="V268" s="57"/>
      <c r="W268" s="57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53" t="s">
        <v>21</v>
      </c>
      <c r="B269" s="53" t="s">
        <v>22</v>
      </c>
      <c r="C269" s="53" t="s">
        <v>23</v>
      </c>
      <c r="D269" s="53" t="s">
        <v>24</v>
      </c>
      <c r="E269" s="53" t="s">
        <v>32</v>
      </c>
      <c r="F269" s="53" t="s">
        <v>25</v>
      </c>
      <c r="G269" s="53" t="s">
        <v>25</v>
      </c>
      <c r="H269" s="53" t="s">
        <v>25</v>
      </c>
      <c r="I269" s="73">
        <v>44378</v>
      </c>
      <c r="J269" s="74">
        <f>EFEITO!$J$269*EFEITO!$Y$194</f>
        <v>0</v>
      </c>
      <c r="K269" s="74">
        <f ca="1">EFEITO!$L$269*EFEITO!$Z$266</f>
        <v>154.91506298361426</v>
      </c>
      <c r="L269" s="74">
        <f>EFEITO!$N$269*EFEITO!$AA$266</f>
        <v>59.53155536811321</v>
      </c>
      <c r="M269" s="74">
        <f>$J$269-EFEITO!$K$269*EFEITO!$Y$269</f>
        <v>0</v>
      </c>
      <c r="N269" s="74">
        <f ca="1">$K$269-EFEITO!$M$269*EFEITO!$Z$269</f>
        <v>0</v>
      </c>
      <c r="O269" s="74">
        <f>$L$269-EFEITO!$O$269*EFEITO!$AA$269</f>
        <v>0</v>
      </c>
      <c r="P269" s="57"/>
      <c r="Q269" s="57"/>
      <c r="R269" s="57"/>
      <c r="S269" s="57"/>
      <c r="T269" s="57"/>
      <c r="U269" s="57"/>
      <c r="V269" s="57"/>
      <c r="W269" s="57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53" t="s">
        <v>21</v>
      </c>
      <c r="B270" s="53" t="s">
        <v>22</v>
      </c>
      <c r="C270" s="53" t="s">
        <v>23</v>
      </c>
      <c r="D270" s="53" t="s">
        <v>24</v>
      </c>
      <c r="E270" s="53" t="s">
        <v>32</v>
      </c>
      <c r="F270" s="53" t="s">
        <v>25</v>
      </c>
      <c r="G270" s="53" t="s">
        <v>25</v>
      </c>
      <c r="H270" s="53" t="s">
        <v>25</v>
      </c>
      <c r="I270" s="73">
        <v>44409</v>
      </c>
      <c r="J270" s="74">
        <f>EFEITO!$J$270*EFEITO!$Y$194</f>
        <v>0</v>
      </c>
      <c r="K270" s="74">
        <f ca="1">EFEITO!$L$270*EFEITO!$Z$266</f>
        <v>53.359632805467136</v>
      </c>
      <c r="L270" s="74">
        <f>EFEITO!$N$270*EFEITO!$AA$266</f>
        <v>20.50531351568344</v>
      </c>
      <c r="M270" s="74">
        <f>$J$270-EFEITO!$K$270*EFEITO!$Y$270</f>
        <v>0</v>
      </c>
      <c r="N270" s="74">
        <f ca="1">$K$270-EFEITO!$M$270*EFEITO!$Z$270</f>
        <v>0</v>
      </c>
      <c r="O270" s="74">
        <f>$L$270-EFEITO!$O$270*EFEITO!$AA$270</f>
        <v>0</v>
      </c>
      <c r="P270" s="57"/>
      <c r="Q270" s="57"/>
      <c r="R270" s="57"/>
      <c r="S270" s="57"/>
      <c r="T270" s="57"/>
      <c r="U270" s="57"/>
      <c r="V270" s="57"/>
      <c r="W270" s="57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53" t="s">
        <v>21</v>
      </c>
      <c r="B271" s="53" t="s">
        <v>22</v>
      </c>
      <c r="C271" s="53" t="s">
        <v>23</v>
      </c>
      <c r="D271" s="53" t="s">
        <v>24</v>
      </c>
      <c r="E271" s="53" t="s">
        <v>32</v>
      </c>
      <c r="F271" s="53" t="s">
        <v>25</v>
      </c>
      <c r="G271" s="53" t="s">
        <v>25</v>
      </c>
      <c r="H271" s="53" t="s">
        <v>25</v>
      </c>
      <c r="I271" s="73">
        <v>44440</v>
      </c>
      <c r="J271" s="74">
        <f>EFEITO!$J$271*EFEITO!$Y$194</f>
        <v>0</v>
      </c>
      <c r="K271" s="74">
        <f ca="1">EFEITO!$L$271*EFEITO!$Z$266</f>
        <v>131.67780353607213</v>
      </c>
      <c r="L271" s="74">
        <f>EFEITO!$N$271*EFEITO!$AA$266</f>
        <v>50.601822062896233</v>
      </c>
      <c r="M271" s="74">
        <f>$J$271-EFEITO!$K$271*EFEITO!$Y$271</f>
        <v>0</v>
      </c>
      <c r="N271" s="74">
        <f ca="1">$K$271-EFEITO!$M$271*EFEITO!$Z$271</f>
        <v>0</v>
      </c>
      <c r="O271" s="74">
        <f>$L$271-EFEITO!$O$271*EFEITO!$AA$271</f>
        <v>0</v>
      </c>
      <c r="P271" s="57"/>
      <c r="Q271" s="57"/>
      <c r="R271" s="57"/>
      <c r="S271" s="57"/>
      <c r="T271" s="57"/>
      <c r="U271" s="57"/>
      <c r="V271" s="57"/>
      <c r="W271" s="57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53" t="s">
        <v>21</v>
      </c>
      <c r="B272" s="53" t="s">
        <v>22</v>
      </c>
      <c r="C272" s="53" t="s">
        <v>23</v>
      </c>
      <c r="D272" s="53" t="s">
        <v>24</v>
      </c>
      <c r="E272" s="53" t="s">
        <v>32</v>
      </c>
      <c r="F272" s="53" t="s">
        <v>25</v>
      </c>
      <c r="G272" s="53" t="s">
        <v>25</v>
      </c>
      <c r="H272" s="53" t="s">
        <v>25</v>
      </c>
      <c r="I272" s="73">
        <v>44470</v>
      </c>
      <c r="J272" s="74">
        <f>EFEITO!$J$272*EFEITO!$Y$194</f>
        <v>0</v>
      </c>
      <c r="K272" s="74">
        <f ca="1">EFEITO!$L$272*EFEITO!$Z$266</f>
        <v>370.07487268307852</v>
      </c>
      <c r="L272" s="74">
        <f>EFEITO!$N$272*EFEITO!$AA$266</f>
        <v>142.21427115715935</v>
      </c>
      <c r="M272" s="74">
        <f>$J$272-EFEITO!$K$272*EFEITO!$Y$272</f>
        <v>0</v>
      </c>
      <c r="N272" s="74">
        <f ca="1">$K$272-EFEITO!$M$272*EFEITO!$Z$272</f>
        <v>0</v>
      </c>
      <c r="O272" s="74">
        <f>$L$272-EFEITO!$O$272*EFEITO!$AA$272</f>
        <v>0</v>
      </c>
      <c r="P272" s="57"/>
      <c r="Q272" s="57"/>
      <c r="R272" s="57"/>
      <c r="S272" s="57"/>
      <c r="T272" s="57"/>
      <c r="U272" s="57"/>
      <c r="V272" s="57"/>
      <c r="W272" s="57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53" t="s">
        <v>21</v>
      </c>
      <c r="B273" s="53" t="s">
        <v>22</v>
      </c>
      <c r="C273" s="53" t="s">
        <v>23</v>
      </c>
      <c r="D273" s="53" t="s">
        <v>24</v>
      </c>
      <c r="E273" s="53" t="s">
        <v>32</v>
      </c>
      <c r="F273" s="53" t="s">
        <v>25</v>
      </c>
      <c r="G273" s="53" t="s">
        <v>25</v>
      </c>
      <c r="H273" s="53" t="s">
        <v>25</v>
      </c>
      <c r="I273" s="73">
        <v>44501</v>
      </c>
      <c r="J273" s="74">
        <f>EFEITO!$J$273*EFEITO!$Y$194</f>
        <v>0</v>
      </c>
      <c r="K273" s="74">
        <f ca="1">EFEITO!$L$273*EFEITO!$Z$266</f>
        <v>191.06191101312427</v>
      </c>
      <c r="L273" s="74">
        <f>EFEITO!$N$273*EFEITO!$AA$266</f>
        <v>73.422251620672967</v>
      </c>
      <c r="M273" s="74">
        <f>$J$273-EFEITO!$K$273*EFEITO!$Y$273</f>
        <v>0</v>
      </c>
      <c r="N273" s="74">
        <f ca="1">$K$273-EFEITO!$M$273*EFEITO!$Z$273</f>
        <v>0</v>
      </c>
      <c r="O273" s="74">
        <f>$L$273-EFEITO!$O$273*EFEITO!$AA$273</f>
        <v>0</v>
      </c>
      <c r="P273" s="57"/>
      <c r="Q273" s="57"/>
      <c r="R273" s="57"/>
      <c r="S273" s="57"/>
      <c r="T273" s="57"/>
      <c r="U273" s="57"/>
      <c r="V273" s="57"/>
      <c r="W273" s="57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53" t="s">
        <v>21</v>
      </c>
      <c r="B274" s="53" t="s">
        <v>22</v>
      </c>
      <c r="C274" s="53" t="s">
        <v>23</v>
      </c>
      <c r="D274" s="53" t="s">
        <v>24</v>
      </c>
      <c r="E274" s="53" t="s">
        <v>32</v>
      </c>
      <c r="F274" s="53" t="s">
        <v>25</v>
      </c>
      <c r="G274" s="53" t="s">
        <v>25</v>
      </c>
      <c r="H274" s="53" t="s">
        <v>25</v>
      </c>
      <c r="I274" s="73">
        <v>44531</v>
      </c>
      <c r="J274" s="74">
        <f>EFEITO!$J$274*EFEITO!$Y$194</f>
        <v>0</v>
      </c>
      <c r="K274" s="74">
        <f ca="1">EFEITO!$L$274*EFEITO!$Z$266</f>
        <v>314.99396140001568</v>
      </c>
      <c r="L274" s="74">
        <f>EFEITO!$N$274*EFEITO!$AA$266</f>
        <v>121.04749591516352</v>
      </c>
      <c r="M274" s="74">
        <f>$J$274-EFEITO!$K$274*EFEITO!$Y$274</f>
        <v>0</v>
      </c>
      <c r="N274" s="74">
        <f ca="1">$K$274-EFEITO!$M$274*EFEITO!$Z$274</f>
        <v>0</v>
      </c>
      <c r="O274" s="74">
        <f>$L$274-EFEITO!$O$274*EFEITO!$AA$274</f>
        <v>0</v>
      </c>
      <c r="P274" s="57"/>
      <c r="Q274" s="57"/>
      <c r="R274" s="57"/>
      <c r="S274" s="57"/>
      <c r="T274" s="57"/>
      <c r="U274" s="57"/>
      <c r="V274" s="57"/>
      <c r="W274" s="57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53" t="s">
        <v>21</v>
      </c>
      <c r="B275" s="53" t="s">
        <v>22</v>
      </c>
      <c r="C275" s="53" t="s">
        <v>23</v>
      </c>
      <c r="D275" s="53" t="s">
        <v>24</v>
      </c>
      <c r="E275" s="53" t="s">
        <v>32</v>
      </c>
      <c r="F275" s="53" t="s">
        <v>25</v>
      </c>
      <c r="G275" s="53" t="s">
        <v>25</v>
      </c>
      <c r="H275" s="53" t="s">
        <v>25</v>
      </c>
      <c r="I275" s="73">
        <v>44562</v>
      </c>
      <c r="J275" s="74">
        <f>EFEITO!$J$275*EFEITO!$Y$194</f>
        <v>0</v>
      </c>
      <c r="K275" s="74">
        <f ca="1">EFEITO!$L$275*EFEITO!$Z$266</f>
        <v>395.89404984701429</v>
      </c>
      <c r="L275" s="74">
        <f>EFEITO!$N$275*EFEITO!$AA$266</f>
        <v>152.13619705184487</v>
      </c>
      <c r="M275" s="74">
        <f>$J$275-EFEITO!$K$275*EFEITO!$Y$275</f>
        <v>0</v>
      </c>
      <c r="N275" s="74">
        <f ca="1">$K$275-EFEITO!$M$275*EFEITO!$Z$275</f>
        <v>0</v>
      </c>
      <c r="O275" s="74">
        <f>$L$275-EFEITO!$O$275*EFEITO!$AA$275</f>
        <v>0</v>
      </c>
      <c r="P275" s="57"/>
      <c r="Q275" s="57"/>
      <c r="R275" s="57"/>
      <c r="S275" s="57"/>
      <c r="T275" s="57"/>
      <c r="U275" s="57"/>
      <c r="V275" s="57"/>
      <c r="W275" s="57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53" t="s">
        <v>21</v>
      </c>
      <c r="B276" s="53" t="s">
        <v>22</v>
      </c>
      <c r="C276" s="53" t="s">
        <v>23</v>
      </c>
      <c r="D276" s="53" t="s">
        <v>24</v>
      </c>
      <c r="E276" s="53" t="s">
        <v>32</v>
      </c>
      <c r="F276" s="53" t="s">
        <v>25</v>
      </c>
      <c r="G276" s="53" t="s">
        <v>25</v>
      </c>
      <c r="H276" s="53" t="s">
        <v>25</v>
      </c>
      <c r="I276" s="73">
        <v>44593</v>
      </c>
      <c r="J276" s="74">
        <f>EFEITO!$J$276*EFEITO!$Y$194</f>
        <v>0</v>
      </c>
      <c r="K276" s="74">
        <f ca="1">EFEITO!$L$276*EFEITO!$Z$266</f>
        <v>914.85951084212195</v>
      </c>
      <c r="L276" s="74">
        <f>EFEITO!$N$276*EFEITO!$AA$266</f>
        <v>351.56690753502414</v>
      </c>
      <c r="M276" s="74">
        <f>$J$276-EFEITO!$K$276*EFEITO!$Y$276</f>
        <v>0</v>
      </c>
      <c r="N276" s="74">
        <f ca="1">$K$276-EFEITO!$M$276*EFEITO!$Z$276</f>
        <v>0</v>
      </c>
      <c r="O276" s="74">
        <f>$L$276-EFEITO!$O$276*EFEITO!$AA$276</f>
        <v>0</v>
      </c>
      <c r="P276" s="57"/>
      <c r="Q276" s="57"/>
      <c r="R276" s="57"/>
      <c r="S276" s="57"/>
      <c r="T276" s="57"/>
      <c r="U276" s="57"/>
      <c r="V276" s="57"/>
      <c r="W276" s="57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53" t="s">
        <v>21</v>
      </c>
      <c r="B277" s="53" t="s">
        <v>22</v>
      </c>
      <c r="C277" s="53" t="s">
        <v>23</v>
      </c>
      <c r="D277" s="53" t="s">
        <v>24</v>
      </c>
      <c r="E277" s="53" t="s">
        <v>32</v>
      </c>
      <c r="F277" s="53" t="s">
        <v>25</v>
      </c>
      <c r="G277" s="53" t="s">
        <v>25</v>
      </c>
      <c r="H277" s="53" t="s">
        <v>25</v>
      </c>
      <c r="I277" s="73">
        <v>44621</v>
      </c>
      <c r="J277" s="74">
        <f>EFEITO!$J$277*EFEITO!$Y$194</f>
        <v>0</v>
      </c>
      <c r="K277" s="74">
        <f ca="1">EFEITO!$L$277*EFEITO!$Z$266</f>
        <v>3962.3830554253341</v>
      </c>
      <c r="L277" s="74">
        <f>EFEITO!$N$277*EFEITO!$AA$266</f>
        <v>1522.6848939710735</v>
      </c>
      <c r="M277" s="74">
        <f>$J$277-EFEITO!$K$277*EFEITO!$Y$277</f>
        <v>0</v>
      </c>
      <c r="N277" s="74">
        <f ca="1">$K$277-EFEITO!$M$277*EFEITO!$Z$277</f>
        <v>0</v>
      </c>
      <c r="O277" s="74">
        <f>$L$277-EFEITO!$O$277*EFEITO!$AA$277</f>
        <v>0</v>
      </c>
      <c r="P277" s="57"/>
      <c r="Q277" s="57"/>
      <c r="R277" s="57"/>
      <c r="S277" s="57"/>
      <c r="T277" s="57"/>
      <c r="U277" s="57"/>
      <c r="V277" s="57"/>
      <c r="W277" s="57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53" t="s">
        <v>21</v>
      </c>
      <c r="B278" s="53" t="s">
        <v>43</v>
      </c>
      <c r="C278" s="53" t="s">
        <v>23</v>
      </c>
      <c r="D278" s="53" t="s">
        <v>44</v>
      </c>
      <c r="E278" s="53" t="s">
        <v>52</v>
      </c>
      <c r="F278" s="53" t="s">
        <v>53</v>
      </c>
      <c r="G278" s="53" t="s">
        <v>25</v>
      </c>
      <c r="H278" s="53" t="s">
        <v>25</v>
      </c>
      <c r="I278" s="73">
        <v>44287</v>
      </c>
      <c r="J278" s="74">
        <f>EFEITO!$J$278*EFEITO!$Y$194</f>
        <v>0</v>
      </c>
      <c r="K278" s="74">
        <f ca="1">EFEITO!$L$278*EFEITO!$Z$194</f>
        <v>1200.0740679178625</v>
      </c>
      <c r="L278" s="74">
        <f>EFEITO!$N$278*EFEITO!$AA$194</f>
        <v>404.15311477685748</v>
      </c>
      <c r="M278" s="74">
        <f>$J$278-EFEITO!$K$278*EFEITO!$Y$278</f>
        <v>0</v>
      </c>
      <c r="N278" s="74">
        <f ca="1">$K$278-EFEITO!$M$278*EFEITO!$Z$278</f>
        <v>72.004444075071888</v>
      </c>
      <c r="O278" s="74">
        <f>$L$278-EFEITO!$O$278*EFEITO!$AA$278</f>
        <v>24.24918688661154</v>
      </c>
      <c r="P278" s="57"/>
      <c r="Q278" s="57"/>
      <c r="R278" s="57"/>
      <c r="S278" s="57"/>
      <c r="T278" s="57"/>
      <c r="U278" s="57"/>
      <c r="V278" s="57"/>
      <c r="W278" s="57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53" t="s">
        <v>21</v>
      </c>
      <c r="B279" s="53" t="s">
        <v>43</v>
      </c>
      <c r="C279" s="53" t="s">
        <v>23</v>
      </c>
      <c r="D279" s="53" t="s">
        <v>44</v>
      </c>
      <c r="E279" s="53" t="s">
        <v>52</v>
      </c>
      <c r="F279" s="53" t="s">
        <v>53</v>
      </c>
      <c r="G279" s="53" t="s">
        <v>25</v>
      </c>
      <c r="H279" s="53" t="s">
        <v>25</v>
      </c>
      <c r="I279" s="73">
        <v>44317</v>
      </c>
      <c r="J279" s="74">
        <f>EFEITO!$J$279*EFEITO!$Y$194</f>
        <v>0</v>
      </c>
      <c r="K279" s="74">
        <f ca="1">EFEITO!$L$279*EFEITO!$Z$194</f>
        <v>601.01909129765295</v>
      </c>
      <c r="L279" s="74">
        <f>EFEITO!$N$279*EFEITO!$AA$194</f>
        <v>202.40728825158493</v>
      </c>
      <c r="M279" s="74">
        <f>$J$279-EFEITO!$K$279*EFEITO!$Y$279</f>
        <v>0</v>
      </c>
      <c r="N279" s="74">
        <f ca="1">$K$279-EFEITO!$M$279*EFEITO!$Z$279</f>
        <v>36.061145477859213</v>
      </c>
      <c r="O279" s="74">
        <f>$L$279-EFEITO!$O$279*EFEITO!$AA$279</f>
        <v>12.144437295095145</v>
      </c>
      <c r="P279" s="57"/>
      <c r="Q279" s="57"/>
      <c r="R279" s="57"/>
      <c r="S279" s="57"/>
      <c r="T279" s="57"/>
      <c r="U279" s="57"/>
      <c r="V279" s="57"/>
      <c r="W279" s="57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53" t="s">
        <v>21</v>
      </c>
      <c r="B280" s="53" t="s">
        <v>43</v>
      </c>
      <c r="C280" s="53" t="s">
        <v>23</v>
      </c>
      <c r="D280" s="53" t="s">
        <v>44</v>
      </c>
      <c r="E280" s="53" t="s">
        <v>52</v>
      </c>
      <c r="F280" s="53" t="s">
        <v>53</v>
      </c>
      <c r="G280" s="53" t="s">
        <v>25</v>
      </c>
      <c r="H280" s="53" t="s">
        <v>25</v>
      </c>
      <c r="I280" s="73">
        <v>44348</v>
      </c>
      <c r="J280" s="74">
        <f>EFEITO!$J$280*EFEITO!$Y$194</f>
        <v>0</v>
      </c>
      <c r="K280" s="74">
        <f ca="1">EFEITO!$L$280*EFEITO!$Z$194</f>
        <v>1233.4640174343988</v>
      </c>
      <c r="L280" s="74">
        <f>EFEITO!$N$280*EFEITO!$AA$194</f>
        <v>415.39796412416774</v>
      </c>
      <c r="M280" s="74">
        <f>$J$280-EFEITO!$K$280*EFEITO!$Y$280</f>
        <v>0</v>
      </c>
      <c r="N280" s="74">
        <f ca="1">$K$280-EFEITO!$M$280*EFEITO!$Z$280</f>
        <v>74.007841046063959</v>
      </c>
      <c r="O280" s="74">
        <f>$L$280-EFEITO!$O$280*EFEITO!$AA$280</f>
        <v>24.923877847450115</v>
      </c>
      <c r="P280" s="57"/>
      <c r="Q280" s="57"/>
      <c r="R280" s="57"/>
      <c r="S280" s="57"/>
      <c r="T280" s="57"/>
      <c r="U280" s="57"/>
      <c r="V280" s="57"/>
      <c r="W280" s="57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53" t="s">
        <v>21</v>
      </c>
      <c r="B281" s="53" t="s">
        <v>43</v>
      </c>
      <c r="C281" s="53" t="s">
        <v>23</v>
      </c>
      <c r="D281" s="53" t="s">
        <v>44</v>
      </c>
      <c r="E281" s="53" t="s">
        <v>52</v>
      </c>
      <c r="F281" s="53" t="s">
        <v>53</v>
      </c>
      <c r="G281" s="53" t="s">
        <v>25</v>
      </c>
      <c r="H281" s="53" t="s">
        <v>25</v>
      </c>
      <c r="I281" s="73">
        <v>44378</v>
      </c>
      <c r="J281" s="74">
        <f>EFEITO!$J$281*EFEITO!$Y$194</f>
        <v>0</v>
      </c>
      <c r="K281" s="74">
        <f ca="1">EFEITO!$L$281*EFEITO!$Z$194</f>
        <v>1056.693696464501</v>
      </c>
      <c r="L281" s="74">
        <f>EFEITO!$N$281*EFEITO!$AA$194</f>
        <v>355.86640875605457</v>
      </c>
      <c r="M281" s="74">
        <f>$J$281-EFEITO!$K$281*EFEITO!$Y$281</f>
        <v>0</v>
      </c>
      <c r="N281" s="74">
        <f ca="1">$K$281-EFEITO!$M$281*EFEITO!$Z$281</f>
        <v>63.401621787870226</v>
      </c>
      <c r="O281" s="74">
        <f>$L$281-EFEITO!$O$281*EFEITO!$AA$281</f>
        <v>21.351984525363321</v>
      </c>
      <c r="P281" s="57"/>
      <c r="Q281" s="57"/>
      <c r="R281" s="57"/>
      <c r="S281" s="57"/>
      <c r="T281" s="57"/>
      <c r="U281" s="57"/>
      <c r="V281" s="57"/>
      <c r="W281" s="57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53" t="s">
        <v>21</v>
      </c>
      <c r="B282" s="53" t="s">
        <v>43</v>
      </c>
      <c r="C282" s="53" t="s">
        <v>23</v>
      </c>
      <c r="D282" s="53" t="s">
        <v>44</v>
      </c>
      <c r="E282" s="53" t="s">
        <v>52</v>
      </c>
      <c r="F282" s="53" t="s">
        <v>53</v>
      </c>
      <c r="G282" s="53" t="s">
        <v>25</v>
      </c>
      <c r="H282" s="53" t="s">
        <v>25</v>
      </c>
      <c r="I282" s="73">
        <v>44409</v>
      </c>
      <c r="J282" s="74">
        <f>EFEITO!$J$282*EFEITO!$Y$194</f>
        <v>0</v>
      </c>
      <c r="K282" s="74">
        <f ca="1">EFEITO!$L$282*EFEITO!$Z$194</f>
        <v>1010.5370015445831</v>
      </c>
      <c r="L282" s="74">
        <f>EFEITO!$N$282*EFEITO!$AA$194</f>
        <v>340.32205818771382</v>
      </c>
      <c r="M282" s="74">
        <f>$J$282-EFEITO!$K$282*EFEITO!$Y$282</f>
        <v>0</v>
      </c>
      <c r="N282" s="74">
        <f ca="1">$K$282-EFEITO!$M$282*EFEITO!$Z$282</f>
        <v>60.632220092675084</v>
      </c>
      <c r="O282" s="74">
        <f>$L$282-EFEITO!$O$282*EFEITO!$AA$282</f>
        <v>20.419323491262844</v>
      </c>
      <c r="P282" s="57"/>
      <c r="Q282" s="57"/>
      <c r="R282" s="57"/>
      <c r="S282" s="57"/>
      <c r="T282" s="57"/>
      <c r="U282" s="57"/>
      <c r="V282" s="57"/>
      <c r="W282" s="57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53" t="s">
        <v>21</v>
      </c>
      <c r="B283" s="53" t="s">
        <v>43</v>
      </c>
      <c r="C283" s="53" t="s">
        <v>23</v>
      </c>
      <c r="D283" s="53" t="s">
        <v>44</v>
      </c>
      <c r="E283" s="53" t="s">
        <v>52</v>
      </c>
      <c r="F283" s="53" t="s">
        <v>53</v>
      </c>
      <c r="G283" s="53" t="s">
        <v>25</v>
      </c>
      <c r="H283" s="53" t="s">
        <v>25</v>
      </c>
      <c r="I283" s="73">
        <v>44440</v>
      </c>
      <c r="J283" s="74">
        <f>EFEITO!$J$283*EFEITO!$Y$194</f>
        <v>0</v>
      </c>
      <c r="K283" s="74">
        <f ca="1">EFEITO!$L$283*EFEITO!$Z$194</f>
        <v>1341.4903246937811</v>
      </c>
      <c r="L283" s="74">
        <f>EFEITO!$N$283*EFEITO!$AA$194</f>
        <v>451.77835907134806</v>
      </c>
      <c r="M283" s="74">
        <f>$J$283-EFEITO!$K$283*EFEITO!$Y$283</f>
        <v>0</v>
      </c>
      <c r="N283" s="74">
        <f ca="1">$K$283-EFEITO!$M$283*EFEITO!$Z$283</f>
        <v>80.48941948162701</v>
      </c>
      <c r="O283" s="74">
        <f>$L$283-EFEITO!$O$283*EFEITO!$AA$283</f>
        <v>27.106701544280952</v>
      </c>
      <c r="P283" s="57"/>
      <c r="Q283" s="57"/>
      <c r="R283" s="57"/>
      <c r="S283" s="57"/>
      <c r="T283" s="57"/>
      <c r="U283" s="57"/>
      <c r="V283" s="57"/>
      <c r="W283" s="57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53" t="s">
        <v>21</v>
      </c>
      <c r="B284" s="53" t="s">
        <v>43</v>
      </c>
      <c r="C284" s="53" t="s">
        <v>23</v>
      </c>
      <c r="D284" s="53" t="s">
        <v>44</v>
      </c>
      <c r="E284" s="53" t="s">
        <v>52</v>
      </c>
      <c r="F284" s="53" t="s">
        <v>53</v>
      </c>
      <c r="G284" s="53" t="s">
        <v>25</v>
      </c>
      <c r="H284" s="53" t="s">
        <v>25</v>
      </c>
      <c r="I284" s="73">
        <v>44470</v>
      </c>
      <c r="J284" s="74">
        <f>EFEITO!$J$284*EFEITO!$Y$194</f>
        <v>0</v>
      </c>
      <c r="K284" s="74">
        <f ca="1">EFEITO!$L$284*EFEITO!$Z$194</f>
        <v>1665.569246471927</v>
      </c>
      <c r="L284" s="74">
        <f>EFEITO!$N$284*EFEITO!$AA$194</f>
        <v>560.91954391288891</v>
      </c>
      <c r="M284" s="74">
        <f>$J$284-EFEITO!$K$284*EFEITO!$Y$284</f>
        <v>0</v>
      </c>
      <c r="N284" s="74">
        <f ca="1">$K$284-EFEITO!$M$284*EFEITO!$Z$284</f>
        <v>99.934154788315709</v>
      </c>
      <c r="O284" s="74">
        <f>$L$284-EFEITO!$O$284*EFEITO!$AA$284</f>
        <v>33.655172634773407</v>
      </c>
      <c r="P284" s="57"/>
      <c r="Q284" s="57"/>
      <c r="R284" s="57"/>
      <c r="S284" s="57"/>
      <c r="T284" s="57"/>
      <c r="U284" s="57"/>
      <c r="V284" s="57"/>
      <c r="W284" s="57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53" t="s">
        <v>21</v>
      </c>
      <c r="B285" s="53" t="s">
        <v>43</v>
      </c>
      <c r="C285" s="53" t="s">
        <v>23</v>
      </c>
      <c r="D285" s="53" t="s">
        <v>44</v>
      </c>
      <c r="E285" s="53" t="s">
        <v>52</v>
      </c>
      <c r="F285" s="53" t="s">
        <v>53</v>
      </c>
      <c r="G285" s="53" t="s">
        <v>25</v>
      </c>
      <c r="H285" s="53" t="s">
        <v>25</v>
      </c>
      <c r="I285" s="73">
        <v>44501</v>
      </c>
      <c r="J285" s="74">
        <f>EFEITO!$J$285*EFEITO!$Y$194</f>
        <v>0</v>
      </c>
      <c r="K285" s="74">
        <f ca="1">EFEITO!$L$285*EFEITO!$Z$194</f>
        <v>491.02866936082756</v>
      </c>
      <c r="L285" s="74">
        <f>EFEITO!$N$285*EFEITO!$AA$194</f>
        <v>165.36543157809226</v>
      </c>
      <c r="M285" s="74">
        <f>$J$285-EFEITO!$K$285*EFEITO!$Y$285</f>
        <v>0</v>
      </c>
      <c r="N285" s="74">
        <f ca="1">$K$285-EFEITO!$M$285*EFEITO!$Z$285</f>
        <v>29.46172016164968</v>
      </c>
      <c r="O285" s="74">
        <f>$L$285-EFEITO!$O$285*EFEITO!$AA$285</f>
        <v>9.9219258946855575</v>
      </c>
      <c r="P285" s="57"/>
      <c r="Q285" s="57"/>
      <c r="R285" s="57"/>
      <c r="S285" s="57"/>
      <c r="T285" s="57"/>
      <c r="U285" s="57"/>
      <c r="V285" s="57"/>
      <c r="W285" s="57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53" t="s">
        <v>21</v>
      </c>
      <c r="B286" s="53" t="s">
        <v>43</v>
      </c>
      <c r="C286" s="53" t="s">
        <v>23</v>
      </c>
      <c r="D286" s="53" t="s">
        <v>44</v>
      </c>
      <c r="E286" s="53" t="s">
        <v>52</v>
      </c>
      <c r="F286" s="53" t="s">
        <v>53</v>
      </c>
      <c r="G286" s="53" t="s">
        <v>25</v>
      </c>
      <c r="H286" s="53" t="s">
        <v>25</v>
      </c>
      <c r="I286" s="73">
        <v>44531</v>
      </c>
      <c r="J286" s="74">
        <f>EFEITO!$J$286*EFEITO!$Y$194</f>
        <v>0</v>
      </c>
      <c r="K286" s="74">
        <f ca="1">EFEITO!$L$286*EFEITO!$Z$194</f>
        <v>366.30738734317737</v>
      </c>
      <c r="L286" s="74">
        <f>EFEITO!$N$286*EFEITO!$AA$194</f>
        <v>123.36261195725682</v>
      </c>
      <c r="M286" s="74">
        <f>$J$286-EFEITO!$K$286*EFEITO!$Y$286</f>
        <v>0</v>
      </c>
      <c r="N286" s="74">
        <f ca="1">$K$286-EFEITO!$M$286*EFEITO!$Z$286</f>
        <v>21.97844324059065</v>
      </c>
      <c r="O286" s="74">
        <f>$L$286-EFEITO!$O$286*EFEITO!$AA$286</f>
        <v>7.4017567174354184</v>
      </c>
      <c r="P286" s="57"/>
      <c r="Q286" s="57"/>
      <c r="R286" s="57"/>
      <c r="S286" s="57"/>
      <c r="T286" s="57"/>
      <c r="U286" s="57"/>
      <c r="V286" s="57"/>
      <c r="W286" s="57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53" t="s">
        <v>21</v>
      </c>
      <c r="B287" s="53" t="s">
        <v>43</v>
      </c>
      <c r="C287" s="53" t="s">
        <v>23</v>
      </c>
      <c r="D287" s="53" t="s">
        <v>44</v>
      </c>
      <c r="E287" s="53" t="s">
        <v>52</v>
      </c>
      <c r="F287" s="53" t="s">
        <v>53</v>
      </c>
      <c r="G287" s="53" t="s">
        <v>25</v>
      </c>
      <c r="H287" s="53" t="s">
        <v>25</v>
      </c>
      <c r="I287" s="73">
        <v>44562</v>
      </c>
      <c r="J287" s="74">
        <f>EFEITO!$J$287*EFEITO!$Y$194</f>
        <v>0</v>
      </c>
      <c r="K287" s="74">
        <f ca="1">EFEITO!$L$287*EFEITO!$Z$194</f>
        <v>511.65187347398233</v>
      </c>
      <c r="L287" s="74">
        <f>EFEITO!$N$287*EFEITO!$AA$194</f>
        <v>172.31077970437212</v>
      </c>
      <c r="M287" s="74">
        <f>$J$287-EFEITO!$K$287*EFEITO!$Y$287</f>
        <v>0</v>
      </c>
      <c r="N287" s="74">
        <f ca="1">$K$287-EFEITO!$M$287*EFEITO!$Z$287</f>
        <v>30.699112408438964</v>
      </c>
      <c r="O287" s="74">
        <f>$L$287-EFEITO!$O$287*EFEITO!$AA$287</f>
        <v>10.338646782262344</v>
      </c>
      <c r="P287" s="57"/>
      <c r="Q287" s="57"/>
      <c r="R287" s="57"/>
      <c r="S287" s="57"/>
      <c r="T287" s="57"/>
      <c r="U287" s="57"/>
      <c r="V287" s="57"/>
      <c r="W287" s="57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53" t="s">
        <v>21</v>
      </c>
      <c r="B288" s="53" t="s">
        <v>43</v>
      </c>
      <c r="C288" s="53" t="s">
        <v>23</v>
      </c>
      <c r="D288" s="53" t="s">
        <v>44</v>
      </c>
      <c r="E288" s="53" t="s">
        <v>52</v>
      </c>
      <c r="F288" s="53" t="s">
        <v>53</v>
      </c>
      <c r="G288" s="53" t="s">
        <v>25</v>
      </c>
      <c r="H288" s="53" t="s">
        <v>25</v>
      </c>
      <c r="I288" s="73">
        <v>44593</v>
      </c>
      <c r="J288" s="74">
        <f>EFEITO!$J$288*EFEITO!$Y$194</f>
        <v>0</v>
      </c>
      <c r="K288" s="74">
        <f ca="1">EFEITO!$L$288*EFEITO!$Z$194</f>
        <v>443.88991710218812</v>
      </c>
      <c r="L288" s="74">
        <f>EFEITO!$N$288*EFEITO!$AA$194</f>
        <v>149.4903501465954</v>
      </c>
      <c r="M288" s="74">
        <f>$J$288-EFEITO!$K$288*EFEITO!$Y$288</f>
        <v>0</v>
      </c>
      <c r="N288" s="74">
        <f ca="1">$K$288-EFEITO!$M$288*EFEITO!$Z$288</f>
        <v>26.633395026131325</v>
      </c>
      <c r="O288" s="74">
        <f>$L$288-EFEITO!$O$288*EFEITO!$AA$288</f>
        <v>8.9694210087957345</v>
      </c>
      <c r="P288" s="57"/>
      <c r="Q288" s="57"/>
      <c r="R288" s="57"/>
      <c r="S288" s="57"/>
      <c r="T288" s="57"/>
      <c r="U288" s="57"/>
      <c r="V288" s="57"/>
      <c r="W288" s="57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53" t="s">
        <v>21</v>
      </c>
      <c r="B289" s="53" t="s">
        <v>43</v>
      </c>
      <c r="C289" s="53" t="s">
        <v>23</v>
      </c>
      <c r="D289" s="53" t="s">
        <v>44</v>
      </c>
      <c r="E289" s="53" t="s">
        <v>52</v>
      </c>
      <c r="F289" s="53" t="s">
        <v>53</v>
      </c>
      <c r="G289" s="53" t="s">
        <v>25</v>
      </c>
      <c r="H289" s="53" t="s">
        <v>25</v>
      </c>
      <c r="I289" s="73">
        <v>44621</v>
      </c>
      <c r="J289" s="74">
        <f>EFEITO!$J$289*EFEITO!$Y$194</f>
        <v>0</v>
      </c>
      <c r="K289" s="74">
        <f ca="1">EFEITO!$L$289*EFEITO!$Z$194</f>
        <v>584.32411653938482</v>
      </c>
      <c r="L289" s="74">
        <f>EFEITO!$N$289*EFEITO!$AA$194</f>
        <v>196.78486357792977</v>
      </c>
      <c r="M289" s="74">
        <f>$J$289-EFEITO!$K$289*EFEITO!$Y$289</f>
        <v>0</v>
      </c>
      <c r="N289" s="74">
        <f ca="1">$K$289-EFEITO!$M$289*EFEITO!$Z$289</f>
        <v>35.059446992363178</v>
      </c>
      <c r="O289" s="74">
        <f>$L$289-EFEITO!$O$289*EFEITO!$AA$289</f>
        <v>11.8070918146758</v>
      </c>
      <c r="P289" s="57"/>
      <c r="Q289" s="57"/>
      <c r="R289" s="57"/>
      <c r="S289" s="57"/>
      <c r="T289" s="57"/>
      <c r="U289" s="57"/>
      <c r="V289" s="57"/>
      <c r="W289" s="57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53" t="s">
        <v>21</v>
      </c>
      <c r="B290" s="53" t="s">
        <v>43</v>
      </c>
      <c r="C290" s="53" t="s">
        <v>23</v>
      </c>
      <c r="D290" s="53" t="s">
        <v>44</v>
      </c>
      <c r="E290" s="53" t="s">
        <v>52</v>
      </c>
      <c r="F290" s="53" t="s">
        <v>54</v>
      </c>
      <c r="G290" s="53" t="s">
        <v>25</v>
      </c>
      <c r="H290" s="53" t="s">
        <v>25</v>
      </c>
      <c r="I290" s="73">
        <v>44287</v>
      </c>
      <c r="J290" s="74">
        <f>EFEITO!$J$290*EFEITO!$Y$194</f>
        <v>0</v>
      </c>
      <c r="K290" s="74">
        <f ca="1">EFEITO!$L$290*EFEITO!$Z$194</f>
        <v>122.75716734020689</v>
      </c>
      <c r="L290" s="74">
        <f>EFEITO!$N$290*EFEITO!$AA$194</f>
        <v>41.341357894523064</v>
      </c>
      <c r="M290" s="74">
        <f>$J$290-EFEITO!$K$290*EFEITO!$Y$290</f>
        <v>0</v>
      </c>
      <c r="N290" s="74">
        <f ca="1">$K$290-EFEITO!$M$290*EFEITO!$Z$290</f>
        <v>76.600472420289094</v>
      </c>
      <c r="O290" s="74">
        <f>$L$290-EFEITO!$O$290*EFEITO!$AA$290</f>
        <v>25.797007326182396</v>
      </c>
      <c r="P290" s="57"/>
      <c r="Q290" s="57"/>
      <c r="R290" s="57"/>
      <c r="S290" s="57"/>
      <c r="T290" s="57"/>
      <c r="U290" s="57"/>
      <c r="V290" s="57"/>
      <c r="W290" s="57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53" t="s">
        <v>21</v>
      </c>
      <c r="B291" s="53" t="s">
        <v>43</v>
      </c>
      <c r="C291" s="53" t="s">
        <v>23</v>
      </c>
      <c r="D291" s="53" t="s">
        <v>44</v>
      </c>
      <c r="E291" s="53" t="s">
        <v>52</v>
      </c>
      <c r="F291" s="53" t="s">
        <v>54</v>
      </c>
      <c r="G291" s="53" t="s">
        <v>25</v>
      </c>
      <c r="H291" s="53" t="s">
        <v>25</v>
      </c>
      <c r="I291" s="73">
        <v>44317</v>
      </c>
      <c r="J291" s="74">
        <f>EFEITO!$J$291*EFEITO!$Y$194</f>
        <v>0</v>
      </c>
      <c r="K291" s="74">
        <f ca="1">EFEITO!$L$291*EFEITO!$Z$194</f>
        <v>149.27271548569158</v>
      </c>
      <c r="L291" s="74">
        <f>EFEITO!$N$291*EFEITO!$AA$194</f>
        <v>50.271091199740042</v>
      </c>
      <c r="M291" s="74">
        <f>$J$291-EFEITO!$K$291*EFEITO!$Y$291</f>
        <v>0</v>
      </c>
      <c r="N291" s="74">
        <f ca="1">$K$291-EFEITO!$M$291*EFEITO!$Z$291</f>
        <v>93.146174463071546</v>
      </c>
      <c r="O291" s="74">
        <f>$L$291-EFEITO!$O$291*EFEITO!$AA$291</f>
        <v>31.369160908637788</v>
      </c>
      <c r="P291" s="57"/>
      <c r="Q291" s="57"/>
      <c r="R291" s="57"/>
      <c r="S291" s="57"/>
      <c r="T291" s="57"/>
      <c r="U291" s="57"/>
      <c r="V291" s="57"/>
      <c r="W291" s="57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53" t="s">
        <v>21</v>
      </c>
      <c r="B292" s="53" t="s">
        <v>43</v>
      </c>
      <c r="C292" s="53" t="s">
        <v>23</v>
      </c>
      <c r="D292" s="53" t="s">
        <v>44</v>
      </c>
      <c r="E292" s="53" t="s">
        <v>52</v>
      </c>
      <c r="F292" s="53" t="s">
        <v>54</v>
      </c>
      <c r="G292" s="53" t="s">
        <v>25</v>
      </c>
      <c r="H292" s="53" t="s">
        <v>25</v>
      </c>
      <c r="I292" s="73">
        <v>44348</v>
      </c>
      <c r="J292" s="74">
        <f>EFEITO!$J$292*EFEITO!$Y$194</f>
        <v>0</v>
      </c>
      <c r="K292" s="74">
        <f ca="1">EFEITO!$L$292*EFEITO!$Z$194</f>
        <v>3.9282293548866205</v>
      </c>
      <c r="L292" s="74">
        <f>EFEITO!$N$292*EFEITO!$AA$194</f>
        <v>1.322923452624738</v>
      </c>
      <c r="M292" s="74">
        <f>$J$292-EFEITO!$K$292*EFEITO!$Y$292</f>
        <v>0</v>
      </c>
      <c r="N292" s="74">
        <f ca="1">$K$292-EFEITO!$M$292*EFEITO!$Z$292</f>
        <v>2.4512151174492511</v>
      </c>
      <c r="O292" s="74">
        <f>$L$292-EFEITO!$O$292*EFEITO!$AA$292</f>
        <v>0.82550423443783649</v>
      </c>
      <c r="P292" s="57"/>
      <c r="Q292" s="57"/>
      <c r="R292" s="57"/>
      <c r="S292" s="57"/>
      <c r="T292" s="57"/>
      <c r="U292" s="57"/>
      <c r="V292" s="57"/>
      <c r="W292" s="57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53" t="s">
        <v>21</v>
      </c>
      <c r="B293" s="53" t="s">
        <v>43</v>
      </c>
      <c r="C293" s="53" t="s">
        <v>23</v>
      </c>
      <c r="D293" s="53" t="s">
        <v>44</v>
      </c>
      <c r="E293" s="53" t="s">
        <v>52</v>
      </c>
      <c r="F293" s="53" t="s">
        <v>54</v>
      </c>
      <c r="G293" s="53" t="s">
        <v>25</v>
      </c>
      <c r="H293" s="53" t="s">
        <v>25</v>
      </c>
      <c r="I293" s="73">
        <v>44378</v>
      </c>
      <c r="J293" s="74">
        <f>EFEITO!$J$293*EFEITO!$Y$194</f>
        <v>0</v>
      </c>
      <c r="K293" s="74">
        <f ca="1">EFEITO!$L$293*EFEITO!$Z$194</f>
        <v>2.9461720161649656</v>
      </c>
      <c r="L293" s="74">
        <f>EFEITO!$N$293*EFEITO!$AA$194</f>
        <v>0.9921925894685536</v>
      </c>
      <c r="M293" s="74">
        <f>$J$293-EFEITO!$K$293*EFEITO!$Y$293</f>
        <v>0</v>
      </c>
      <c r="N293" s="74">
        <f ca="1">$K$293-EFEITO!$M$293*EFEITO!$Z$293</f>
        <v>1.8384113380869387</v>
      </c>
      <c r="O293" s="74">
        <f>$L$293-EFEITO!$O$293*EFEITO!$AA$293</f>
        <v>0.61912817582837754</v>
      </c>
      <c r="P293" s="57"/>
      <c r="Q293" s="57"/>
      <c r="R293" s="57"/>
      <c r="S293" s="57"/>
      <c r="T293" s="57"/>
      <c r="U293" s="57"/>
      <c r="V293" s="57"/>
      <c r="W293" s="57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53" t="s">
        <v>21</v>
      </c>
      <c r="B294" s="53" t="s">
        <v>43</v>
      </c>
      <c r="C294" s="53" t="s">
        <v>23</v>
      </c>
      <c r="D294" s="53" t="s">
        <v>44</v>
      </c>
      <c r="E294" s="53" t="s">
        <v>52</v>
      </c>
      <c r="F294" s="53" t="s">
        <v>54</v>
      </c>
      <c r="G294" s="53" t="s">
        <v>25</v>
      </c>
      <c r="H294" s="53" t="s">
        <v>25</v>
      </c>
      <c r="I294" s="73">
        <v>44409</v>
      </c>
      <c r="J294" s="74">
        <f>EFEITO!$J$294*EFEITO!$Y$194</f>
        <v>0</v>
      </c>
      <c r="K294" s="74">
        <f ca="1">EFEITO!$L$294*EFEITO!$Z$194</f>
        <v>233.72964661575392</v>
      </c>
      <c r="L294" s="74">
        <f>EFEITO!$N$294*EFEITO!$AA$194</f>
        <v>78.713945431171908</v>
      </c>
      <c r="M294" s="74">
        <f>$J$294-EFEITO!$K$294*EFEITO!$Y$294</f>
        <v>0</v>
      </c>
      <c r="N294" s="74">
        <f ca="1">$K$294-EFEITO!$M$294*EFEITO!$Z$294</f>
        <v>145.84729948823045</v>
      </c>
      <c r="O294" s="74">
        <f>$L$294-EFEITO!$O$294*EFEITO!$AA$294</f>
        <v>49.117501949051274</v>
      </c>
      <c r="P294" s="57"/>
      <c r="Q294" s="57"/>
      <c r="R294" s="57"/>
      <c r="S294" s="57"/>
      <c r="T294" s="57"/>
      <c r="U294" s="57"/>
      <c r="V294" s="57"/>
      <c r="W294" s="57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53" t="s">
        <v>21</v>
      </c>
      <c r="B295" s="53" t="s">
        <v>43</v>
      </c>
      <c r="C295" s="53" t="s">
        <v>23</v>
      </c>
      <c r="D295" s="53" t="s">
        <v>44</v>
      </c>
      <c r="E295" s="53" t="s">
        <v>52</v>
      </c>
      <c r="F295" s="53" t="s">
        <v>54</v>
      </c>
      <c r="G295" s="53" t="s">
        <v>25</v>
      </c>
      <c r="H295" s="53" t="s">
        <v>25</v>
      </c>
      <c r="I295" s="73">
        <v>44440</v>
      </c>
      <c r="J295" s="74">
        <f>EFEITO!$J$295*EFEITO!$Y$194</f>
        <v>0</v>
      </c>
      <c r="K295" s="74">
        <f ca="1">EFEITO!$L$295*EFEITO!$Z$194</f>
        <v>28.479662822927999</v>
      </c>
      <c r="L295" s="74">
        <f>EFEITO!$N$295*EFEITO!$AA$194</f>
        <v>9.5911950315293506</v>
      </c>
      <c r="M295" s="74">
        <f>$J$295-EFEITO!$K$295*EFEITO!$Y$295</f>
        <v>0</v>
      </c>
      <c r="N295" s="74">
        <f ca="1">$K$295-EFEITO!$M$295*EFEITO!$Z$295</f>
        <v>17.77130960150707</v>
      </c>
      <c r="O295" s="74">
        <f>$L$295-EFEITO!$O$295*EFEITO!$AA$295</f>
        <v>5.9849056996743153</v>
      </c>
      <c r="P295" s="57"/>
      <c r="Q295" s="57"/>
      <c r="R295" s="57"/>
      <c r="S295" s="57"/>
      <c r="T295" s="57"/>
      <c r="U295" s="57"/>
      <c r="V295" s="57"/>
      <c r="W295" s="57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53" t="s">
        <v>21</v>
      </c>
      <c r="B296" s="53" t="s">
        <v>43</v>
      </c>
      <c r="C296" s="53" t="s">
        <v>23</v>
      </c>
      <c r="D296" s="53" t="s">
        <v>44</v>
      </c>
      <c r="E296" s="53" t="s">
        <v>52</v>
      </c>
      <c r="F296" s="53" t="s">
        <v>54</v>
      </c>
      <c r="G296" s="53" t="s">
        <v>25</v>
      </c>
      <c r="H296" s="53" t="s">
        <v>25</v>
      </c>
      <c r="I296" s="73">
        <v>44470</v>
      </c>
      <c r="J296" s="74">
        <f>EFEITO!$J$296*EFEITO!$Y$194</f>
        <v>0</v>
      </c>
      <c r="K296" s="74">
        <f ca="1">EFEITO!$L$296*EFEITO!$Z$194</f>
        <v>57.94138298457765</v>
      </c>
      <c r="L296" s="74">
        <f>EFEITO!$N$296*EFEITO!$AA$194</f>
        <v>19.513120926214885</v>
      </c>
      <c r="M296" s="74">
        <f>$J$296-EFEITO!$K$296*EFEITO!$Y$296</f>
        <v>0</v>
      </c>
      <c r="N296" s="74">
        <f ca="1">$K$296-EFEITO!$M$296*EFEITO!$Z$296</f>
        <v>36.15542298237645</v>
      </c>
      <c r="O296" s="74">
        <f>$L$296-EFEITO!$O$296*EFEITO!$AA$296</f>
        <v>12.17618745795809</v>
      </c>
      <c r="P296" s="57"/>
      <c r="Q296" s="57"/>
      <c r="R296" s="57"/>
      <c r="S296" s="57"/>
      <c r="T296" s="57"/>
      <c r="U296" s="57"/>
      <c r="V296" s="57"/>
      <c r="W296" s="57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53" t="s">
        <v>21</v>
      </c>
      <c r="B297" s="53" t="s">
        <v>43</v>
      </c>
      <c r="C297" s="53" t="s">
        <v>23</v>
      </c>
      <c r="D297" s="53" t="s">
        <v>44</v>
      </c>
      <c r="E297" s="53" t="s">
        <v>52</v>
      </c>
      <c r="F297" s="53" t="s">
        <v>54</v>
      </c>
      <c r="G297" s="53" t="s">
        <v>25</v>
      </c>
      <c r="H297" s="53" t="s">
        <v>25</v>
      </c>
      <c r="I297" s="73">
        <v>44531</v>
      </c>
      <c r="J297" s="74">
        <f>EFEITO!$J$297*EFEITO!$Y$194</f>
        <v>0</v>
      </c>
      <c r="K297" s="74">
        <f ca="1">EFEITO!$L$297*EFEITO!$Z$194</f>
        <v>609.8576073461478</v>
      </c>
      <c r="L297" s="74">
        <f>EFEITO!$N$297*EFEITO!$AA$194</f>
        <v>205.38386601999059</v>
      </c>
      <c r="M297" s="74">
        <f>$J$297-EFEITO!$K$297*EFEITO!$Y$297</f>
        <v>0</v>
      </c>
      <c r="N297" s="74">
        <f ca="1">$K$297-EFEITO!$M$297*EFEITO!$Z$297</f>
        <v>380.5511469839962</v>
      </c>
      <c r="O297" s="74">
        <f>$L$297-EFEITO!$O$297*EFEITO!$AA$297</f>
        <v>128.15953239647413</v>
      </c>
      <c r="P297" s="57"/>
      <c r="Q297" s="57"/>
      <c r="R297" s="57"/>
      <c r="S297" s="57"/>
      <c r="T297" s="57"/>
      <c r="U297" s="57"/>
      <c r="V297" s="57"/>
      <c r="W297" s="57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53" t="s">
        <v>21</v>
      </c>
      <c r="B298" s="53" t="s">
        <v>43</v>
      </c>
      <c r="C298" s="53" t="s">
        <v>23</v>
      </c>
      <c r="D298" s="53" t="s">
        <v>44</v>
      </c>
      <c r="E298" s="53" t="s">
        <v>52</v>
      </c>
      <c r="F298" s="53" t="s">
        <v>54</v>
      </c>
      <c r="G298" s="53" t="s">
        <v>25</v>
      </c>
      <c r="H298" s="53" t="s">
        <v>25</v>
      </c>
      <c r="I298" s="73">
        <v>44562</v>
      </c>
      <c r="J298" s="74">
        <f>EFEITO!$J$298*EFEITO!$Y$194</f>
        <v>0</v>
      </c>
      <c r="K298" s="74">
        <f ca="1">EFEITO!$L$298*EFEITO!$Z$194</f>
        <v>52.04903895224772</v>
      </c>
      <c r="L298" s="74">
        <f>EFEITO!$N$298*EFEITO!$AA$194</f>
        <v>17.528735747277779</v>
      </c>
      <c r="M298" s="74">
        <f>$J$298-EFEITO!$K$298*EFEITO!$Y$298</f>
        <v>0</v>
      </c>
      <c r="N298" s="74">
        <f ca="1">$K$298-EFEITO!$M$298*EFEITO!$Z$298</f>
        <v>32.47860030620258</v>
      </c>
      <c r="O298" s="74">
        <f>$L$298-EFEITO!$O$298*EFEITO!$AA$298</f>
        <v>10.937931106301335</v>
      </c>
      <c r="P298" s="57"/>
      <c r="Q298" s="57"/>
      <c r="R298" s="57"/>
      <c r="S298" s="57"/>
      <c r="T298" s="57"/>
      <c r="U298" s="57"/>
      <c r="V298" s="57"/>
      <c r="W298" s="57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53" t="s">
        <v>21</v>
      </c>
      <c r="B299" s="53" t="s">
        <v>43</v>
      </c>
      <c r="C299" s="53" t="s">
        <v>23</v>
      </c>
      <c r="D299" s="53" t="s">
        <v>44</v>
      </c>
      <c r="E299" s="53" t="s">
        <v>52</v>
      </c>
      <c r="F299" s="53" t="s">
        <v>54</v>
      </c>
      <c r="G299" s="53" t="s">
        <v>25</v>
      </c>
      <c r="H299" s="53" t="s">
        <v>25</v>
      </c>
      <c r="I299" s="73">
        <v>44593</v>
      </c>
      <c r="J299" s="74">
        <f>EFEITO!$J$299*EFEITO!$Y$194</f>
        <v>0</v>
      </c>
      <c r="K299" s="74">
        <f ca="1">EFEITO!$L$299*EFEITO!$Z$194</f>
        <v>792.52027234837578</v>
      </c>
      <c r="L299" s="74">
        <f>EFEITO!$N$299*EFEITO!$AA$194</f>
        <v>266.89980656704091</v>
      </c>
      <c r="M299" s="74">
        <f>$J$299-EFEITO!$K$299*EFEITO!$Y$299</f>
        <v>0</v>
      </c>
      <c r="N299" s="74">
        <f ca="1">$K$299-EFEITO!$M$299*EFEITO!$Z$299</f>
        <v>494.53264994538654</v>
      </c>
      <c r="O299" s="74">
        <f>$L$299-EFEITO!$O$299*EFEITO!$AA$299</f>
        <v>166.54547929783354</v>
      </c>
      <c r="P299" s="57"/>
      <c r="Q299" s="57"/>
      <c r="R299" s="57"/>
      <c r="S299" s="57"/>
      <c r="T299" s="57"/>
      <c r="U299" s="57"/>
      <c r="V299" s="57"/>
      <c r="W299" s="57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53" t="s">
        <v>21</v>
      </c>
      <c r="B300" s="53" t="s">
        <v>43</v>
      </c>
      <c r="C300" s="53" t="s">
        <v>23</v>
      </c>
      <c r="D300" s="53" t="s">
        <v>44</v>
      </c>
      <c r="E300" s="53" t="s">
        <v>52</v>
      </c>
      <c r="F300" s="53" t="s">
        <v>54</v>
      </c>
      <c r="G300" s="53" t="s">
        <v>25</v>
      </c>
      <c r="H300" s="53" t="s">
        <v>25</v>
      </c>
      <c r="I300" s="73">
        <v>44621</v>
      </c>
      <c r="J300" s="74">
        <f>EFEITO!$J$300*EFEITO!$Y$194</f>
        <v>0</v>
      </c>
      <c r="K300" s="74">
        <f ca="1">EFEITO!$L$300*EFEITO!$Z$194</f>
        <v>1600.7534621162977</v>
      </c>
      <c r="L300" s="74">
        <f>EFEITO!$N$300*EFEITO!$AA$194</f>
        <v>539.09130694458077</v>
      </c>
      <c r="M300" s="74">
        <f>$J$300-EFEITO!$K$300*EFEITO!$Y$300</f>
        <v>0</v>
      </c>
      <c r="N300" s="74">
        <f ca="1">$K$300-EFEITO!$M$300*EFEITO!$Z$300</f>
        <v>998.87016036056968</v>
      </c>
      <c r="O300" s="74">
        <f>$L$300-EFEITO!$O$300*EFEITO!$AA$300</f>
        <v>336.39297553341839</v>
      </c>
      <c r="P300" s="57"/>
      <c r="Q300" s="57"/>
      <c r="R300" s="57"/>
      <c r="S300" s="57"/>
      <c r="T300" s="57"/>
      <c r="U300" s="57"/>
      <c r="V300" s="57"/>
      <c r="W300" s="57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1.25" customHeight="1" x14ac:dyDescent="0.2">
      <c r="A301" s="53" t="s">
        <v>21</v>
      </c>
      <c r="B301" s="53" t="s">
        <v>43</v>
      </c>
      <c r="C301" s="53" t="s">
        <v>23</v>
      </c>
      <c r="D301" s="53" t="s">
        <v>44</v>
      </c>
      <c r="E301" s="53" t="s">
        <v>55</v>
      </c>
      <c r="F301" s="53" t="s">
        <v>53</v>
      </c>
      <c r="G301" s="53" t="s">
        <v>25</v>
      </c>
      <c r="H301" s="53" t="s">
        <v>25</v>
      </c>
      <c r="I301" s="73">
        <v>44409</v>
      </c>
      <c r="J301" s="74">
        <f>EFEITO!$J$301*EFEITO!$Y$194</f>
        <v>0</v>
      </c>
      <c r="K301" s="74">
        <f ca="1">EFEITO!$L$301*EFEITO!$Z$194</f>
        <v>5791.1921264416005</v>
      </c>
      <c r="L301" s="74">
        <f>EFEITO!$N$301*EFEITO!$AA$194</f>
        <v>1950.3199000320201</v>
      </c>
      <c r="M301" s="74">
        <f>$J$301-EFEITO!$K$301*EFEITO!$Y$301</f>
        <v>0</v>
      </c>
      <c r="N301" s="74">
        <f ca="1">$K$301-EFEITO!$M$301*EFEITO!$Z$301</f>
        <v>347.47152758649645</v>
      </c>
      <c r="O301" s="74">
        <f>$L$301-EFEITO!$O$301*EFEITO!$AA$301</f>
        <v>117.01919400192151</v>
      </c>
      <c r="P301" s="57"/>
      <c r="Q301" s="57"/>
      <c r="R301" s="57"/>
      <c r="S301" s="57"/>
      <c r="T301" s="57"/>
      <c r="U301" s="57"/>
      <c r="V301" s="57"/>
      <c r="W301" s="57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1.25" customHeight="1" x14ac:dyDescent="0.2">
      <c r="A302" s="53" t="s">
        <v>21</v>
      </c>
      <c r="B302" s="53" t="s">
        <v>43</v>
      </c>
      <c r="C302" s="53" t="s">
        <v>23</v>
      </c>
      <c r="D302" s="53" t="s">
        <v>44</v>
      </c>
      <c r="E302" s="53" t="s">
        <v>55</v>
      </c>
      <c r="F302" s="53" t="s">
        <v>53</v>
      </c>
      <c r="G302" s="53" t="s">
        <v>25</v>
      </c>
      <c r="H302" s="53" t="s">
        <v>25</v>
      </c>
      <c r="I302" s="73">
        <v>44440</v>
      </c>
      <c r="J302" s="74">
        <f>EFEITO!$J$302*EFEITO!$Y$194</f>
        <v>0</v>
      </c>
      <c r="K302" s="74">
        <f ca="1">EFEITO!$L$302*EFEITO!$Z$194</f>
        <v>6526.7530731441202</v>
      </c>
      <c r="L302" s="74">
        <f>EFEITO!$N$302*EFEITO!$AA$194</f>
        <v>2198.0373165360024</v>
      </c>
      <c r="M302" s="74">
        <f>$J$302-EFEITO!$K$302*EFEITO!$Y$302</f>
        <v>0</v>
      </c>
      <c r="N302" s="74">
        <f ca="1">$K$302-EFEITO!$M$302*EFEITO!$Z$302</f>
        <v>391.60518438864801</v>
      </c>
      <c r="O302" s="74">
        <f>$L$302-EFEITO!$O$302*EFEITO!$AA$302</f>
        <v>131.88223899216064</v>
      </c>
      <c r="P302" s="57"/>
      <c r="Q302" s="57"/>
      <c r="R302" s="57"/>
      <c r="S302" s="57"/>
      <c r="T302" s="57"/>
      <c r="U302" s="57"/>
      <c r="V302" s="57"/>
      <c r="W302" s="57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1.25" customHeight="1" x14ac:dyDescent="0.2">
      <c r="A303" s="53" t="s">
        <v>28</v>
      </c>
      <c r="B303" s="53" t="s">
        <v>43</v>
      </c>
      <c r="C303" s="53" t="s">
        <v>23</v>
      </c>
      <c r="D303" s="53" t="s">
        <v>44</v>
      </c>
      <c r="E303" s="53" t="s">
        <v>55</v>
      </c>
      <c r="F303" s="53" t="s">
        <v>53</v>
      </c>
      <c r="G303" s="53" t="s">
        <v>25</v>
      </c>
      <c r="H303" s="53" t="s">
        <v>25</v>
      </c>
      <c r="I303" s="73">
        <v>44470</v>
      </c>
      <c r="J303" s="74">
        <f>EFEITO!$J$303*EFEITO!$Y$194</f>
        <v>0</v>
      </c>
      <c r="K303" s="74">
        <f ca="1">EFEITO!$L$303*EFEITO!$Z$194</f>
        <v>4333.8190357786643</v>
      </c>
      <c r="L303" s="74">
        <f>EFEITO!$N$303*EFEITO!$AA$194</f>
        <v>1459.5152991082423</v>
      </c>
      <c r="M303" s="74">
        <f>$J$303-EFEITO!$K$303*EFEITO!$Y$303</f>
        <v>0</v>
      </c>
      <c r="N303" s="74">
        <f ca="1">$K$303-EFEITO!$M$303*EFEITO!$Z$303</f>
        <v>260.02914214672001</v>
      </c>
      <c r="O303" s="74">
        <f>$L$303-EFEITO!$O$303*EFEITO!$AA$303</f>
        <v>87.570917946494774</v>
      </c>
      <c r="P303" s="57"/>
      <c r="Q303" s="57"/>
      <c r="R303" s="57"/>
      <c r="S303" s="57"/>
      <c r="T303" s="57"/>
      <c r="U303" s="57"/>
      <c r="V303" s="57"/>
      <c r="W303" s="57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1.25" customHeight="1" x14ac:dyDescent="0.2">
      <c r="A304" s="53" t="s">
        <v>28</v>
      </c>
      <c r="B304" s="53" t="s">
        <v>43</v>
      </c>
      <c r="C304" s="53" t="s">
        <v>23</v>
      </c>
      <c r="D304" s="53" t="s">
        <v>44</v>
      </c>
      <c r="E304" s="53" t="s">
        <v>55</v>
      </c>
      <c r="F304" s="53" t="s">
        <v>53</v>
      </c>
      <c r="G304" s="53" t="s">
        <v>25</v>
      </c>
      <c r="H304" s="53" t="s">
        <v>25</v>
      </c>
      <c r="I304" s="73">
        <v>44501</v>
      </c>
      <c r="J304" s="74">
        <f>EFEITO!$J$304*EFEITO!$Y$194</f>
        <v>0</v>
      </c>
      <c r="K304" s="74">
        <f ca="1">EFEITO!$L$304*EFEITO!$Z$194</f>
        <v>919.20566904346924</v>
      </c>
      <c r="L304" s="74">
        <f>EFEITO!$N$304*EFEITO!$AA$194</f>
        <v>309.56408791418875</v>
      </c>
      <c r="M304" s="74">
        <f>$J$304-EFEITO!$K$304*EFEITO!$Y$304</f>
        <v>0</v>
      </c>
      <c r="N304" s="74">
        <f ca="1">$K$304-EFEITO!$M$304*EFEITO!$Z$304</f>
        <v>55.152340142608182</v>
      </c>
      <c r="O304" s="74">
        <f>$L$304-EFEITO!$O$304*EFEITO!$AA$304</f>
        <v>18.573845274851408</v>
      </c>
      <c r="P304" s="57"/>
      <c r="Q304" s="57"/>
      <c r="R304" s="57"/>
      <c r="S304" s="57"/>
      <c r="T304" s="57"/>
      <c r="U304" s="57"/>
      <c r="V304" s="57"/>
      <c r="W304" s="57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1.25" customHeight="1" x14ac:dyDescent="0.2">
      <c r="A305" s="53" t="s">
        <v>28</v>
      </c>
      <c r="B305" s="53" t="s">
        <v>43</v>
      </c>
      <c r="C305" s="53" t="s">
        <v>23</v>
      </c>
      <c r="D305" s="53" t="s">
        <v>44</v>
      </c>
      <c r="E305" s="53" t="s">
        <v>55</v>
      </c>
      <c r="F305" s="53" t="s">
        <v>53</v>
      </c>
      <c r="G305" s="53" t="s">
        <v>25</v>
      </c>
      <c r="H305" s="53" t="s">
        <v>25</v>
      </c>
      <c r="I305" s="73">
        <v>44562</v>
      </c>
      <c r="J305" s="74">
        <f>EFEITO!$J$305*EFEITO!$Y$194</f>
        <v>0</v>
      </c>
      <c r="K305" s="74">
        <f ca="1">EFEITO!$L$305*EFEITO!$Z$194</f>
        <v>841.62313928445838</v>
      </c>
      <c r="L305" s="74">
        <f>EFEITO!$N$305*EFEITO!$AA$194</f>
        <v>283.43634972485012</v>
      </c>
      <c r="M305" s="74">
        <f>$J$305-EFEITO!$K$305*EFEITO!$Y$305</f>
        <v>0</v>
      </c>
      <c r="N305" s="74">
        <f ca="1">$K$305-EFEITO!$M$305*EFEITO!$Z$305</f>
        <v>50.497388357067507</v>
      </c>
      <c r="O305" s="74">
        <f>$L$305-EFEITO!$O$305*EFEITO!$AA$305</f>
        <v>17.006180983491049</v>
      </c>
      <c r="P305" s="57"/>
      <c r="Q305" s="57"/>
      <c r="R305" s="57"/>
      <c r="S305" s="57"/>
      <c r="T305" s="57"/>
      <c r="U305" s="57"/>
      <c r="V305" s="57"/>
      <c r="W305" s="57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1.25" customHeight="1" x14ac:dyDescent="0.2">
      <c r="A306" s="53" t="s">
        <v>28</v>
      </c>
      <c r="B306" s="53" t="s">
        <v>43</v>
      </c>
      <c r="C306" s="53" t="s">
        <v>23</v>
      </c>
      <c r="D306" s="53" t="s">
        <v>44</v>
      </c>
      <c r="E306" s="53" t="s">
        <v>55</v>
      </c>
      <c r="F306" s="53" t="s">
        <v>53</v>
      </c>
      <c r="G306" s="53" t="s">
        <v>25</v>
      </c>
      <c r="H306" s="53" t="s">
        <v>25</v>
      </c>
      <c r="I306" s="73">
        <v>44593</v>
      </c>
      <c r="J306" s="74">
        <f>EFEITO!$J$306*EFEITO!$Y$194</f>
        <v>0</v>
      </c>
      <c r="K306" s="74">
        <f ca="1">EFEITO!$L$306*EFEITO!$Z$194</f>
        <v>287.74280024544493</v>
      </c>
      <c r="L306" s="74">
        <f>EFEITO!$N$306*EFEITO!$AA$194</f>
        <v>96.904142904762054</v>
      </c>
      <c r="M306" s="74">
        <f>$J$306-EFEITO!$K$306*EFEITO!$Y$306</f>
        <v>0</v>
      </c>
      <c r="N306" s="74">
        <f ca="1">$K$306-EFEITO!$M$306*EFEITO!$Z$306</f>
        <v>17.264568014726706</v>
      </c>
      <c r="O306" s="74">
        <f>$L$306-EFEITO!$O$306*EFEITO!$AA$306</f>
        <v>5.8142485742857275</v>
      </c>
      <c r="P306" s="57"/>
      <c r="Q306" s="57"/>
      <c r="R306" s="57"/>
      <c r="S306" s="57"/>
      <c r="T306" s="57"/>
      <c r="U306" s="57"/>
      <c r="V306" s="57"/>
      <c r="W306" s="57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1.25" customHeight="1" x14ac:dyDescent="0.2">
      <c r="A307" s="53" t="s">
        <v>28</v>
      </c>
      <c r="B307" s="53" t="s">
        <v>43</v>
      </c>
      <c r="C307" s="53" t="s">
        <v>23</v>
      </c>
      <c r="D307" s="53" t="s">
        <v>44</v>
      </c>
      <c r="E307" s="53" t="s">
        <v>55</v>
      </c>
      <c r="F307" s="53" t="s">
        <v>53</v>
      </c>
      <c r="G307" s="53" t="s">
        <v>25</v>
      </c>
      <c r="H307" s="53" t="s">
        <v>25</v>
      </c>
      <c r="I307" s="73">
        <v>44621</v>
      </c>
      <c r="J307" s="74">
        <f>EFEITO!$J$307*EFEITO!$Y$194</f>
        <v>0</v>
      </c>
      <c r="K307" s="74">
        <f ca="1">EFEITO!$L$307*EFEITO!$Z$194</f>
        <v>68.744013710515873</v>
      </c>
      <c r="L307" s="74">
        <f>EFEITO!$N$307*EFEITO!$AA$194</f>
        <v>23.151160420932918</v>
      </c>
      <c r="M307" s="74">
        <f>$J$307-EFEITO!$K$307*EFEITO!$Y$307</f>
        <v>0</v>
      </c>
      <c r="N307" s="74">
        <f ca="1">$K$307-EFEITO!$M$307*EFEITO!$Z$307</f>
        <v>4.1246408226309654</v>
      </c>
      <c r="O307" s="74">
        <f>$L$307-EFEITO!$O$307*EFEITO!$AA$307</f>
        <v>1.3890696252559778</v>
      </c>
      <c r="P307" s="57"/>
      <c r="Q307" s="57"/>
      <c r="R307" s="57"/>
      <c r="S307" s="57"/>
      <c r="T307" s="57"/>
      <c r="U307" s="57"/>
      <c r="V307" s="57"/>
      <c r="W307" s="57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1.25" customHeight="1" x14ac:dyDescent="0.2">
      <c r="A308" s="53" t="s">
        <v>21</v>
      </c>
      <c r="B308" s="53" t="s">
        <v>43</v>
      </c>
      <c r="C308" s="53" t="s">
        <v>23</v>
      </c>
      <c r="D308" s="53" t="s">
        <v>44</v>
      </c>
      <c r="E308" s="53" t="s">
        <v>55</v>
      </c>
      <c r="F308" s="53" t="s">
        <v>54</v>
      </c>
      <c r="G308" s="53" t="s">
        <v>25</v>
      </c>
      <c r="H308" s="53" t="s">
        <v>25</v>
      </c>
      <c r="I308" s="73">
        <v>44409</v>
      </c>
      <c r="J308" s="74">
        <f>EFEITO!$J$308*EFEITO!$Y$194</f>
        <v>0</v>
      </c>
      <c r="K308" s="74">
        <f ca="1">EFEITO!$L$308*EFEITO!$Z$194</f>
        <v>2903.943550599934</v>
      </c>
      <c r="L308" s="74">
        <f>EFEITO!$N$308*EFEITO!$AA$194</f>
        <v>977.9711623528375</v>
      </c>
      <c r="M308" s="74">
        <f>$J$308-EFEITO!$K$308*EFEITO!$Y$308</f>
        <v>0</v>
      </c>
      <c r="N308" s="74">
        <f ca="1">$K$308-EFEITO!$M$308*EFEITO!$Z$308</f>
        <v>1812.0607755743588</v>
      </c>
      <c r="O308" s="74">
        <f>$L$308-EFEITO!$O$308*EFEITO!$AA$308</f>
        <v>610.25400530817058</v>
      </c>
      <c r="P308" s="57"/>
      <c r="Q308" s="57"/>
      <c r="R308" s="57"/>
      <c r="S308" s="57"/>
      <c r="T308" s="57"/>
      <c r="U308" s="57"/>
      <c r="V308" s="57"/>
      <c r="W308" s="57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1.25" customHeight="1" x14ac:dyDescent="0.2">
      <c r="A309" s="53" t="s">
        <v>21</v>
      </c>
      <c r="B309" s="53" t="s">
        <v>43</v>
      </c>
      <c r="C309" s="53" t="s">
        <v>23</v>
      </c>
      <c r="D309" s="53" t="s">
        <v>44</v>
      </c>
      <c r="E309" s="53" t="s">
        <v>55</v>
      </c>
      <c r="F309" s="53" t="s">
        <v>54</v>
      </c>
      <c r="G309" s="53" t="s">
        <v>25</v>
      </c>
      <c r="H309" s="53" t="s">
        <v>25</v>
      </c>
      <c r="I309" s="73">
        <v>44440</v>
      </c>
      <c r="J309" s="74">
        <f>EFEITO!$J$309*EFEITO!$Y$194</f>
        <v>0</v>
      </c>
      <c r="K309" s="74">
        <f ca="1">EFEITO!$L$309*EFEITO!$Z$194</f>
        <v>1979.8275948628568</v>
      </c>
      <c r="L309" s="74">
        <f>EFEITO!$N$309*EFEITO!$AA$194</f>
        <v>666.75342012286796</v>
      </c>
      <c r="M309" s="74">
        <f>$J$309-EFEITO!$K$309*EFEITO!$Y$309</f>
        <v>0</v>
      </c>
      <c r="N309" s="74">
        <f ca="1">$K$309-EFEITO!$M$309*EFEITO!$Z$309</f>
        <v>1235.4124191944227</v>
      </c>
      <c r="O309" s="74">
        <f>$L$309-EFEITO!$O$309*EFEITO!$AA$309</f>
        <v>416.05413415666965</v>
      </c>
      <c r="P309" s="57"/>
      <c r="Q309" s="57"/>
      <c r="R309" s="57"/>
      <c r="S309" s="57"/>
      <c r="T309" s="57"/>
      <c r="U309" s="57"/>
      <c r="V309" s="57"/>
      <c r="W309" s="57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1.25" customHeight="1" x14ac:dyDescent="0.2">
      <c r="A310" s="53" t="s">
        <v>28</v>
      </c>
      <c r="B310" s="53" t="s">
        <v>43</v>
      </c>
      <c r="C310" s="53" t="s">
        <v>23</v>
      </c>
      <c r="D310" s="53" t="s">
        <v>44</v>
      </c>
      <c r="E310" s="53" t="s">
        <v>55</v>
      </c>
      <c r="F310" s="53" t="s">
        <v>54</v>
      </c>
      <c r="G310" s="53" t="s">
        <v>25</v>
      </c>
      <c r="H310" s="53" t="s">
        <v>25</v>
      </c>
      <c r="I310" s="73">
        <v>44470</v>
      </c>
      <c r="J310" s="74">
        <f>EFEITO!$J$310*EFEITO!$Y$194</f>
        <v>0</v>
      </c>
      <c r="K310" s="74">
        <f ca="1">EFEITO!$L$310*EFEITO!$Z$194</f>
        <v>2218.4675281722189</v>
      </c>
      <c r="L310" s="74">
        <f>EFEITO!$N$310*EFEITO!$AA$194</f>
        <v>747.12101986982077</v>
      </c>
      <c r="M310" s="74">
        <f>$J$310-EFEITO!$K$310*EFEITO!$Y$310</f>
        <v>0</v>
      </c>
      <c r="N310" s="74">
        <f ca="1">$K$310-EFEITO!$M$310*EFEITO!$Z$310</f>
        <v>133.10805169033347</v>
      </c>
      <c r="O310" s="74">
        <f>$L$310-EFEITO!$O$310*EFEITO!$AA$310</f>
        <v>44.827261192189326</v>
      </c>
      <c r="P310" s="57"/>
      <c r="Q310" s="57"/>
      <c r="R310" s="57"/>
      <c r="S310" s="57"/>
      <c r="T310" s="57"/>
      <c r="U310" s="57"/>
      <c r="V310" s="57"/>
      <c r="W310" s="57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1.25" customHeight="1" x14ac:dyDescent="0.2">
      <c r="A311" s="53" t="s">
        <v>28</v>
      </c>
      <c r="B311" s="53" t="s">
        <v>43</v>
      </c>
      <c r="C311" s="53" t="s">
        <v>23</v>
      </c>
      <c r="D311" s="53" t="s">
        <v>44</v>
      </c>
      <c r="E311" s="53" t="s">
        <v>55</v>
      </c>
      <c r="F311" s="53" t="s">
        <v>54</v>
      </c>
      <c r="G311" s="53" t="s">
        <v>25</v>
      </c>
      <c r="H311" s="53" t="s">
        <v>25</v>
      </c>
      <c r="I311" s="73">
        <v>44501</v>
      </c>
      <c r="J311" s="74">
        <f>EFEITO!$J$311*EFEITO!$Y$194</f>
        <v>0</v>
      </c>
      <c r="K311" s="74">
        <f ca="1">EFEITO!$L$311*EFEITO!$Z$194</f>
        <v>2145.7952851068167</v>
      </c>
      <c r="L311" s="74">
        <f>EFEITO!$N$311*EFEITO!$AA$194</f>
        <v>722.64693599626321</v>
      </c>
      <c r="M311" s="74">
        <f>$J$311-EFEITO!$K$311*EFEITO!$Y$311</f>
        <v>0</v>
      </c>
      <c r="N311" s="74">
        <f ca="1">$K$311-EFEITO!$M$311*EFEITO!$Z$311</f>
        <v>128.74771710640925</v>
      </c>
      <c r="O311" s="74">
        <f>$L$311-EFEITO!$O$311*EFEITO!$AA$311</f>
        <v>43.35881615977587</v>
      </c>
      <c r="P311" s="57"/>
      <c r="Q311" s="57"/>
      <c r="R311" s="57"/>
      <c r="S311" s="57"/>
      <c r="T311" s="57"/>
      <c r="U311" s="57"/>
      <c r="V311" s="57"/>
      <c r="W311" s="57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1.25" customHeight="1" x14ac:dyDescent="0.2">
      <c r="A312" s="53" t="s">
        <v>28</v>
      </c>
      <c r="B312" s="53" t="s">
        <v>43</v>
      </c>
      <c r="C312" s="53" t="s">
        <v>23</v>
      </c>
      <c r="D312" s="53" t="s">
        <v>44</v>
      </c>
      <c r="E312" s="53" t="s">
        <v>55</v>
      </c>
      <c r="F312" s="53" t="s">
        <v>54</v>
      </c>
      <c r="G312" s="53" t="s">
        <v>25</v>
      </c>
      <c r="H312" s="53" t="s">
        <v>25</v>
      </c>
      <c r="I312" s="73">
        <v>44531</v>
      </c>
      <c r="J312" s="74">
        <f>EFEITO!$J$312*EFEITO!$Y$194</f>
        <v>0</v>
      </c>
      <c r="K312" s="74">
        <f ca="1">EFEITO!$L$312*EFEITO!$Z$194</f>
        <v>768.95089621905595</v>
      </c>
      <c r="L312" s="74">
        <f>EFEITO!$N$312*EFEITO!$AA$194</f>
        <v>258.9622658512925</v>
      </c>
      <c r="M312" s="74">
        <f>$J$312-EFEITO!$K$312*EFEITO!$Y$312</f>
        <v>0</v>
      </c>
      <c r="N312" s="74">
        <f ca="1">$K$312-EFEITO!$M$312*EFEITO!$Z$312</f>
        <v>46.137053773143407</v>
      </c>
      <c r="O312" s="74">
        <f>$L$312-EFEITO!$O$312*EFEITO!$AA$312</f>
        <v>15.537735951077593</v>
      </c>
      <c r="P312" s="57"/>
      <c r="Q312" s="57"/>
      <c r="R312" s="57"/>
      <c r="S312" s="57"/>
      <c r="T312" s="57"/>
      <c r="U312" s="57"/>
      <c r="V312" s="57"/>
      <c r="W312" s="57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1.25" customHeight="1" x14ac:dyDescent="0.2">
      <c r="A313" s="53" t="s">
        <v>28</v>
      </c>
      <c r="B313" s="53" t="s">
        <v>43</v>
      </c>
      <c r="C313" s="53" t="s">
        <v>23</v>
      </c>
      <c r="D313" s="53" t="s">
        <v>44</v>
      </c>
      <c r="E313" s="53" t="s">
        <v>55</v>
      </c>
      <c r="F313" s="53" t="s">
        <v>54</v>
      </c>
      <c r="G313" s="53" t="s">
        <v>25</v>
      </c>
      <c r="H313" s="53" t="s">
        <v>25</v>
      </c>
      <c r="I313" s="73">
        <v>44562</v>
      </c>
      <c r="J313" s="74">
        <f>EFEITO!$J$313*EFEITO!$Y$194</f>
        <v>0</v>
      </c>
      <c r="K313" s="74">
        <f ca="1">EFEITO!$L$313*EFEITO!$Z$194</f>
        <v>3356.6719837506175</v>
      </c>
      <c r="L313" s="74">
        <f>EFEITO!$N$313*EFEITO!$AA$194</f>
        <v>1130.4380902678388</v>
      </c>
      <c r="M313" s="74">
        <f>$J$313-EFEITO!$K$313*EFEITO!$Y$313</f>
        <v>0</v>
      </c>
      <c r="N313" s="74">
        <f ca="1">$K$313-EFEITO!$M$313*EFEITO!$Z$313</f>
        <v>201.40031902503733</v>
      </c>
      <c r="O313" s="74">
        <f>$L$313-EFEITO!$O$313*EFEITO!$AA$313</f>
        <v>67.826285416070505</v>
      </c>
      <c r="P313" s="57"/>
      <c r="Q313" s="57"/>
      <c r="R313" s="57"/>
      <c r="S313" s="57"/>
      <c r="T313" s="57"/>
      <c r="U313" s="57"/>
      <c r="V313" s="57"/>
      <c r="W313" s="57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1.25" customHeight="1" x14ac:dyDescent="0.2">
      <c r="A314" s="53" t="s">
        <v>28</v>
      </c>
      <c r="B314" s="53" t="s">
        <v>43</v>
      </c>
      <c r="C314" s="53" t="s">
        <v>23</v>
      </c>
      <c r="D314" s="53" t="s">
        <v>44</v>
      </c>
      <c r="E314" s="53" t="s">
        <v>55</v>
      </c>
      <c r="F314" s="53" t="s">
        <v>54</v>
      </c>
      <c r="G314" s="53" t="s">
        <v>25</v>
      </c>
      <c r="H314" s="53" t="s">
        <v>25</v>
      </c>
      <c r="I314" s="73">
        <v>44593</v>
      </c>
      <c r="J314" s="74">
        <f>EFEITO!$J$314*EFEITO!$Y$194</f>
        <v>0</v>
      </c>
      <c r="K314" s="74">
        <f ca="1">EFEITO!$L$314*EFEITO!$Z$194</f>
        <v>2746.8143764044694</v>
      </c>
      <c r="L314" s="74">
        <f>EFEITO!$N$314*EFEITO!$AA$194</f>
        <v>925.05422424784808</v>
      </c>
      <c r="M314" s="74">
        <f>$J$314-EFEITO!$K$314*EFEITO!$Y$314</f>
        <v>0</v>
      </c>
      <c r="N314" s="74">
        <f ca="1">$K$314-EFEITO!$M$314*EFEITO!$Z$314</f>
        <v>164.80886258426835</v>
      </c>
      <c r="O314" s="74">
        <f>$L$314-EFEITO!$O$314*EFEITO!$AA$314</f>
        <v>55.503253454871015</v>
      </c>
      <c r="P314" s="57"/>
      <c r="Q314" s="57"/>
      <c r="R314" s="57"/>
      <c r="S314" s="57"/>
      <c r="T314" s="57"/>
      <c r="U314" s="57"/>
      <c r="V314" s="57"/>
      <c r="W314" s="57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1.25" customHeight="1" x14ac:dyDescent="0.2">
      <c r="A315" s="53" t="s">
        <v>28</v>
      </c>
      <c r="B315" s="53" t="s">
        <v>43</v>
      </c>
      <c r="C315" s="53" t="s">
        <v>23</v>
      </c>
      <c r="D315" s="53" t="s">
        <v>44</v>
      </c>
      <c r="E315" s="53" t="s">
        <v>55</v>
      </c>
      <c r="F315" s="53" t="s">
        <v>54</v>
      </c>
      <c r="G315" s="53" t="s">
        <v>25</v>
      </c>
      <c r="H315" s="53" t="s">
        <v>25</v>
      </c>
      <c r="I315" s="73">
        <v>44621</v>
      </c>
      <c r="J315" s="74">
        <f>EFEITO!$J$315*EFEITO!$Y$194</f>
        <v>0</v>
      </c>
      <c r="K315" s="74">
        <f ca="1">EFEITO!$L$315*EFEITO!$Z$194</f>
        <v>2813.5942754375424</v>
      </c>
      <c r="L315" s="74">
        <f>EFEITO!$N$315*EFEITO!$AA$194</f>
        <v>947.54392294246873</v>
      </c>
      <c r="M315" s="74">
        <f>$J$315-EFEITO!$K$315*EFEITO!$Y$315</f>
        <v>0</v>
      </c>
      <c r="N315" s="74">
        <f ca="1">$K$315-EFEITO!$M$315*EFEITO!$Z$315</f>
        <v>168.81565652625295</v>
      </c>
      <c r="O315" s="74">
        <f>$L$315-EFEITO!$O$315*EFEITO!$AA$315</f>
        <v>56.852635376548278</v>
      </c>
      <c r="P315" s="57"/>
      <c r="Q315" s="57"/>
      <c r="R315" s="57"/>
      <c r="S315" s="57"/>
      <c r="T315" s="57"/>
      <c r="U315" s="57"/>
      <c r="V315" s="57"/>
      <c r="W315" s="57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1.25" customHeight="1" x14ac:dyDescent="0.2">
      <c r="A316" s="53" t="s">
        <v>21</v>
      </c>
      <c r="B316" s="53" t="s">
        <v>43</v>
      </c>
      <c r="C316" s="53" t="s">
        <v>23</v>
      </c>
      <c r="D316" s="53" t="s">
        <v>44</v>
      </c>
      <c r="E316" s="53" t="s">
        <v>25</v>
      </c>
      <c r="F316" s="53" t="s">
        <v>25</v>
      </c>
      <c r="G316" s="53" t="s">
        <v>25</v>
      </c>
      <c r="H316" s="53" t="s">
        <v>25</v>
      </c>
      <c r="I316" s="73">
        <v>44287</v>
      </c>
      <c r="J316" s="74">
        <f>EFEITO!$J$316*EFEITO!$Y$194</f>
        <v>0</v>
      </c>
      <c r="K316" s="74">
        <f ca="1">EFEITO!$L$316*EFEITO!$Z$194</f>
        <v>55513.737243257718</v>
      </c>
      <c r="L316" s="74">
        <f>EFEITO!$N$316*EFEITO!$AA$194</f>
        <v>18695.554232492799</v>
      </c>
      <c r="M316" s="74">
        <f>$J$316-EFEITO!$K$316*EFEITO!$Y$316</f>
        <v>0</v>
      </c>
      <c r="N316" s="74">
        <f ca="1">$K$316-EFEITO!$M$316*EFEITO!$Z$316</f>
        <v>3330.8242345954641</v>
      </c>
      <c r="O316" s="74">
        <f>$L$316-EFEITO!$O$316*EFEITO!$AA$316</f>
        <v>1121.7332539495728</v>
      </c>
      <c r="P316" s="57"/>
      <c r="Q316" s="57"/>
      <c r="R316" s="57"/>
      <c r="S316" s="57"/>
      <c r="T316" s="57"/>
      <c r="U316" s="57"/>
      <c r="V316" s="57"/>
      <c r="W316" s="57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1.25" customHeight="1" x14ac:dyDescent="0.2">
      <c r="A317" s="53" t="s">
        <v>28</v>
      </c>
      <c r="B317" s="53" t="s">
        <v>43</v>
      </c>
      <c r="C317" s="53" t="s">
        <v>23</v>
      </c>
      <c r="D317" s="53" t="s">
        <v>44</v>
      </c>
      <c r="E317" s="53" t="s">
        <v>25</v>
      </c>
      <c r="F317" s="53" t="s">
        <v>25</v>
      </c>
      <c r="G317" s="53" t="s">
        <v>25</v>
      </c>
      <c r="H317" s="53" t="s">
        <v>25</v>
      </c>
      <c r="I317" s="73">
        <v>44287</v>
      </c>
      <c r="J317" s="74">
        <f>EFEITO!$J$317*EFEITO!$Y$194</f>
        <v>0</v>
      </c>
      <c r="K317" s="74">
        <f ca="1">EFEITO!$L$317*EFEITO!$Z$194</f>
        <v>98.205733872165524</v>
      </c>
      <c r="L317" s="74">
        <f>EFEITO!$N$317*EFEITO!$AA$194</f>
        <v>33.073086315618454</v>
      </c>
      <c r="M317" s="74">
        <f>$J$317-EFEITO!$K$317*EFEITO!$Y$317</f>
        <v>0</v>
      </c>
      <c r="N317" s="74">
        <f ca="1">$K$317-EFEITO!$M$317*EFEITO!$Z$317</f>
        <v>5.8923440323299445</v>
      </c>
      <c r="O317" s="74">
        <f>$L$317-EFEITO!$O$317*EFEITO!$AA$317</f>
        <v>1.9843851789371136</v>
      </c>
      <c r="P317" s="57"/>
      <c r="Q317" s="57"/>
      <c r="R317" s="57"/>
      <c r="S317" s="57"/>
      <c r="T317" s="57"/>
      <c r="U317" s="57"/>
      <c r="V317" s="57"/>
      <c r="W317" s="57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1.25" customHeight="1" x14ac:dyDescent="0.2">
      <c r="A318" s="53" t="s">
        <v>21</v>
      </c>
      <c r="B318" s="53" t="s">
        <v>43</v>
      </c>
      <c r="C318" s="53" t="s">
        <v>23</v>
      </c>
      <c r="D318" s="53" t="s">
        <v>44</v>
      </c>
      <c r="E318" s="53" t="s">
        <v>25</v>
      </c>
      <c r="F318" s="53" t="s">
        <v>25</v>
      </c>
      <c r="G318" s="53" t="s">
        <v>25</v>
      </c>
      <c r="H318" s="53" t="s">
        <v>25</v>
      </c>
      <c r="I318" s="73">
        <v>44317</v>
      </c>
      <c r="J318" s="74">
        <f>EFEITO!$J$318*EFEITO!$Y$194</f>
        <v>0</v>
      </c>
      <c r="K318" s="74">
        <f ca="1">EFEITO!$L$318*EFEITO!$Z$194</f>
        <v>42860.910491167917</v>
      </c>
      <c r="L318" s="74">
        <f>EFEITO!$N$318*EFEITO!$AA$194</f>
        <v>14434.417791588516</v>
      </c>
      <c r="M318" s="74">
        <f>$J$318-EFEITO!$K$318*EFEITO!$Y$318</f>
        <v>0</v>
      </c>
      <c r="N318" s="74">
        <f ca="1">$K$318-EFEITO!$M$318*EFEITO!$Z$318</f>
        <v>2571.654629470082</v>
      </c>
      <c r="O318" s="74">
        <f>$L$318-EFEITO!$O$318*EFEITO!$AA$318</f>
        <v>866.06506749531218</v>
      </c>
      <c r="P318" s="57"/>
      <c r="Q318" s="57"/>
      <c r="R318" s="57"/>
      <c r="S318" s="57"/>
      <c r="T318" s="57"/>
      <c r="U318" s="57"/>
      <c r="V318" s="57"/>
      <c r="W318" s="57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1.25" customHeight="1" x14ac:dyDescent="0.2">
      <c r="A319" s="53" t="s">
        <v>27</v>
      </c>
      <c r="B319" s="53" t="s">
        <v>43</v>
      </c>
      <c r="C319" s="53" t="s">
        <v>23</v>
      </c>
      <c r="D319" s="53" t="s">
        <v>44</v>
      </c>
      <c r="E319" s="53" t="s">
        <v>25</v>
      </c>
      <c r="F319" s="53" t="s">
        <v>25</v>
      </c>
      <c r="G319" s="53" t="s">
        <v>25</v>
      </c>
      <c r="H319" s="53" t="s">
        <v>25</v>
      </c>
      <c r="I319" s="73">
        <v>44317</v>
      </c>
      <c r="J319" s="74">
        <f>EFEITO!$J$319*EFEITO!$Y$194</f>
        <v>0</v>
      </c>
      <c r="K319" s="74">
        <f ca="1">EFEITO!$L$319*EFEITO!$Z$194</f>
        <v>-227.83730258342399</v>
      </c>
      <c r="L319" s="74">
        <f>EFEITO!$N$319*EFEITO!$AA$194</f>
        <v>-76.729560252234805</v>
      </c>
      <c r="M319" s="74">
        <f>$J$319-EFEITO!$K$319*EFEITO!$Y$319</f>
        <v>0</v>
      </c>
      <c r="N319" s="74">
        <f ca="1">$K$319-EFEITO!$M$319*EFEITO!$Z$319</f>
        <v>-13.67023815500545</v>
      </c>
      <c r="O319" s="74">
        <f>$L$319-EFEITO!$O$319*EFEITO!$AA$319</f>
        <v>-4.603773615134088</v>
      </c>
      <c r="P319" s="57"/>
      <c r="Q319" s="57"/>
      <c r="R319" s="57"/>
      <c r="S319" s="57"/>
      <c r="T319" s="57"/>
      <c r="U319" s="57"/>
      <c r="V319" s="57"/>
      <c r="W319" s="57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1.25" customHeight="1" x14ac:dyDescent="0.2">
      <c r="A320" s="53" t="s">
        <v>28</v>
      </c>
      <c r="B320" s="53" t="s">
        <v>43</v>
      </c>
      <c r="C320" s="53" t="s">
        <v>23</v>
      </c>
      <c r="D320" s="53" t="s">
        <v>44</v>
      </c>
      <c r="E320" s="53" t="s">
        <v>25</v>
      </c>
      <c r="F320" s="53" t="s">
        <v>25</v>
      </c>
      <c r="G320" s="53" t="s">
        <v>25</v>
      </c>
      <c r="H320" s="53" t="s">
        <v>25</v>
      </c>
      <c r="I320" s="73">
        <v>44317</v>
      </c>
      <c r="J320" s="74">
        <f>EFEITO!$J$320*EFEITO!$Y$194</f>
        <v>0</v>
      </c>
      <c r="K320" s="74">
        <f ca="1">EFEITO!$L$320*EFEITO!$Z$194</f>
        <v>241.58610532552717</v>
      </c>
      <c r="L320" s="74">
        <f>EFEITO!$N$320*EFEITO!$AA$194</f>
        <v>81.359792336421393</v>
      </c>
      <c r="M320" s="74">
        <f>$J$320-EFEITO!$K$320*EFEITO!$Y$320</f>
        <v>0</v>
      </c>
      <c r="N320" s="74">
        <f ca="1">$K$320-EFEITO!$M$320*EFEITO!$Z$320</f>
        <v>14.495166319531648</v>
      </c>
      <c r="O320" s="74">
        <f>$L$320-EFEITO!$O$320*EFEITO!$AA$320</f>
        <v>4.8815875401852935</v>
      </c>
      <c r="P320" s="57"/>
      <c r="Q320" s="57"/>
      <c r="R320" s="57"/>
      <c r="S320" s="57"/>
      <c r="T320" s="57"/>
      <c r="U320" s="57"/>
      <c r="V320" s="57"/>
      <c r="W320" s="57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1.25" customHeight="1" x14ac:dyDescent="0.2">
      <c r="A321" s="53" t="s">
        <v>21</v>
      </c>
      <c r="B321" s="53" t="s">
        <v>43</v>
      </c>
      <c r="C321" s="53" t="s">
        <v>23</v>
      </c>
      <c r="D321" s="53" t="s">
        <v>44</v>
      </c>
      <c r="E321" s="53" t="s">
        <v>25</v>
      </c>
      <c r="F321" s="53" t="s">
        <v>25</v>
      </c>
      <c r="G321" s="53" t="s">
        <v>25</v>
      </c>
      <c r="H321" s="53" t="s">
        <v>25</v>
      </c>
      <c r="I321" s="73">
        <v>44348</v>
      </c>
      <c r="J321" s="74">
        <f>EFEITO!$J$321*EFEITO!$Y$194</f>
        <v>0</v>
      </c>
      <c r="K321" s="74">
        <f ca="1">EFEITO!$L$321*EFEITO!$Z$194</f>
        <v>46729.234348392514</v>
      </c>
      <c r="L321" s="74">
        <f>EFEITO!$N$321*EFEITO!$AA$194</f>
        <v>15737.166661560726</v>
      </c>
      <c r="M321" s="74">
        <f>$J$321-EFEITO!$K$321*EFEITO!$Y$321</f>
        <v>0</v>
      </c>
      <c r="N321" s="74">
        <f ca="1">$K$321-EFEITO!$M$321*EFEITO!$Z$321</f>
        <v>2803.7540609035495</v>
      </c>
      <c r="O321" s="74">
        <f>$L$321-EFEITO!$O$321*EFEITO!$AA$321</f>
        <v>944.22999969364537</v>
      </c>
      <c r="P321" s="57"/>
      <c r="Q321" s="57"/>
      <c r="R321" s="57"/>
      <c r="S321" s="57"/>
      <c r="T321" s="57"/>
      <c r="U321" s="57"/>
      <c r="V321" s="57"/>
      <c r="W321" s="57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1.25" customHeight="1" x14ac:dyDescent="0.2">
      <c r="A322" s="53" t="s">
        <v>28</v>
      </c>
      <c r="B322" s="53" t="s">
        <v>43</v>
      </c>
      <c r="C322" s="53" t="s">
        <v>23</v>
      </c>
      <c r="D322" s="53" t="s">
        <v>44</v>
      </c>
      <c r="E322" s="53" t="s">
        <v>25</v>
      </c>
      <c r="F322" s="53" t="s">
        <v>25</v>
      </c>
      <c r="G322" s="53" t="s">
        <v>25</v>
      </c>
      <c r="H322" s="53" t="s">
        <v>25</v>
      </c>
      <c r="I322" s="73">
        <v>44348</v>
      </c>
      <c r="J322" s="74">
        <f>EFEITO!$J$322*EFEITO!$Y$194</f>
        <v>0</v>
      </c>
      <c r="K322" s="74">
        <f ca="1">EFEITO!$L$322*EFEITO!$Z$194</f>
        <v>335.86360984280606</v>
      </c>
      <c r="L322" s="74">
        <f>EFEITO!$N$322*EFEITO!$AA$194</f>
        <v>113.10995519941511</v>
      </c>
      <c r="M322" s="74">
        <f>$J$322-EFEITO!$K$322*EFEITO!$Y$322</f>
        <v>0</v>
      </c>
      <c r="N322" s="74">
        <f ca="1">$K$322-EFEITO!$M$322*EFEITO!$Z$322</f>
        <v>20.151816590568387</v>
      </c>
      <c r="O322" s="74">
        <f>$L$322-EFEITO!$O$322*EFEITO!$AA$322</f>
        <v>6.7865973119649254</v>
      </c>
      <c r="P322" s="57"/>
      <c r="Q322" s="57"/>
      <c r="R322" s="57"/>
      <c r="S322" s="57"/>
      <c r="T322" s="57"/>
      <c r="U322" s="57"/>
      <c r="V322" s="57"/>
      <c r="W322" s="57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1.25" customHeight="1" x14ac:dyDescent="0.2">
      <c r="A323" s="53" t="s">
        <v>21</v>
      </c>
      <c r="B323" s="53" t="s">
        <v>43</v>
      </c>
      <c r="C323" s="53" t="s">
        <v>23</v>
      </c>
      <c r="D323" s="53" t="s">
        <v>44</v>
      </c>
      <c r="E323" s="53" t="s">
        <v>25</v>
      </c>
      <c r="F323" s="53" t="s">
        <v>25</v>
      </c>
      <c r="G323" s="53" t="s">
        <v>25</v>
      </c>
      <c r="H323" s="53" t="s">
        <v>25</v>
      </c>
      <c r="I323" s="73">
        <v>44378</v>
      </c>
      <c r="J323" s="74">
        <f>EFEITO!$J$323*EFEITO!$Y$194</f>
        <v>0</v>
      </c>
      <c r="K323" s="74">
        <f ca="1">EFEITO!$L$323*EFEITO!$Z$194</f>
        <v>62778.015377781798</v>
      </c>
      <c r="L323" s="74">
        <f>EFEITO!$N$323*EFEITO!$AA$194</f>
        <v>21141.970427259093</v>
      </c>
      <c r="M323" s="74">
        <f>$J$323-EFEITO!$K$323*EFEITO!$Y$323</f>
        <v>0</v>
      </c>
      <c r="N323" s="74">
        <f ca="1">$K$323-EFEITO!$M$323*EFEITO!$Z$323</f>
        <v>3766.6809226669066</v>
      </c>
      <c r="O323" s="74">
        <f>$L$323-EFEITO!$O$323*EFEITO!$AA$323</f>
        <v>1268.5182256355474</v>
      </c>
      <c r="P323" s="57"/>
      <c r="Q323" s="57"/>
      <c r="R323" s="57"/>
      <c r="S323" s="57"/>
      <c r="T323" s="57"/>
      <c r="U323" s="57"/>
      <c r="V323" s="57"/>
      <c r="W323" s="57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1.25" customHeight="1" x14ac:dyDescent="0.2">
      <c r="A324" s="53" t="s">
        <v>28</v>
      </c>
      <c r="B324" s="53" t="s">
        <v>43</v>
      </c>
      <c r="C324" s="53" t="s">
        <v>23</v>
      </c>
      <c r="D324" s="53" t="s">
        <v>44</v>
      </c>
      <c r="E324" s="53" t="s">
        <v>25</v>
      </c>
      <c r="F324" s="53" t="s">
        <v>25</v>
      </c>
      <c r="G324" s="53" t="s">
        <v>25</v>
      </c>
      <c r="H324" s="53" t="s">
        <v>25</v>
      </c>
      <c r="I324" s="73">
        <v>44378</v>
      </c>
      <c r="J324" s="74">
        <f>EFEITO!$J$324*EFEITO!$Y$194</f>
        <v>0</v>
      </c>
      <c r="K324" s="74">
        <f ca="1">EFEITO!$L$324*EFEITO!$Z$194</f>
        <v>576.46765782961154</v>
      </c>
      <c r="L324" s="74">
        <f>EFEITO!$N$324*EFEITO!$AA$194</f>
        <v>194.1390166726803</v>
      </c>
      <c r="M324" s="74">
        <f>$J$324-EFEITO!$K$324*EFEITO!$Y$324</f>
        <v>0</v>
      </c>
      <c r="N324" s="74">
        <f ca="1">$K$324-EFEITO!$M$324*EFEITO!$Z$324</f>
        <v>34.588059469776681</v>
      </c>
      <c r="O324" s="74">
        <f>$L$324-EFEITO!$O$324*EFEITO!$AA$324</f>
        <v>11.648341000360858</v>
      </c>
      <c r="P324" s="57"/>
      <c r="Q324" s="57"/>
      <c r="R324" s="57"/>
      <c r="S324" s="57"/>
      <c r="T324" s="57"/>
      <c r="U324" s="57"/>
      <c r="V324" s="57"/>
      <c r="W324" s="57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1.25" customHeight="1" x14ac:dyDescent="0.2">
      <c r="A325" s="53" t="s">
        <v>21</v>
      </c>
      <c r="B325" s="53" t="s">
        <v>43</v>
      </c>
      <c r="C325" s="53" t="s">
        <v>23</v>
      </c>
      <c r="D325" s="53" t="s">
        <v>44</v>
      </c>
      <c r="E325" s="53" t="s">
        <v>25</v>
      </c>
      <c r="F325" s="53" t="s">
        <v>25</v>
      </c>
      <c r="G325" s="53" t="s">
        <v>25</v>
      </c>
      <c r="H325" s="53" t="s">
        <v>25</v>
      </c>
      <c r="I325" s="73">
        <v>44409</v>
      </c>
      <c r="J325" s="74">
        <f>EFEITO!$J$325*EFEITO!$Y$194</f>
        <v>0</v>
      </c>
      <c r="K325" s="74">
        <f ca="1">EFEITO!$L$325*EFEITO!$Z$194</f>
        <v>38744.126127246738</v>
      </c>
      <c r="L325" s="74">
        <f>EFEITO!$N$325*EFEITO!$AA$194</f>
        <v>13047.994013237791</v>
      </c>
      <c r="M325" s="74">
        <f>$J$325-EFEITO!$K$325*EFEITO!$Y$325</f>
        <v>0</v>
      </c>
      <c r="N325" s="74">
        <f ca="1">$K$325-EFEITO!$M$325*EFEITO!$Z$325</f>
        <v>2324.6475676348055</v>
      </c>
      <c r="O325" s="74">
        <f>$L$325-EFEITO!$O$325*EFEITO!$AA$325</f>
        <v>782.8796407942682</v>
      </c>
      <c r="P325" s="57"/>
      <c r="Q325" s="57"/>
      <c r="R325" s="57"/>
      <c r="S325" s="57"/>
      <c r="T325" s="57"/>
      <c r="U325" s="57"/>
      <c r="V325" s="57"/>
      <c r="W325" s="57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1.25" customHeight="1" x14ac:dyDescent="0.2">
      <c r="A326" s="53" t="s">
        <v>27</v>
      </c>
      <c r="B326" s="53" t="s">
        <v>43</v>
      </c>
      <c r="C326" s="53" t="s">
        <v>23</v>
      </c>
      <c r="D326" s="53" t="s">
        <v>44</v>
      </c>
      <c r="E326" s="53" t="s">
        <v>25</v>
      </c>
      <c r="F326" s="53" t="s">
        <v>25</v>
      </c>
      <c r="G326" s="53" t="s">
        <v>25</v>
      </c>
      <c r="H326" s="53" t="s">
        <v>25</v>
      </c>
      <c r="I326" s="73">
        <v>44409</v>
      </c>
      <c r="J326" s="74">
        <f>EFEITO!$J$326*EFEITO!$Y$194</f>
        <v>0</v>
      </c>
      <c r="K326" s="74">
        <f ca="1">EFEITO!$L$326*EFEITO!$Z$194</f>
        <v>-95.259561856000545</v>
      </c>
      <c r="L326" s="74">
        <f>EFEITO!$N$326*EFEITO!$AA$194</f>
        <v>-32.080893726149895</v>
      </c>
      <c r="M326" s="74">
        <f>$J$326-EFEITO!$K$326*EFEITO!$Y$326</f>
        <v>0</v>
      </c>
      <c r="N326" s="74">
        <f ca="1">$K$326-EFEITO!$M$326*EFEITO!$Z$326</f>
        <v>-5.7155737113600367</v>
      </c>
      <c r="O326" s="74">
        <f>$L$326-EFEITO!$O$326*EFEITO!$AA$326</f>
        <v>-1.9248536235689961</v>
      </c>
      <c r="P326" s="57"/>
      <c r="Q326" s="57"/>
      <c r="R326" s="57"/>
      <c r="S326" s="57"/>
      <c r="T326" s="57"/>
      <c r="U326" s="57"/>
      <c r="V326" s="57"/>
      <c r="W326" s="57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1.25" customHeight="1" x14ac:dyDescent="0.2">
      <c r="A327" s="53" t="s">
        <v>28</v>
      </c>
      <c r="B327" s="53" t="s">
        <v>43</v>
      </c>
      <c r="C327" s="53" t="s">
        <v>23</v>
      </c>
      <c r="D327" s="53" t="s">
        <v>44</v>
      </c>
      <c r="E327" s="53" t="s">
        <v>25</v>
      </c>
      <c r="F327" s="53" t="s">
        <v>25</v>
      </c>
      <c r="G327" s="53" t="s">
        <v>25</v>
      </c>
      <c r="H327" s="53" t="s">
        <v>25</v>
      </c>
      <c r="I327" s="73">
        <v>44409</v>
      </c>
      <c r="J327" s="74">
        <f>EFEITO!$J$327*EFEITO!$Y$194</f>
        <v>0</v>
      </c>
      <c r="K327" s="74">
        <f ca="1">EFEITO!$L$327*EFEITO!$Z$194</f>
        <v>549.95210968412698</v>
      </c>
      <c r="L327" s="74">
        <f>EFEITO!$N$327*EFEITO!$AA$194</f>
        <v>185.20928336746334</v>
      </c>
      <c r="M327" s="74">
        <f>$J$327-EFEITO!$K$327*EFEITO!$Y$327</f>
        <v>0</v>
      </c>
      <c r="N327" s="74">
        <f ca="1">$K$327-EFEITO!$M$327*EFEITO!$Z$327</f>
        <v>32.997126581047723</v>
      </c>
      <c r="O327" s="74">
        <f>$L$327-EFEITO!$O$327*EFEITO!$AA$327</f>
        <v>11.112557002047822</v>
      </c>
      <c r="P327" s="57"/>
      <c r="Q327" s="57"/>
      <c r="R327" s="57"/>
      <c r="S327" s="57"/>
      <c r="T327" s="57"/>
      <c r="U327" s="57"/>
      <c r="V327" s="57"/>
      <c r="W327" s="57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1.25" customHeight="1" x14ac:dyDescent="0.2">
      <c r="A328" s="53" t="s">
        <v>21</v>
      </c>
      <c r="B328" s="53" t="s">
        <v>43</v>
      </c>
      <c r="C328" s="53" t="s">
        <v>23</v>
      </c>
      <c r="D328" s="53" t="s">
        <v>44</v>
      </c>
      <c r="E328" s="53" t="s">
        <v>25</v>
      </c>
      <c r="F328" s="53" t="s">
        <v>25</v>
      </c>
      <c r="G328" s="53" t="s">
        <v>25</v>
      </c>
      <c r="H328" s="53" t="s">
        <v>25</v>
      </c>
      <c r="I328" s="73">
        <v>44440</v>
      </c>
      <c r="J328" s="74">
        <f>EFEITO!$J$328*EFEITO!$Y$194</f>
        <v>0</v>
      </c>
      <c r="K328" s="74">
        <f ca="1">EFEITO!$L$328*EFEITO!$Z$194</f>
        <v>41713.867519541025</v>
      </c>
      <c r="L328" s="74">
        <f>EFEITO!$N$328*EFEITO!$AA$194</f>
        <v>14048.124143422094</v>
      </c>
      <c r="M328" s="74">
        <f>$J$328-EFEITO!$K$328*EFEITO!$Y$328</f>
        <v>0</v>
      </c>
      <c r="N328" s="74">
        <f ca="1">$K$328-EFEITO!$M$328*EFEITO!$Z$328</f>
        <v>2502.8320511724669</v>
      </c>
      <c r="O328" s="74">
        <f>$L$328-EFEITO!$O$328*EFEITO!$AA$328</f>
        <v>842.88744860532825</v>
      </c>
      <c r="P328" s="57"/>
      <c r="Q328" s="57"/>
      <c r="R328" s="57"/>
      <c r="S328" s="57"/>
      <c r="T328" s="57"/>
      <c r="U328" s="57"/>
      <c r="V328" s="57"/>
      <c r="W328" s="57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1.25" customHeight="1" x14ac:dyDescent="0.2">
      <c r="A329" s="53" t="s">
        <v>27</v>
      </c>
      <c r="B329" s="53" t="s">
        <v>43</v>
      </c>
      <c r="C329" s="53" t="s">
        <v>23</v>
      </c>
      <c r="D329" s="53" t="s">
        <v>44</v>
      </c>
      <c r="E329" s="53" t="s">
        <v>25</v>
      </c>
      <c r="F329" s="53" t="s">
        <v>25</v>
      </c>
      <c r="G329" s="53" t="s">
        <v>25</v>
      </c>
      <c r="H329" s="53" t="s">
        <v>25</v>
      </c>
      <c r="I329" s="73">
        <v>44440</v>
      </c>
      <c r="J329" s="74">
        <f>EFEITO!$J$329*EFEITO!$Y$194</f>
        <v>0</v>
      </c>
      <c r="K329" s="74">
        <f ca="1">EFEITO!$L$329*EFEITO!$Z$194</f>
        <v>-303.45571766499143</v>
      </c>
      <c r="L329" s="74">
        <f>EFEITO!$N$329*EFEITO!$AA$194</f>
        <v>-102.19583671526101</v>
      </c>
      <c r="M329" s="74">
        <f>$J$329-EFEITO!$K$329*EFEITO!$Y$329</f>
        <v>0</v>
      </c>
      <c r="N329" s="74">
        <f ca="1">$K$329-EFEITO!$M$329*EFEITO!$Z$329</f>
        <v>-18.207343059899472</v>
      </c>
      <c r="O329" s="74">
        <f>$L$329-EFEITO!$O$329*EFEITO!$AA$329</f>
        <v>-6.1317502029156685</v>
      </c>
      <c r="P329" s="57"/>
      <c r="Q329" s="57"/>
      <c r="R329" s="57"/>
      <c r="S329" s="57"/>
      <c r="T329" s="57"/>
      <c r="U329" s="57"/>
      <c r="V329" s="57"/>
      <c r="W329" s="57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1.25" customHeight="1" x14ac:dyDescent="0.2">
      <c r="A330" s="53" t="s">
        <v>28</v>
      </c>
      <c r="B330" s="53" t="s">
        <v>43</v>
      </c>
      <c r="C330" s="53" t="s">
        <v>23</v>
      </c>
      <c r="D330" s="53" t="s">
        <v>44</v>
      </c>
      <c r="E330" s="53" t="s">
        <v>25</v>
      </c>
      <c r="F330" s="53" t="s">
        <v>25</v>
      </c>
      <c r="G330" s="53" t="s">
        <v>25</v>
      </c>
      <c r="H330" s="53" t="s">
        <v>25</v>
      </c>
      <c r="I330" s="73">
        <v>44440</v>
      </c>
      <c r="J330" s="74">
        <f>EFEITO!$J$330*EFEITO!$Y$194</f>
        <v>0</v>
      </c>
      <c r="K330" s="74">
        <f ca="1">EFEITO!$L$330*EFEITO!$Z$194</f>
        <v>444.87197444090981</v>
      </c>
      <c r="L330" s="74">
        <f>EFEITO!$N$330*EFEITO!$AA$194</f>
        <v>149.82108100975159</v>
      </c>
      <c r="M330" s="74">
        <f>$J$330-EFEITO!$K$330*EFEITO!$Y$330</f>
        <v>0</v>
      </c>
      <c r="N330" s="74">
        <f ca="1">$K$330-EFEITO!$M$330*EFEITO!$Z$330</f>
        <v>26.692318466454651</v>
      </c>
      <c r="O330" s="74">
        <f>$L$330-EFEITO!$O$330*EFEITO!$AA$330</f>
        <v>8.9892648605851093</v>
      </c>
      <c r="P330" s="57"/>
      <c r="Q330" s="57"/>
      <c r="R330" s="57"/>
      <c r="S330" s="57"/>
      <c r="T330" s="57"/>
      <c r="U330" s="57"/>
      <c r="V330" s="57"/>
      <c r="W330" s="57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1.25" customHeight="1" x14ac:dyDescent="0.2">
      <c r="A331" s="53" t="s">
        <v>21</v>
      </c>
      <c r="B331" s="53" t="s">
        <v>43</v>
      </c>
      <c r="C331" s="53" t="s">
        <v>23</v>
      </c>
      <c r="D331" s="53" t="s">
        <v>44</v>
      </c>
      <c r="E331" s="53" t="s">
        <v>25</v>
      </c>
      <c r="F331" s="53" t="s">
        <v>25</v>
      </c>
      <c r="G331" s="53" t="s">
        <v>25</v>
      </c>
      <c r="H331" s="53" t="s">
        <v>25</v>
      </c>
      <c r="I331" s="73">
        <v>44470</v>
      </c>
      <c r="J331" s="74">
        <f>EFEITO!$J$331*EFEITO!$Y$194</f>
        <v>0</v>
      </c>
      <c r="K331" s="74">
        <f ca="1">EFEITO!$L$331*EFEITO!$Z$194</f>
        <v>39405.05071620641</v>
      </c>
      <c r="L331" s="74">
        <f>EFEITO!$N$331*EFEITO!$AA$194</f>
        <v>13270.575884141903</v>
      </c>
      <c r="M331" s="74">
        <f>$J$331-EFEITO!$K$331*EFEITO!$Y$331</f>
        <v>0</v>
      </c>
      <c r="N331" s="74">
        <f ca="1">$K$331-EFEITO!$M$331*EFEITO!$Z$331</f>
        <v>2364.3030429723876</v>
      </c>
      <c r="O331" s="74">
        <f>$L$331-EFEITO!$O$331*EFEITO!$AA$331</f>
        <v>796.2345530485145</v>
      </c>
      <c r="P331" s="57"/>
      <c r="Q331" s="57"/>
      <c r="R331" s="57"/>
      <c r="S331" s="57"/>
      <c r="T331" s="57"/>
      <c r="U331" s="57"/>
      <c r="V331" s="57"/>
      <c r="W331" s="57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1.25" customHeight="1" x14ac:dyDescent="0.2">
      <c r="A332" s="53" t="s">
        <v>28</v>
      </c>
      <c r="B332" s="53" t="s">
        <v>43</v>
      </c>
      <c r="C332" s="53" t="s">
        <v>23</v>
      </c>
      <c r="D332" s="53" t="s">
        <v>44</v>
      </c>
      <c r="E332" s="53" t="s">
        <v>25</v>
      </c>
      <c r="F332" s="53" t="s">
        <v>25</v>
      </c>
      <c r="G332" s="53" t="s">
        <v>25</v>
      </c>
      <c r="H332" s="53" t="s">
        <v>25</v>
      </c>
      <c r="I332" s="73">
        <v>44470</v>
      </c>
      <c r="J332" s="74">
        <f>EFEITO!$J$332*EFEITO!$Y$194</f>
        <v>0</v>
      </c>
      <c r="K332" s="74">
        <f ca="1">EFEITO!$L$332*EFEITO!$Z$194</f>
        <v>543.07770831307528</v>
      </c>
      <c r="L332" s="74">
        <f>EFEITO!$N$332*EFEITO!$AA$194</f>
        <v>182.89416732537006</v>
      </c>
      <c r="M332" s="74">
        <f>$J$332-EFEITO!$K$332*EFEITO!$Y$332</f>
        <v>0</v>
      </c>
      <c r="N332" s="74">
        <f ca="1">$K$332-EFEITO!$M$332*EFEITO!$Z$332</f>
        <v>32.584662498784496</v>
      </c>
      <c r="O332" s="74">
        <f>$L$332-EFEITO!$O$332*EFEITO!$AA$332</f>
        <v>10.973650039522227</v>
      </c>
      <c r="P332" s="57"/>
      <c r="Q332" s="57"/>
      <c r="R332" s="57"/>
      <c r="S332" s="57"/>
      <c r="T332" s="57"/>
      <c r="U332" s="57"/>
      <c r="V332" s="57"/>
      <c r="W332" s="57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1.25" customHeight="1" x14ac:dyDescent="0.2">
      <c r="A333" s="53" t="s">
        <v>21</v>
      </c>
      <c r="B333" s="53" t="s">
        <v>43</v>
      </c>
      <c r="C333" s="53" t="s">
        <v>23</v>
      </c>
      <c r="D333" s="53" t="s">
        <v>44</v>
      </c>
      <c r="E333" s="53" t="s">
        <v>25</v>
      </c>
      <c r="F333" s="53" t="s">
        <v>25</v>
      </c>
      <c r="G333" s="53" t="s">
        <v>25</v>
      </c>
      <c r="H333" s="53" t="s">
        <v>25</v>
      </c>
      <c r="I333" s="73">
        <v>44501</v>
      </c>
      <c r="J333" s="74">
        <f>EFEITO!$J$333*EFEITO!$Y$194</f>
        <v>0</v>
      </c>
      <c r="K333" s="74">
        <f ca="1">EFEITO!$L$333*EFEITO!$Z$194</f>
        <v>37720.82238029877</v>
      </c>
      <c r="L333" s="74">
        <f>EFEITO!$N$333*EFEITO!$AA$194</f>
        <v>12703.372453829046</v>
      </c>
      <c r="M333" s="74">
        <f>$J$333-EFEITO!$K$333*EFEITO!$Y$333</f>
        <v>0</v>
      </c>
      <c r="N333" s="74">
        <f ca="1">$K$333-EFEITO!$M$333*EFEITO!$Z$333</f>
        <v>2263.2493428179296</v>
      </c>
      <c r="O333" s="74">
        <f>$L$333-EFEITO!$O$333*EFEITO!$AA$333</f>
        <v>762.20234722974419</v>
      </c>
      <c r="P333" s="57"/>
      <c r="Q333" s="57"/>
      <c r="R333" s="57"/>
      <c r="S333" s="57"/>
      <c r="T333" s="57"/>
      <c r="U333" s="57"/>
      <c r="V333" s="57"/>
      <c r="W333" s="57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1.25" customHeight="1" x14ac:dyDescent="0.2">
      <c r="A334" s="53" t="s">
        <v>28</v>
      </c>
      <c r="B334" s="53" t="s">
        <v>43</v>
      </c>
      <c r="C334" s="53" t="s">
        <v>23</v>
      </c>
      <c r="D334" s="53" t="s">
        <v>44</v>
      </c>
      <c r="E334" s="53" t="s">
        <v>25</v>
      </c>
      <c r="F334" s="53" t="s">
        <v>25</v>
      </c>
      <c r="G334" s="53" t="s">
        <v>25</v>
      </c>
      <c r="H334" s="53" t="s">
        <v>25</v>
      </c>
      <c r="I334" s="73">
        <v>44501</v>
      </c>
      <c r="J334" s="74">
        <f>EFEITO!$J$334*EFEITO!$Y$194</f>
        <v>0</v>
      </c>
      <c r="K334" s="74">
        <f ca="1">EFEITO!$L$334*EFEITO!$Z$194</f>
        <v>510.6698161352607</v>
      </c>
      <c r="L334" s="74">
        <f>EFEITO!$N$334*EFEITO!$AA$194</f>
        <v>171.98004884121596</v>
      </c>
      <c r="M334" s="74">
        <f>$J$334-EFEITO!$K$334*EFEITO!$Y$334</f>
        <v>0</v>
      </c>
      <c r="N334" s="74">
        <f ca="1">$K$334-EFEITO!$M$334*EFEITO!$Z$334</f>
        <v>30.640188968115694</v>
      </c>
      <c r="O334" s="74">
        <f>$L$334-EFEITO!$O$334*EFEITO!$AA$334</f>
        <v>10.318802930472998</v>
      </c>
      <c r="P334" s="57"/>
      <c r="Q334" s="57"/>
      <c r="R334" s="57"/>
      <c r="S334" s="57"/>
      <c r="T334" s="57"/>
      <c r="U334" s="57"/>
      <c r="V334" s="57"/>
      <c r="W334" s="57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1.25" customHeight="1" x14ac:dyDescent="0.2">
      <c r="A335" s="53" t="s">
        <v>21</v>
      </c>
      <c r="B335" s="53" t="s">
        <v>43</v>
      </c>
      <c r="C335" s="53" t="s">
        <v>23</v>
      </c>
      <c r="D335" s="53" t="s">
        <v>44</v>
      </c>
      <c r="E335" s="53" t="s">
        <v>25</v>
      </c>
      <c r="F335" s="53" t="s">
        <v>25</v>
      </c>
      <c r="G335" s="53" t="s">
        <v>25</v>
      </c>
      <c r="H335" s="53" t="s">
        <v>25</v>
      </c>
      <c r="I335" s="73">
        <v>44531</v>
      </c>
      <c r="J335" s="74">
        <f>EFEITO!$J$335*EFEITO!$Y$194</f>
        <v>0</v>
      </c>
      <c r="K335" s="74">
        <f ca="1">EFEITO!$L$335*EFEITO!$Z$194</f>
        <v>37463.523357553706</v>
      </c>
      <c r="L335" s="74">
        <f>EFEITO!$N$335*EFEITO!$AA$194</f>
        <v>12616.720967682128</v>
      </c>
      <c r="M335" s="74">
        <f>$J$335-EFEITO!$K$335*EFEITO!$Y$335</f>
        <v>0</v>
      </c>
      <c r="N335" s="74">
        <f ca="1">$K$335-EFEITO!$M$335*EFEITO!$Z$335</f>
        <v>2247.8114014532257</v>
      </c>
      <c r="O335" s="74">
        <f>$L$335-EFEITO!$O$335*EFEITO!$AA$335</f>
        <v>757.00325806092951</v>
      </c>
      <c r="P335" s="57"/>
      <c r="Q335" s="57"/>
      <c r="R335" s="57"/>
      <c r="S335" s="57"/>
      <c r="T335" s="57"/>
      <c r="U335" s="57"/>
      <c r="V335" s="57"/>
      <c r="W335" s="57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1.25" customHeight="1" x14ac:dyDescent="0.2">
      <c r="A336" s="53" t="s">
        <v>28</v>
      </c>
      <c r="B336" s="53" t="s">
        <v>43</v>
      </c>
      <c r="C336" s="53" t="s">
        <v>23</v>
      </c>
      <c r="D336" s="53" t="s">
        <v>44</v>
      </c>
      <c r="E336" s="53" t="s">
        <v>25</v>
      </c>
      <c r="F336" s="53" t="s">
        <v>25</v>
      </c>
      <c r="G336" s="53" t="s">
        <v>25</v>
      </c>
      <c r="H336" s="53" t="s">
        <v>25</v>
      </c>
      <c r="I336" s="73">
        <v>44531</v>
      </c>
      <c r="J336" s="74">
        <f>EFEITO!$J$336*EFEITO!$Y$194</f>
        <v>0</v>
      </c>
      <c r="K336" s="74">
        <f ca="1">EFEITO!$L$336*EFEITO!$Z$194</f>
        <v>3143.5655412480182</v>
      </c>
      <c r="L336" s="74">
        <f>EFEITO!$N$336*EFEITO!$AA$194</f>
        <v>1058.6694929629466</v>
      </c>
      <c r="M336" s="74">
        <f>$J$336-EFEITO!$K$336*EFEITO!$Y$336</f>
        <v>0</v>
      </c>
      <c r="N336" s="74">
        <f ca="1">$K$336-EFEITO!$M$336*EFEITO!$Z$336</f>
        <v>188.61393247488149</v>
      </c>
      <c r="O336" s="74">
        <f>$L$336-EFEITO!$O$336*EFEITO!$AA$336</f>
        <v>63.520169577776869</v>
      </c>
      <c r="P336" s="57"/>
      <c r="Q336" s="57"/>
      <c r="R336" s="57"/>
      <c r="S336" s="57"/>
      <c r="T336" s="57"/>
      <c r="U336" s="57"/>
      <c r="V336" s="57"/>
      <c r="W336" s="57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1.25" customHeight="1" x14ac:dyDescent="0.2">
      <c r="A337" s="53" t="s">
        <v>21</v>
      </c>
      <c r="B337" s="53" t="s">
        <v>43</v>
      </c>
      <c r="C337" s="53" t="s">
        <v>23</v>
      </c>
      <c r="D337" s="53" t="s">
        <v>44</v>
      </c>
      <c r="E337" s="53" t="s">
        <v>25</v>
      </c>
      <c r="F337" s="53" t="s">
        <v>25</v>
      </c>
      <c r="G337" s="53" t="s">
        <v>25</v>
      </c>
      <c r="H337" s="53" t="s">
        <v>25</v>
      </c>
      <c r="I337" s="73">
        <v>44562</v>
      </c>
      <c r="J337" s="74">
        <f>EFEITO!$J$337*EFEITO!$Y$194</f>
        <v>0</v>
      </c>
      <c r="K337" s="74">
        <f ca="1">EFEITO!$L$337*EFEITO!$Z$194</f>
        <v>40956.701311386627</v>
      </c>
      <c r="L337" s="74">
        <f>EFEITO!$N$337*EFEITO!$AA$194</f>
        <v>13793.130647928674</v>
      </c>
      <c r="M337" s="74">
        <f>$J$337-EFEITO!$K$337*EFEITO!$Y$337</f>
        <v>0</v>
      </c>
      <c r="N337" s="74">
        <f ca="1">$K$337-EFEITO!$M$337*EFEITO!$Z$337</f>
        <v>2457.4020786832043</v>
      </c>
      <c r="O337" s="74">
        <f>$L$337-EFEITO!$O$337*EFEITO!$AA$337</f>
        <v>827.58783887572099</v>
      </c>
      <c r="P337" s="57"/>
      <c r="Q337" s="57"/>
      <c r="R337" s="57"/>
      <c r="S337" s="57"/>
      <c r="T337" s="57"/>
      <c r="U337" s="57"/>
      <c r="V337" s="57"/>
      <c r="W337" s="57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1.25" customHeight="1" x14ac:dyDescent="0.2">
      <c r="A338" s="53" t="s">
        <v>28</v>
      </c>
      <c r="B338" s="53" t="s">
        <v>43</v>
      </c>
      <c r="C338" s="53" t="s">
        <v>23</v>
      </c>
      <c r="D338" s="53" t="s">
        <v>44</v>
      </c>
      <c r="E338" s="53" t="s">
        <v>25</v>
      </c>
      <c r="F338" s="53" t="s">
        <v>25</v>
      </c>
      <c r="G338" s="53" t="s">
        <v>25</v>
      </c>
      <c r="H338" s="53" t="s">
        <v>25</v>
      </c>
      <c r="I338" s="73">
        <v>44562</v>
      </c>
      <c r="J338" s="74">
        <f>EFEITO!$J$338*EFEITO!$Y$194</f>
        <v>0</v>
      </c>
      <c r="K338" s="74">
        <f ca="1">EFEITO!$L$338*EFEITO!$Z$194</f>
        <v>2368.7223009966319</v>
      </c>
      <c r="L338" s="74">
        <f>EFEITO!$N$338*EFEITO!$AA$194</f>
        <v>797.72284193271696</v>
      </c>
      <c r="M338" s="74">
        <f>$J$338-EFEITO!$K$338*EFEITO!$Y$338</f>
        <v>0</v>
      </c>
      <c r="N338" s="74">
        <f ca="1">$K$338-EFEITO!$M$338*EFEITO!$Z$338</f>
        <v>142.12333805979779</v>
      </c>
      <c r="O338" s="74">
        <f>$L$338-EFEITO!$O$338*EFEITO!$AA$338</f>
        <v>47.863370515963084</v>
      </c>
      <c r="P338" s="57"/>
      <c r="Q338" s="57"/>
      <c r="R338" s="57"/>
      <c r="S338" s="57"/>
      <c r="T338" s="57"/>
      <c r="U338" s="57"/>
      <c r="V338" s="57"/>
      <c r="W338" s="57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1.25" customHeight="1" x14ac:dyDescent="0.2">
      <c r="A339" s="53" t="s">
        <v>21</v>
      </c>
      <c r="B339" s="53" t="s">
        <v>43</v>
      </c>
      <c r="C339" s="53" t="s">
        <v>23</v>
      </c>
      <c r="D339" s="53" t="s">
        <v>44</v>
      </c>
      <c r="E339" s="53" t="s">
        <v>25</v>
      </c>
      <c r="F339" s="53" t="s">
        <v>25</v>
      </c>
      <c r="G339" s="53" t="s">
        <v>25</v>
      </c>
      <c r="H339" s="53" t="s">
        <v>25</v>
      </c>
      <c r="I339" s="73">
        <v>44593</v>
      </c>
      <c r="J339" s="74">
        <f>EFEITO!$J$339*EFEITO!$Y$194</f>
        <v>0</v>
      </c>
      <c r="K339" s="74">
        <f ca="1">EFEITO!$L$339*EFEITO!$Z$194</f>
        <v>41712.885462202306</v>
      </c>
      <c r="L339" s="74">
        <f>EFEITO!$N$339*EFEITO!$AA$194</f>
        <v>14047.793412558938</v>
      </c>
      <c r="M339" s="74">
        <f>$J$339-EFEITO!$K$339*EFEITO!$Y$339</f>
        <v>0</v>
      </c>
      <c r="N339" s="74">
        <f ca="1">$K$339-EFEITO!$M$339*EFEITO!$Z$339</f>
        <v>2502.7731277321436</v>
      </c>
      <c r="O339" s="74">
        <f>$L$339-EFEITO!$O$339*EFEITO!$AA$339</f>
        <v>842.86760475353913</v>
      </c>
      <c r="P339" s="57"/>
      <c r="Q339" s="57"/>
      <c r="R339" s="57"/>
      <c r="S339" s="57"/>
      <c r="T339" s="57"/>
      <c r="U339" s="57"/>
      <c r="V339" s="57"/>
      <c r="W339" s="57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1.25" customHeight="1" x14ac:dyDescent="0.2">
      <c r="A340" s="53" t="s">
        <v>28</v>
      </c>
      <c r="B340" s="53" t="s">
        <v>43</v>
      </c>
      <c r="C340" s="53" t="s">
        <v>23</v>
      </c>
      <c r="D340" s="53" t="s">
        <v>44</v>
      </c>
      <c r="E340" s="53" t="s">
        <v>25</v>
      </c>
      <c r="F340" s="53" t="s">
        <v>25</v>
      </c>
      <c r="G340" s="53" t="s">
        <v>25</v>
      </c>
      <c r="H340" s="53" t="s">
        <v>25</v>
      </c>
      <c r="I340" s="73">
        <v>44593</v>
      </c>
      <c r="J340" s="74">
        <f>EFEITO!$J$340*EFEITO!$Y$194</f>
        <v>0</v>
      </c>
      <c r="K340" s="74">
        <f ca="1">EFEITO!$L$340*EFEITO!$Z$194</f>
        <v>1815.8240192963403</v>
      </c>
      <c r="L340" s="74">
        <f>EFEITO!$N$340*EFEITO!$AA$194</f>
        <v>611.5213659757851</v>
      </c>
      <c r="M340" s="74">
        <f>$J$340-EFEITO!$K$340*EFEITO!$Y$340</f>
        <v>0</v>
      </c>
      <c r="N340" s="74">
        <f ca="1">$K$340-EFEITO!$M$340*EFEITO!$Z$340</f>
        <v>108.94944115778048</v>
      </c>
      <c r="O340" s="74">
        <f>$L$340-EFEITO!$O$340*EFEITO!$AA$340</f>
        <v>36.691281958547165</v>
      </c>
      <c r="P340" s="57"/>
      <c r="Q340" s="57"/>
      <c r="R340" s="57"/>
      <c r="S340" s="57"/>
      <c r="T340" s="57"/>
      <c r="U340" s="57"/>
      <c r="V340" s="57"/>
      <c r="W340" s="57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1.25" customHeight="1" x14ac:dyDescent="0.2">
      <c r="A341" s="53" t="s">
        <v>21</v>
      </c>
      <c r="B341" s="53" t="s">
        <v>43</v>
      </c>
      <c r="C341" s="53" t="s">
        <v>23</v>
      </c>
      <c r="D341" s="53" t="s">
        <v>44</v>
      </c>
      <c r="E341" s="53" t="s">
        <v>25</v>
      </c>
      <c r="F341" s="53" t="s">
        <v>25</v>
      </c>
      <c r="G341" s="53" t="s">
        <v>25</v>
      </c>
      <c r="H341" s="53" t="s">
        <v>25</v>
      </c>
      <c r="I341" s="73">
        <v>44621</v>
      </c>
      <c r="J341" s="74">
        <f>EFEITO!$J$341*EFEITO!$Y$194</f>
        <v>0</v>
      </c>
      <c r="K341" s="74">
        <f ca="1">EFEITO!$L$341*EFEITO!$Z$194</f>
        <v>40554.057802510753</v>
      </c>
      <c r="L341" s="74">
        <f>EFEITO!$N$341*EFEITO!$AA$194</f>
        <v>13657.53099403464</v>
      </c>
      <c r="M341" s="74">
        <f>$J$341-EFEITO!$K$341*EFEITO!$Y$341</f>
        <v>0</v>
      </c>
      <c r="N341" s="74">
        <f ca="1">$K$341-EFEITO!$M$341*EFEITO!$Z$341</f>
        <v>2433.2434681506493</v>
      </c>
      <c r="O341" s="74">
        <f>$L$341-EFEITO!$O$341*EFEITO!$AA$341</f>
        <v>819.45185964208031</v>
      </c>
      <c r="P341" s="57"/>
      <c r="Q341" s="57"/>
      <c r="R341" s="57"/>
      <c r="S341" s="57"/>
      <c r="T341" s="57"/>
      <c r="U341" s="57"/>
      <c r="V341" s="57"/>
      <c r="W341" s="57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1.25" customHeight="1" x14ac:dyDescent="0.2">
      <c r="A342" s="53" t="s">
        <v>28</v>
      </c>
      <c r="B342" s="53" t="s">
        <v>43</v>
      </c>
      <c r="C342" s="53" t="s">
        <v>23</v>
      </c>
      <c r="D342" s="53" t="s">
        <v>44</v>
      </c>
      <c r="E342" s="53" t="s">
        <v>25</v>
      </c>
      <c r="F342" s="53" t="s">
        <v>25</v>
      </c>
      <c r="G342" s="53" t="s">
        <v>25</v>
      </c>
      <c r="H342" s="53" t="s">
        <v>25</v>
      </c>
      <c r="I342" s="73">
        <v>44621</v>
      </c>
      <c r="J342" s="74">
        <f>EFEITO!$J$342*EFEITO!$Y$194</f>
        <v>0</v>
      </c>
      <c r="K342" s="74">
        <f ca="1">EFEITO!$L$342*EFEITO!$Z$194</f>
        <v>1460.3192626791013</v>
      </c>
      <c r="L342" s="74">
        <f>EFEITO!$N$342*EFEITO!$AA$194</f>
        <v>491.79679351324643</v>
      </c>
      <c r="M342" s="74">
        <f>$J$342-EFEITO!$K$342*EFEITO!$Y$342</f>
        <v>0</v>
      </c>
      <c r="N342" s="74">
        <f ca="1">$K$342-EFEITO!$M$342*EFEITO!$Z$342</f>
        <v>87.619155760746025</v>
      </c>
      <c r="O342" s="74">
        <f>$L$342-EFEITO!$O$342*EFEITO!$AA$342</f>
        <v>29.507807610794885</v>
      </c>
      <c r="P342" s="57"/>
      <c r="Q342" s="57"/>
      <c r="R342" s="57"/>
      <c r="S342" s="57"/>
      <c r="T342" s="57"/>
      <c r="U342" s="57"/>
      <c r="V342" s="57"/>
      <c r="W342" s="57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1.25" customHeight="1" x14ac:dyDescent="0.2">
      <c r="A343" s="53" t="s">
        <v>21</v>
      </c>
      <c r="B343" s="53" t="s">
        <v>35</v>
      </c>
      <c r="C343" s="53" t="s">
        <v>33</v>
      </c>
      <c r="D343" s="53" t="s">
        <v>40</v>
      </c>
      <c r="E343" s="53" t="s">
        <v>25</v>
      </c>
      <c r="F343" s="53" t="s">
        <v>25</v>
      </c>
      <c r="G343" s="53" t="s">
        <v>25</v>
      </c>
      <c r="H343" s="53" t="s">
        <v>34</v>
      </c>
      <c r="I343" s="73">
        <v>44287</v>
      </c>
      <c r="J343" s="74">
        <f>EFEITO!$J$343*EFEITO!$Y$343</f>
        <v>0</v>
      </c>
      <c r="K343" s="74">
        <f ca="1">EFEITO!$L$343*EFEITO!$Z$343</f>
        <v>150.48566560515391</v>
      </c>
      <c r="L343" s="74">
        <f>EFEITO!$N$343*EFEITO!$AA$343</f>
        <v>74.745175073297702</v>
      </c>
      <c r="M343" s="74">
        <f>$J$343-EFEITO!$K$343*EFEITO!$Y$343</f>
        <v>0</v>
      </c>
      <c r="N343" s="74">
        <f ca="1">$K$343-EFEITO!$M$343*EFEITO!$Z$343</f>
        <v>0</v>
      </c>
      <c r="O343" s="74">
        <f>$L$343-EFEITO!$O$343*EFEITO!$AA$343</f>
        <v>0</v>
      </c>
      <c r="P343" s="57"/>
      <c r="Q343" s="57"/>
      <c r="R343" s="57"/>
      <c r="S343" s="57"/>
      <c r="T343" s="57"/>
      <c r="U343" s="57"/>
      <c r="V343" s="57"/>
      <c r="W343" s="57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1.25" customHeight="1" x14ac:dyDescent="0.2">
      <c r="A344" s="53" t="s">
        <v>21</v>
      </c>
      <c r="B344" s="53" t="s">
        <v>35</v>
      </c>
      <c r="C344" s="53" t="s">
        <v>33</v>
      </c>
      <c r="D344" s="53" t="s">
        <v>40</v>
      </c>
      <c r="E344" s="53" t="s">
        <v>25</v>
      </c>
      <c r="F344" s="53" t="s">
        <v>25</v>
      </c>
      <c r="G344" s="53" t="s">
        <v>25</v>
      </c>
      <c r="H344" s="53" t="s">
        <v>34</v>
      </c>
      <c r="I344" s="73">
        <v>44317</v>
      </c>
      <c r="J344" s="74">
        <f>EFEITO!$J$344*EFEITO!$Y$344</f>
        <v>0</v>
      </c>
      <c r="K344" s="74">
        <f ca="1">EFEITO!$L$344*EFEITO!$Z$344</f>
        <v>157.14432337529345</v>
      </c>
      <c r="L344" s="74">
        <f>EFEITO!$N$344*EFEITO!$AA$344</f>
        <v>78.05248370485954</v>
      </c>
      <c r="M344" s="74">
        <f>$J$344-EFEITO!$K$344*EFEITO!$Y$344</f>
        <v>0</v>
      </c>
      <c r="N344" s="74">
        <f ca="1">$K$344-EFEITO!$M$344*EFEITO!$Z$344</f>
        <v>0</v>
      </c>
      <c r="O344" s="74">
        <f>$L$344-EFEITO!$O$344*EFEITO!$AA$344</f>
        <v>0</v>
      </c>
      <c r="P344" s="57"/>
      <c r="Q344" s="57"/>
      <c r="R344" s="57"/>
      <c r="S344" s="57"/>
      <c r="T344" s="57"/>
      <c r="U344" s="57"/>
      <c r="V344" s="57"/>
      <c r="W344" s="57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1.25" customHeight="1" x14ac:dyDescent="0.2">
      <c r="A345" s="53" t="s">
        <v>21</v>
      </c>
      <c r="B345" s="53" t="s">
        <v>35</v>
      </c>
      <c r="C345" s="53" t="s">
        <v>33</v>
      </c>
      <c r="D345" s="53" t="s">
        <v>40</v>
      </c>
      <c r="E345" s="53" t="s">
        <v>25</v>
      </c>
      <c r="F345" s="53" t="s">
        <v>25</v>
      </c>
      <c r="G345" s="53" t="s">
        <v>25</v>
      </c>
      <c r="H345" s="53" t="s">
        <v>34</v>
      </c>
      <c r="I345" s="73">
        <v>44348</v>
      </c>
      <c r="J345" s="74">
        <f>EFEITO!$J$345*EFEITO!$Y$345</f>
        <v>0</v>
      </c>
      <c r="K345" s="74">
        <f ca="1">EFEITO!$L$345*EFEITO!$Z$345</f>
        <v>236.38235083995414</v>
      </c>
      <c r="L345" s="74">
        <f>EFEITO!$N$345*EFEITO!$AA$345</f>
        <v>117.40945642044549</v>
      </c>
      <c r="M345" s="74">
        <f>$J$345-EFEITO!$K$345*EFEITO!$Y$345</f>
        <v>0</v>
      </c>
      <c r="N345" s="74">
        <f ca="1">$K$345-EFEITO!$M$345*EFEITO!$Z$345</f>
        <v>0</v>
      </c>
      <c r="O345" s="74">
        <f>$L$345-EFEITO!$O$345*EFEITO!$AA$345</f>
        <v>0</v>
      </c>
      <c r="P345" s="57"/>
      <c r="Q345" s="57"/>
      <c r="R345" s="57"/>
      <c r="S345" s="57"/>
      <c r="T345" s="57"/>
      <c r="U345" s="57"/>
      <c r="V345" s="57"/>
      <c r="W345" s="57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1.25" customHeight="1" x14ac:dyDescent="0.2">
      <c r="A346" s="53" t="s">
        <v>21</v>
      </c>
      <c r="B346" s="53" t="s">
        <v>35</v>
      </c>
      <c r="C346" s="53" t="s">
        <v>33</v>
      </c>
      <c r="D346" s="53" t="s">
        <v>40</v>
      </c>
      <c r="E346" s="53" t="s">
        <v>25</v>
      </c>
      <c r="F346" s="53" t="s">
        <v>25</v>
      </c>
      <c r="G346" s="53" t="s">
        <v>25</v>
      </c>
      <c r="H346" s="53" t="s">
        <v>34</v>
      </c>
      <c r="I346" s="73">
        <v>44378</v>
      </c>
      <c r="J346" s="74">
        <f>EFEITO!$J$346*EFEITO!$Y$346</f>
        <v>0</v>
      </c>
      <c r="K346" s="74">
        <f ca="1">EFEITO!$L$346*EFEITO!$Z$346</f>
        <v>106.53852432223286</v>
      </c>
      <c r="L346" s="74">
        <f>EFEITO!$N$346*EFEITO!$AA$346</f>
        <v>52.916938104989526</v>
      </c>
      <c r="M346" s="74">
        <f>$J$346-EFEITO!$K$346*EFEITO!$Y$346</f>
        <v>0</v>
      </c>
      <c r="N346" s="74">
        <f ca="1">$K$346-EFEITO!$M$346*EFEITO!$Z$346</f>
        <v>0</v>
      </c>
      <c r="O346" s="74">
        <f>$L$346-EFEITO!$O$346*EFEITO!$AA$346</f>
        <v>0</v>
      </c>
      <c r="P346" s="57"/>
      <c r="Q346" s="57"/>
      <c r="R346" s="57"/>
      <c r="S346" s="57"/>
      <c r="T346" s="57"/>
      <c r="U346" s="57"/>
      <c r="V346" s="57"/>
      <c r="W346" s="57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1.25" customHeight="1" x14ac:dyDescent="0.2">
      <c r="A347" s="53" t="s">
        <v>21</v>
      </c>
      <c r="B347" s="53" t="s">
        <v>35</v>
      </c>
      <c r="C347" s="53" t="s">
        <v>33</v>
      </c>
      <c r="D347" s="53" t="s">
        <v>40</v>
      </c>
      <c r="E347" s="53" t="s">
        <v>25</v>
      </c>
      <c r="F347" s="53" t="s">
        <v>25</v>
      </c>
      <c r="G347" s="53" t="s">
        <v>25</v>
      </c>
      <c r="H347" s="53" t="s">
        <v>34</v>
      </c>
      <c r="I347" s="73">
        <v>44409</v>
      </c>
      <c r="J347" s="74">
        <f>EFEITO!$J$347*EFEITO!$Y$347</f>
        <v>0</v>
      </c>
      <c r="K347" s="74">
        <f ca="1">EFEITO!$L$347*EFEITO!$Z$347</f>
        <v>133.83902117980503</v>
      </c>
      <c r="L347" s="74">
        <f>EFEITO!$N$347*EFEITO!$AA$347</f>
        <v>66.476903494393085</v>
      </c>
      <c r="M347" s="74">
        <f>$J$347-EFEITO!$K$347*EFEITO!$Y$347</f>
        <v>0</v>
      </c>
      <c r="N347" s="74">
        <f ca="1">$K$347-EFEITO!$M$347*EFEITO!$Z$347</f>
        <v>0</v>
      </c>
      <c r="O347" s="74">
        <f>$L$347-EFEITO!$O$347*EFEITO!$AA$347</f>
        <v>0</v>
      </c>
      <c r="P347" s="57"/>
      <c r="Q347" s="57"/>
      <c r="R347" s="57"/>
      <c r="S347" s="57"/>
      <c r="T347" s="57"/>
      <c r="U347" s="57"/>
      <c r="V347" s="57"/>
      <c r="W347" s="57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1.25" customHeight="1" x14ac:dyDescent="0.2">
      <c r="A348" s="53" t="s">
        <v>21</v>
      </c>
      <c r="B348" s="53" t="s">
        <v>35</v>
      </c>
      <c r="C348" s="53" t="s">
        <v>33</v>
      </c>
      <c r="D348" s="53" t="s">
        <v>40</v>
      </c>
      <c r="E348" s="53" t="s">
        <v>25</v>
      </c>
      <c r="F348" s="53" t="s">
        <v>25</v>
      </c>
      <c r="G348" s="53" t="s">
        <v>25</v>
      </c>
      <c r="H348" s="53" t="s">
        <v>34</v>
      </c>
      <c r="I348" s="73">
        <v>44440</v>
      </c>
      <c r="J348" s="74">
        <f>EFEITO!$J$348*EFEITO!$Y$348</f>
        <v>0</v>
      </c>
      <c r="K348" s="74">
        <f ca="1">EFEITO!$L$348*EFEITO!$Z$348</f>
        <v>135.83661851084688</v>
      </c>
      <c r="L348" s="74">
        <f>EFEITO!$N$348*EFEITO!$AA$348</f>
        <v>67.469096083861629</v>
      </c>
      <c r="M348" s="74">
        <f>$J$348-EFEITO!$K$348*EFEITO!$Y$348</f>
        <v>0</v>
      </c>
      <c r="N348" s="74">
        <f ca="1">$K$348-EFEITO!$M$348*EFEITO!$Z$348</f>
        <v>0</v>
      </c>
      <c r="O348" s="74">
        <f>$L$348-EFEITO!$O$348*EFEITO!$AA$348</f>
        <v>0</v>
      </c>
      <c r="P348" s="57"/>
      <c r="Q348" s="57"/>
      <c r="R348" s="57"/>
      <c r="S348" s="57"/>
      <c r="T348" s="57"/>
      <c r="U348" s="57"/>
      <c r="V348" s="57"/>
      <c r="W348" s="57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1.25" customHeight="1" x14ac:dyDescent="0.2">
      <c r="A349" s="53" t="s">
        <v>21</v>
      </c>
      <c r="B349" s="53" t="s">
        <v>35</v>
      </c>
      <c r="C349" s="53" t="s">
        <v>33</v>
      </c>
      <c r="D349" s="53" t="s">
        <v>40</v>
      </c>
      <c r="E349" s="53" t="s">
        <v>25</v>
      </c>
      <c r="F349" s="53" t="s">
        <v>25</v>
      </c>
      <c r="G349" s="53" t="s">
        <v>25</v>
      </c>
      <c r="H349" s="53" t="s">
        <v>34</v>
      </c>
      <c r="I349" s="73">
        <v>44470</v>
      </c>
      <c r="J349" s="74">
        <f>EFEITO!$J$349*EFEITO!$Y$349</f>
        <v>0</v>
      </c>
      <c r="K349" s="74">
        <f ca="1">EFEITO!$L$349*EFEITO!$Z$349</f>
        <v>131.84142384876318</v>
      </c>
      <c r="L349" s="74">
        <f>EFEITO!$N$349*EFEITO!$AA$349</f>
        <v>65.48471090492454</v>
      </c>
      <c r="M349" s="74">
        <f>$J$349-EFEITO!$K$349*EFEITO!$Y$349</f>
        <v>0</v>
      </c>
      <c r="N349" s="74">
        <f ca="1">$K$349-EFEITO!$M$349*EFEITO!$Z$349</f>
        <v>0</v>
      </c>
      <c r="O349" s="74">
        <f>$L$349-EFEITO!$O$349*EFEITO!$AA$349</f>
        <v>0</v>
      </c>
      <c r="P349" s="57"/>
      <c r="Q349" s="57"/>
      <c r="R349" s="57"/>
      <c r="S349" s="57"/>
      <c r="T349" s="57"/>
      <c r="U349" s="57"/>
      <c r="V349" s="57"/>
      <c r="W349" s="57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1.25" customHeight="1" x14ac:dyDescent="0.2">
      <c r="A350" s="53" t="s">
        <v>21</v>
      </c>
      <c r="B350" s="53" t="s">
        <v>35</v>
      </c>
      <c r="C350" s="53" t="s">
        <v>33</v>
      </c>
      <c r="D350" s="53" t="s">
        <v>40</v>
      </c>
      <c r="E350" s="53" t="s">
        <v>25</v>
      </c>
      <c r="F350" s="53" t="s">
        <v>25</v>
      </c>
      <c r="G350" s="53" t="s">
        <v>25</v>
      </c>
      <c r="H350" s="53" t="s">
        <v>34</v>
      </c>
      <c r="I350" s="73">
        <v>44501</v>
      </c>
      <c r="J350" s="74">
        <f>EFEITO!$J$350*EFEITO!$Y$350</f>
        <v>0</v>
      </c>
      <c r="K350" s="74">
        <f ca="1">EFEITO!$L$350*EFEITO!$Z$350</f>
        <v>121.18757141653988</v>
      </c>
      <c r="L350" s="74">
        <f>EFEITO!$N$350*EFEITO!$AA$350</f>
        <v>60.193017094425578</v>
      </c>
      <c r="M350" s="74">
        <f>$J$350-EFEITO!$K$350*EFEITO!$Y$350</f>
        <v>0</v>
      </c>
      <c r="N350" s="74">
        <f ca="1">$K$350-EFEITO!$M$350*EFEITO!$Z$350</f>
        <v>0</v>
      </c>
      <c r="O350" s="74">
        <f>$L$350-EFEITO!$O$350*EFEITO!$AA$350</f>
        <v>0</v>
      </c>
      <c r="P350" s="57"/>
      <c r="Q350" s="57"/>
      <c r="R350" s="57"/>
      <c r="S350" s="57"/>
      <c r="T350" s="57"/>
      <c r="U350" s="57"/>
      <c r="V350" s="57"/>
      <c r="W350" s="57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1.25" customHeight="1" x14ac:dyDescent="0.2">
      <c r="A351" s="53" t="s">
        <v>21</v>
      </c>
      <c r="B351" s="53" t="s">
        <v>35</v>
      </c>
      <c r="C351" s="53" t="s">
        <v>33</v>
      </c>
      <c r="D351" s="53" t="s">
        <v>40</v>
      </c>
      <c r="E351" s="53" t="s">
        <v>25</v>
      </c>
      <c r="F351" s="53" t="s">
        <v>25</v>
      </c>
      <c r="G351" s="53" t="s">
        <v>25</v>
      </c>
      <c r="H351" s="53" t="s">
        <v>34</v>
      </c>
      <c r="I351" s="73">
        <v>44531</v>
      </c>
      <c r="J351" s="74">
        <f>EFEITO!$J$351*EFEITO!$Y$351</f>
        <v>0</v>
      </c>
      <c r="K351" s="74">
        <f ca="1">EFEITO!$L$351*EFEITO!$Z$351</f>
        <v>141.8294105039725</v>
      </c>
      <c r="L351" s="74">
        <f>EFEITO!$N$351*EFEITO!$AA$351</f>
        <v>70.445673852267305</v>
      </c>
      <c r="M351" s="74">
        <f>$J$351-EFEITO!$K$351*EFEITO!$Y$351</f>
        <v>0</v>
      </c>
      <c r="N351" s="74">
        <f ca="1">$K$351-EFEITO!$M$351*EFEITO!$Z$351</f>
        <v>0</v>
      </c>
      <c r="O351" s="74">
        <f>$L$351-EFEITO!$O$351*EFEITO!$AA$351</f>
        <v>0</v>
      </c>
      <c r="P351" s="57"/>
      <c r="Q351" s="57"/>
      <c r="R351" s="57"/>
      <c r="S351" s="57"/>
      <c r="T351" s="57"/>
      <c r="U351" s="57"/>
      <c r="V351" s="57"/>
      <c r="W351" s="57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1.25" customHeight="1" x14ac:dyDescent="0.2">
      <c r="A352" s="53" t="s">
        <v>21</v>
      </c>
      <c r="B352" s="53" t="s">
        <v>35</v>
      </c>
      <c r="C352" s="53" t="s">
        <v>33</v>
      </c>
      <c r="D352" s="53" t="s">
        <v>40</v>
      </c>
      <c r="E352" s="53" t="s">
        <v>25</v>
      </c>
      <c r="F352" s="53" t="s">
        <v>25</v>
      </c>
      <c r="G352" s="53" t="s">
        <v>25</v>
      </c>
      <c r="H352" s="53" t="s">
        <v>34</v>
      </c>
      <c r="I352" s="73">
        <v>44562</v>
      </c>
      <c r="J352" s="74">
        <f>EFEITO!$J$352*EFEITO!$Y$352</f>
        <v>0</v>
      </c>
      <c r="K352" s="74">
        <f ca="1">EFEITO!$L$352*EFEITO!$Z$352</f>
        <v>205.08665932029825</v>
      </c>
      <c r="L352" s="74">
        <f>EFEITO!$N$352*EFEITO!$AA$352</f>
        <v>101.86510585210483</v>
      </c>
      <c r="M352" s="74">
        <f>$J$352-EFEITO!$K$352*EFEITO!$Y$352</f>
        <v>0</v>
      </c>
      <c r="N352" s="74">
        <f ca="1">$K$352-EFEITO!$M$352*EFEITO!$Z$352</f>
        <v>0</v>
      </c>
      <c r="O352" s="74">
        <f>$L$352-EFEITO!$O$352*EFEITO!$AA$352</f>
        <v>0</v>
      </c>
      <c r="P352" s="57"/>
      <c r="Q352" s="57"/>
      <c r="R352" s="57"/>
      <c r="S352" s="57"/>
      <c r="T352" s="57"/>
      <c r="U352" s="57"/>
      <c r="V352" s="57"/>
      <c r="W352" s="57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1.25" customHeight="1" x14ac:dyDescent="0.2">
      <c r="A353" s="53" t="s">
        <v>21</v>
      </c>
      <c r="B353" s="53" t="s">
        <v>35</v>
      </c>
      <c r="C353" s="53" t="s">
        <v>33</v>
      </c>
      <c r="D353" s="53" t="s">
        <v>40</v>
      </c>
      <c r="E353" s="53" t="s">
        <v>25</v>
      </c>
      <c r="F353" s="53" t="s">
        <v>25</v>
      </c>
      <c r="G353" s="53" t="s">
        <v>25</v>
      </c>
      <c r="H353" s="53" t="s">
        <v>34</v>
      </c>
      <c r="I353" s="73">
        <v>44593</v>
      </c>
      <c r="J353" s="74">
        <f>EFEITO!$J$353*EFEITO!$Y$353</f>
        <v>0</v>
      </c>
      <c r="K353" s="74">
        <f ca="1">EFEITO!$L$353*EFEITO!$Z$353</f>
        <v>179.78375979376796</v>
      </c>
      <c r="L353" s="74">
        <f>EFEITO!$N$353*EFEITO!$AA$353</f>
        <v>89.297333052169819</v>
      </c>
      <c r="M353" s="74">
        <f>$J$353-EFEITO!$K$353*EFEITO!$Y$353</f>
        <v>0</v>
      </c>
      <c r="N353" s="74">
        <f ca="1">$K$353-EFEITO!$M$353*EFEITO!$Z$353</f>
        <v>0</v>
      </c>
      <c r="O353" s="74">
        <f>$L$353-EFEITO!$O$353*EFEITO!$AA$353</f>
        <v>0</v>
      </c>
      <c r="P353" s="57"/>
      <c r="Q353" s="57"/>
      <c r="R353" s="57"/>
      <c r="S353" s="57"/>
      <c r="T353" s="57"/>
      <c r="U353" s="57"/>
      <c r="V353" s="57"/>
      <c r="W353" s="57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1.25" customHeight="1" x14ac:dyDescent="0.2">
      <c r="A354" s="53" t="s">
        <v>21</v>
      </c>
      <c r="B354" s="53" t="s">
        <v>35</v>
      </c>
      <c r="C354" s="53" t="s">
        <v>33</v>
      </c>
      <c r="D354" s="53" t="s">
        <v>40</v>
      </c>
      <c r="E354" s="53" t="s">
        <v>25</v>
      </c>
      <c r="F354" s="53" t="s">
        <v>25</v>
      </c>
      <c r="G354" s="53" t="s">
        <v>25</v>
      </c>
      <c r="H354" s="53" t="s">
        <v>34</v>
      </c>
      <c r="I354" s="73">
        <v>44621</v>
      </c>
      <c r="J354" s="74">
        <f>EFEITO!$J$354*EFEITO!$Y$354</f>
        <v>0</v>
      </c>
      <c r="K354" s="74">
        <f ca="1">EFEITO!$L$354*EFEITO!$Z$354</f>
        <v>183.11308867883776</v>
      </c>
      <c r="L354" s="74">
        <f>EFEITO!$N$354*EFEITO!$AA$354</f>
        <v>90.950987367950745</v>
      </c>
      <c r="M354" s="74">
        <f>$J$354-EFEITO!$K$354*EFEITO!$Y$354</f>
        <v>0</v>
      </c>
      <c r="N354" s="74">
        <f ca="1">$K$354-EFEITO!$M$354*EFEITO!$Z$354</f>
        <v>0</v>
      </c>
      <c r="O354" s="74">
        <f>$L$354-EFEITO!$O$354*EFEITO!$AA$354</f>
        <v>0</v>
      </c>
      <c r="P354" s="57"/>
      <c r="Q354" s="57"/>
      <c r="R354" s="57"/>
      <c r="S354" s="57"/>
      <c r="T354" s="57"/>
      <c r="U354" s="57"/>
      <c r="V354" s="57"/>
      <c r="W354" s="57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1.25" customHeight="1" x14ac:dyDescent="0.2">
      <c r="A355" s="53" t="s">
        <v>21</v>
      </c>
      <c r="B355" s="53" t="s">
        <v>35</v>
      </c>
      <c r="C355" s="53" t="s">
        <v>33</v>
      </c>
      <c r="D355" s="53" t="s">
        <v>40</v>
      </c>
      <c r="E355" s="53" t="s">
        <v>25</v>
      </c>
      <c r="F355" s="53" t="s">
        <v>25</v>
      </c>
      <c r="G355" s="53" t="s">
        <v>25</v>
      </c>
      <c r="H355" s="53" t="s">
        <v>42</v>
      </c>
      <c r="I355" s="73">
        <v>44287</v>
      </c>
      <c r="J355" s="74">
        <f>EFEITO!$J$355*EFEITO!$Y$355</f>
        <v>0</v>
      </c>
      <c r="K355" s="74">
        <f ca="1">EFEITO!$L$355*EFEITO!$Z$355</f>
        <v>23.169711236172379</v>
      </c>
      <c r="L355" s="74">
        <f>EFEITO!$N$355*EFEITO!$AA$355</f>
        <v>4.6302320841865834</v>
      </c>
      <c r="M355" s="74">
        <f>$J$355-EFEITO!$K$355*EFEITO!$Y$355</f>
        <v>0</v>
      </c>
      <c r="N355" s="74">
        <f ca="1">$K$355-EFEITO!$M$355*EFEITO!$Z$355</f>
        <v>0</v>
      </c>
      <c r="O355" s="74">
        <f>$L$355-EFEITO!$O$355*EFEITO!$AA$355</f>
        <v>0</v>
      </c>
      <c r="P355" s="57"/>
      <c r="Q355" s="57"/>
      <c r="R355" s="57"/>
      <c r="S355" s="57"/>
      <c r="T355" s="57"/>
      <c r="U355" s="57"/>
      <c r="V355" s="57"/>
      <c r="W355" s="57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1.25" customHeight="1" x14ac:dyDescent="0.2">
      <c r="A356" s="53" t="s">
        <v>21</v>
      </c>
      <c r="B356" s="53" t="s">
        <v>35</v>
      </c>
      <c r="C356" s="53" t="s">
        <v>33</v>
      </c>
      <c r="D356" s="53" t="s">
        <v>40</v>
      </c>
      <c r="E356" s="53" t="s">
        <v>25</v>
      </c>
      <c r="F356" s="53" t="s">
        <v>25</v>
      </c>
      <c r="G356" s="53" t="s">
        <v>25</v>
      </c>
      <c r="H356" s="53" t="s">
        <v>42</v>
      </c>
      <c r="I356" s="73">
        <v>44317</v>
      </c>
      <c r="J356" s="74">
        <f>EFEITO!$J$356*EFEITO!$Y$356</f>
        <v>0</v>
      </c>
      <c r="K356" s="74">
        <f ca="1">EFEITO!$L$356*EFEITO!$Z$356</f>
        <v>29.789628732221626</v>
      </c>
      <c r="L356" s="74">
        <f>EFEITO!$N$356*EFEITO!$AA$356</f>
        <v>5.9531555368113205</v>
      </c>
      <c r="M356" s="74">
        <f>$J$356-EFEITO!$K$356*EFEITO!$Y$356</f>
        <v>0</v>
      </c>
      <c r="N356" s="74">
        <f ca="1">$K$356-EFEITO!$M$356*EFEITO!$Z$356</f>
        <v>0</v>
      </c>
      <c r="O356" s="74">
        <f>$L$356-EFEITO!$O$356*EFEITO!$AA$356</f>
        <v>0</v>
      </c>
      <c r="P356" s="57"/>
      <c r="Q356" s="57"/>
      <c r="R356" s="57"/>
      <c r="S356" s="57"/>
      <c r="T356" s="57"/>
      <c r="U356" s="57"/>
      <c r="V356" s="57"/>
      <c r="W356" s="57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1.25" customHeight="1" x14ac:dyDescent="0.2">
      <c r="A357" s="53" t="s">
        <v>21</v>
      </c>
      <c r="B357" s="53" t="s">
        <v>35</v>
      </c>
      <c r="C357" s="53" t="s">
        <v>33</v>
      </c>
      <c r="D357" s="53" t="s">
        <v>40</v>
      </c>
      <c r="E357" s="53" t="s">
        <v>25</v>
      </c>
      <c r="F357" s="53" t="s">
        <v>25</v>
      </c>
      <c r="G357" s="53" t="s">
        <v>25</v>
      </c>
      <c r="H357" s="53" t="s">
        <v>42</v>
      </c>
      <c r="I357" s="73">
        <v>44348</v>
      </c>
      <c r="J357" s="74">
        <f>EFEITO!$J$357*EFEITO!$Y$357</f>
        <v>0</v>
      </c>
      <c r="K357" s="74">
        <f ca="1">EFEITO!$L$357*EFEITO!$Z$357</f>
        <v>61.234236838455566</v>
      </c>
      <c r="L357" s="74">
        <f>EFEITO!$N$357*EFEITO!$AA$357</f>
        <v>12.237041936778827</v>
      </c>
      <c r="M357" s="74">
        <f>$J$357-EFEITO!$K$357*EFEITO!$Y$357</f>
        <v>0</v>
      </c>
      <c r="N357" s="74">
        <f ca="1">$K$357-EFEITO!$M$357*EFEITO!$Z$357</f>
        <v>0</v>
      </c>
      <c r="O357" s="74">
        <f>$L$357-EFEITO!$O$357*EFEITO!$AA$357</f>
        <v>0</v>
      </c>
      <c r="P357" s="57"/>
      <c r="Q357" s="57"/>
      <c r="R357" s="57"/>
      <c r="S357" s="57"/>
      <c r="T357" s="57"/>
      <c r="U357" s="57"/>
      <c r="V357" s="57"/>
      <c r="W357" s="57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1.25" customHeight="1" x14ac:dyDescent="0.2">
      <c r="A358" s="53" t="s">
        <v>21</v>
      </c>
      <c r="B358" s="53" t="s">
        <v>35</v>
      </c>
      <c r="C358" s="53" t="s">
        <v>33</v>
      </c>
      <c r="D358" s="53" t="s">
        <v>40</v>
      </c>
      <c r="E358" s="53" t="s">
        <v>25</v>
      </c>
      <c r="F358" s="53" t="s">
        <v>25</v>
      </c>
      <c r="G358" s="53" t="s">
        <v>25</v>
      </c>
      <c r="H358" s="53" t="s">
        <v>42</v>
      </c>
      <c r="I358" s="73">
        <v>44378</v>
      </c>
      <c r="J358" s="74">
        <f>EFEITO!$J$358*EFEITO!$Y$358</f>
        <v>0</v>
      </c>
      <c r="K358" s="74">
        <f ca="1">EFEITO!$L$358*EFEITO!$Z$358</f>
        <v>24.824690610184689</v>
      </c>
      <c r="L358" s="74">
        <f>EFEITO!$N$358*EFEITO!$AA$358</f>
        <v>4.9609629473427672</v>
      </c>
      <c r="M358" s="74">
        <f>$J$358-EFEITO!$K$358*EFEITO!$Y$358</f>
        <v>0</v>
      </c>
      <c r="N358" s="74">
        <f ca="1">$K$358-EFEITO!$M$358*EFEITO!$Z$358</f>
        <v>0</v>
      </c>
      <c r="O358" s="74">
        <f>$L$358-EFEITO!$O$358*EFEITO!$AA$358</f>
        <v>0</v>
      </c>
      <c r="P358" s="57"/>
      <c r="Q358" s="57"/>
      <c r="R358" s="57"/>
      <c r="S358" s="57"/>
      <c r="T358" s="57"/>
      <c r="U358" s="57"/>
      <c r="V358" s="57"/>
      <c r="W358" s="57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1.25" customHeight="1" x14ac:dyDescent="0.2">
      <c r="A359" s="53" t="s">
        <v>21</v>
      </c>
      <c r="B359" s="53" t="s">
        <v>35</v>
      </c>
      <c r="C359" s="53" t="s">
        <v>33</v>
      </c>
      <c r="D359" s="53" t="s">
        <v>40</v>
      </c>
      <c r="E359" s="53" t="s">
        <v>25</v>
      </c>
      <c r="F359" s="53" t="s">
        <v>25</v>
      </c>
      <c r="G359" s="53" t="s">
        <v>25</v>
      </c>
      <c r="H359" s="53" t="s">
        <v>42</v>
      </c>
      <c r="I359" s="73">
        <v>44409</v>
      </c>
      <c r="J359" s="74">
        <f>EFEITO!$J$359*EFEITO!$Y$359</f>
        <v>0</v>
      </c>
      <c r="K359" s="74">
        <f ca="1">EFEITO!$L$359*EFEITO!$Z$359</f>
        <v>33.099587480246257</v>
      </c>
      <c r="L359" s="74">
        <f>EFEITO!$N$359*EFEITO!$AA$359</f>
        <v>6.6146172631236908</v>
      </c>
      <c r="M359" s="74">
        <f>$J$359-EFEITO!$K$359*EFEITO!$Y$359</f>
        <v>0</v>
      </c>
      <c r="N359" s="74">
        <f ca="1">$K$359-EFEITO!$M$359*EFEITO!$Z$359</f>
        <v>0</v>
      </c>
      <c r="O359" s="74">
        <f>$L$359-EFEITO!$O$359*EFEITO!$AA$359</f>
        <v>0</v>
      </c>
      <c r="P359" s="57"/>
      <c r="Q359" s="57"/>
      <c r="R359" s="57"/>
      <c r="S359" s="57"/>
      <c r="T359" s="57"/>
      <c r="U359" s="57"/>
      <c r="V359" s="57"/>
      <c r="W359" s="57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1.25" customHeight="1" x14ac:dyDescent="0.2">
      <c r="A360" s="53" t="s">
        <v>21</v>
      </c>
      <c r="B360" s="53" t="s">
        <v>35</v>
      </c>
      <c r="C360" s="53" t="s">
        <v>33</v>
      </c>
      <c r="D360" s="53" t="s">
        <v>40</v>
      </c>
      <c r="E360" s="53" t="s">
        <v>25</v>
      </c>
      <c r="F360" s="53" t="s">
        <v>25</v>
      </c>
      <c r="G360" s="53" t="s">
        <v>25</v>
      </c>
      <c r="H360" s="53" t="s">
        <v>42</v>
      </c>
      <c r="I360" s="73">
        <v>44440</v>
      </c>
      <c r="J360" s="74">
        <f>EFEITO!$J$360*EFEITO!$Y$360</f>
        <v>0</v>
      </c>
      <c r="K360" s="74">
        <f ca="1">EFEITO!$L$360*EFEITO!$Z$360</f>
        <v>31.444608106233943</v>
      </c>
      <c r="L360" s="74">
        <f>EFEITO!$N$360*EFEITO!$AA$360</f>
        <v>6.2838863999675052</v>
      </c>
      <c r="M360" s="74">
        <f>$J$360-EFEITO!$K$360*EFEITO!$Y$360</f>
        <v>0</v>
      </c>
      <c r="N360" s="74">
        <f ca="1">$K$360-EFEITO!$M$360*EFEITO!$Z$360</f>
        <v>0</v>
      </c>
      <c r="O360" s="74">
        <f>$L$360-EFEITO!$O$360*EFEITO!$AA$360</f>
        <v>0</v>
      </c>
      <c r="P360" s="57"/>
      <c r="Q360" s="57"/>
      <c r="R360" s="57"/>
      <c r="S360" s="57"/>
      <c r="T360" s="57"/>
      <c r="U360" s="57"/>
      <c r="V360" s="57"/>
      <c r="W360" s="57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1.25" customHeight="1" x14ac:dyDescent="0.2">
      <c r="A361" s="53" t="s">
        <v>21</v>
      </c>
      <c r="B361" s="53" t="s">
        <v>35</v>
      </c>
      <c r="C361" s="53" t="s">
        <v>33</v>
      </c>
      <c r="D361" s="53" t="s">
        <v>40</v>
      </c>
      <c r="E361" s="53" t="s">
        <v>25</v>
      </c>
      <c r="F361" s="53" t="s">
        <v>25</v>
      </c>
      <c r="G361" s="53" t="s">
        <v>25</v>
      </c>
      <c r="H361" s="53" t="s">
        <v>42</v>
      </c>
      <c r="I361" s="73">
        <v>44470</v>
      </c>
      <c r="J361" s="74">
        <f>EFEITO!$J$361*EFEITO!$Y$361</f>
        <v>0</v>
      </c>
      <c r="K361" s="74">
        <f ca="1">EFEITO!$L$361*EFEITO!$Z$361</f>
        <v>28.13464935820932</v>
      </c>
      <c r="L361" s="74">
        <f>EFEITO!$N$361*EFEITO!$AA$361</f>
        <v>5.6224246736551375</v>
      </c>
      <c r="M361" s="74">
        <f>$J$361-EFEITO!$K$361*EFEITO!$Y$361</f>
        <v>0</v>
      </c>
      <c r="N361" s="74">
        <f ca="1">$K$361-EFEITO!$M$361*EFEITO!$Z$361</f>
        <v>0</v>
      </c>
      <c r="O361" s="74">
        <f>$L$361-EFEITO!$O$361*EFEITO!$AA$361</f>
        <v>0</v>
      </c>
      <c r="P361" s="57"/>
      <c r="Q361" s="57"/>
      <c r="R361" s="57"/>
      <c r="S361" s="57"/>
      <c r="T361" s="57"/>
      <c r="U361" s="57"/>
      <c r="V361" s="57"/>
      <c r="W361" s="57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1.25" customHeight="1" x14ac:dyDescent="0.2">
      <c r="A362" s="53" t="s">
        <v>21</v>
      </c>
      <c r="B362" s="53" t="s">
        <v>35</v>
      </c>
      <c r="C362" s="53" t="s">
        <v>33</v>
      </c>
      <c r="D362" s="53" t="s">
        <v>40</v>
      </c>
      <c r="E362" s="53" t="s">
        <v>25</v>
      </c>
      <c r="F362" s="53" t="s">
        <v>25</v>
      </c>
      <c r="G362" s="53" t="s">
        <v>25</v>
      </c>
      <c r="H362" s="53" t="s">
        <v>42</v>
      </c>
      <c r="I362" s="73">
        <v>44501</v>
      </c>
      <c r="J362" s="74">
        <f>EFEITO!$J$362*EFEITO!$Y$362</f>
        <v>0</v>
      </c>
      <c r="K362" s="74">
        <f ca="1">EFEITO!$L$362*EFEITO!$Z$362</f>
        <v>26.479669984197006</v>
      </c>
      <c r="L362" s="74">
        <f>EFEITO!$N$362*EFEITO!$AA$362</f>
        <v>5.2916938104989519</v>
      </c>
      <c r="M362" s="74">
        <f>$J$362-EFEITO!$K$362*EFEITO!$Y$362</f>
        <v>0</v>
      </c>
      <c r="N362" s="74">
        <f ca="1">$K$362-EFEITO!$M$362*EFEITO!$Z$362</f>
        <v>0</v>
      </c>
      <c r="O362" s="74">
        <f>$L$362-EFEITO!$O$362*EFEITO!$AA$362</f>
        <v>0</v>
      </c>
      <c r="P362" s="57"/>
      <c r="Q362" s="57"/>
      <c r="R362" s="57"/>
      <c r="S362" s="57"/>
      <c r="T362" s="57"/>
      <c r="U362" s="57"/>
      <c r="V362" s="57"/>
      <c r="W362" s="57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1.25" customHeight="1" x14ac:dyDescent="0.2">
      <c r="A363" s="53" t="s">
        <v>21</v>
      </c>
      <c r="B363" s="53" t="s">
        <v>35</v>
      </c>
      <c r="C363" s="53" t="s">
        <v>33</v>
      </c>
      <c r="D363" s="53" t="s">
        <v>40</v>
      </c>
      <c r="E363" s="53" t="s">
        <v>25</v>
      </c>
      <c r="F363" s="53" t="s">
        <v>25</v>
      </c>
      <c r="G363" s="53" t="s">
        <v>25</v>
      </c>
      <c r="H363" s="53" t="s">
        <v>42</v>
      </c>
      <c r="I363" s="73">
        <v>44531</v>
      </c>
      <c r="J363" s="74">
        <f>EFEITO!$J$363*EFEITO!$Y$363</f>
        <v>0</v>
      </c>
      <c r="K363" s="74">
        <f ca="1">EFEITO!$L$363*EFEITO!$Z$363</f>
        <v>29.789628732221626</v>
      </c>
      <c r="L363" s="74">
        <f>EFEITO!$N$363*EFEITO!$AA$363</f>
        <v>5.9531555368113205</v>
      </c>
      <c r="M363" s="74">
        <f>$J$363-EFEITO!$K$363*EFEITO!$Y$363</f>
        <v>0</v>
      </c>
      <c r="N363" s="74">
        <f ca="1">$K$363-EFEITO!$M$363*EFEITO!$Z$363</f>
        <v>0</v>
      </c>
      <c r="O363" s="74">
        <f>$L$363-EFEITO!$O$363*EFEITO!$AA$363</f>
        <v>0</v>
      </c>
      <c r="P363" s="57"/>
      <c r="Q363" s="57"/>
      <c r="R363" s="57"/>
      <c r="S363" s="57"/>
      <c r="T363" s="57"/>
      <c r="U363" s="57"/>
      <c r="V363" s="57"/>
      <c r="W363" s="57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1.25" customHeight="1" x14ac:dyDescent="0.2">
      <c r="A364" s="53" t="s">
        <v>21</v>
      </c>
      <c r="B364" s="53" t="s">
        <v>35</v>
      </c>
      <c r="C364" s="53" t="s">
        <v>33</v>
      </c>
      <c r="D364" s="53" t="s">
        <v>40</v>
      </c>
      <c r="E364" s="53" t="s">
        <v>25</v>
      </c>
      <c r="F364" s="53" t="s">
        <v>25</v>
      </c>
      <c r="G364" s="53" t="s">
        <v>25</v>
      </c>
      <c r="H364" s="53" t="s">
        <v>42</v>
      </c>
      <c r="I364" s="73">
        <v>44562</v>
      </c>
      <c r="J364" s="74">
        <f>EFEITO!$J$364*EFEITO!$Y$364</f>
        <v>0</v>
      </c>
      <c r="K364" s="74">
        <f ca="1">EFEITO!$L$364*EFEITO!$Z$364</f>
        <v>41.374484350307824</v>
      </c>
      <c r="L364" s="74">
        <f>EFEITO!$N$364*EFEITO!$AA$364</f>
        <v>8.2682715789046135</v>
      </c>
      <c r="M364" s="74">
        <f>$J$364-EFEITO!$K$364*EFEITO!$Y$364</f>
        <v>0</v>
      </c>
      <c r="N364" s="74">
        <f ca="1">$K$364-EFEITO!$M$364*EFEITO!$Z$364</f>
        <v>0</v>
      </c>
      <c r="O364" s="74">
        <f>$L$364-EFEITO!$O$364*EFEITO!$AA$364</f>
        <v>0</v>
      </c>
      <c r="P364" s="57"/>
      <c r="Q364" s="57"/>
      <c r="R364" s="57"/>
      <c r="S364" s="57"/>
      <c r="T364" s="57"/>
      <c r="U364" s="57"/>
      <c r="V364" s="57"/>
      <c r="W364" s="57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1.25" customHeight="1" x14ac:dyDescent="0.2">
      <c r="A365" s="53" t="s">
        <v>21</v>
      </c>
      <c r="B365" s="53" t="s">
        <v>35</v>
      </c>
      <c r="C365" s="53" t="s">
        <v>33</v>
      </c>
      <c r="D365" s="53" t="s">
        <v>40</v>
      </c>
      <c r="E365" s="53" t="s">
        <v>25</v>
      </c>
      <c r="F365" s="53" t="s">
        <v>25</v>
      </c>
      <c r="G365" s="53" t="s">
        <v>25</v>
      </c>
      <c r="H365" s="53" t="s">
        <v>42</v>
      </c>
      <c r="I365" s="73">
        <v>44593</v>
      </c>
      <c r="J365" s="74">
        <f>EFEITO!$J$365*EFEITO!$Y$365</f>
        <v>0</v>
      </c>
      <c r="K365" s="74">
        <f ca="1">EFEITO!$L$365*EFEITO!$Z$365</f>
        <v>33.099587480246257</v>
      </c>
      <c r="L365" s="74">
        <f>EFEITO!$N$365*EFEITO!$AA$365</f>
        <v>6.6146172631236908</v>
      </c>
      <c r="M365" s="74">
        <f>$J$365-EFEITO!$K$365*EFEITO!$Y$365</f>
        <v>0</v>
      </c>
      <c r="N365" s="74">
        <f ca="1">$K$365-EFEITO!$M$365*EFEITO!$Z$365</f>
        <v>0</v>
      </c>
      <c r="O365" s="74">
        <f>$L$365-EFEITO!$O$365*EFEITO!$AA$365</f>
        <v>0</v>
      </c>
      <c r="P365" s="57"/>
      <c r="Q365" s="57"/>
      <c r="R365" s="57"/>
      <c r="S365" s="57"/>
      <c r="T365" s="57"/>
      <c r="U365" s="57"/>
      <c r="V365" s="57"/>
      <c r="W365" s="57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1.25" customHeight="1" x14ac:dyDescent="0.2">
      <c r="A366" s="53" t="s">
        <v>21</v>
      </c>
      <c r="B366" s="53" t="s">
        <v>35</v>
      </c>
      <c r="C366" s="53" t="s">
        <v>33</v>
      </c>
      <c r="D366" s="53" t="s">
        <v>40</v>
      </c>
      <c r="E366" s="53" t="s">
        <v>25</v>
      </c>
      <c r="F366" s="53" t="s">
        <v>25</v>
      </c>
      <c r="G366" s="53" t="s">
        <v>25</v>
      </c>
      <c r="H366" s="53" t="s">
        <v>42</v>
      </c>
      <c r="I366" s="73">
        <v>44621</v>
      </c>
      <c r="J366" s="74">
        <f>EFEITO!$J$366*EFEITO!$Y$366</f>
        <v>0</v>
      </c>
      <c r="K366" s="74">
        <f ca="1">EFEITO!$L$366*EFEITO!$Z$366</f>
        <v>31.444608106233943</v>
      </c>
      <c r="L366" s="74">
        <f>EFEITO!$N$366*EFEITO!$AA$366</f>
        <v>6.2838863999675052</v>
      </c>
      <c r="M366" s="74">
        <f>$J$366-EFEITO!$K$366*EFEITO!$Y$366</f>
        <v>0</v>
      </c>
      <c r="N366" s="74">
        <f ca="1">$K$366-EFEITO!$M$366*EFEITO!$Z$366</f>
        <v>0</v>
      </c>
      <c r="O366" s="74">
        <f>$L$366-EFEITO!$O$366*EFEITO!$AA$366</f>
        <v>0</v>
      </c>
      <c r="P366" s="57"/>
      <c r="Q366" s="57"/>
      <c r="R366" s="57"/>
      <c r="S366" s="57"/>
      <c r="T366" s="57"/>
      <c r="U366" s="57"/>
      <c r="V366" s="57"/>
      <c r="W366" s="57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1.25" customHeight="1" x14ac:dyDescent="0.2">
      <c r="A367" s="53" t="s">
        <v>21</v>
      </c>
      <c r="B367" s="53" t="s">
        <v>35</v>
      </c>
      <c r="C367" s="53" t="s">
        <v>33</v>
      </c>
      <c r="D367" s="53" t="s">
        <v>40</v>
      </c>
      <c r="E367" s="53" t="s">
        <v>25</v>
      </c>
      <c r="F367" s="53" t="s">
        <v>25</v>
      </c>
      <c r="G367" s="53" t="s">
        <v>25</v>
      </c>
      <c r="H367" s="53" t="s">
        <v>39</v>
      </c>
      <c r="I367" s="73">
        <v>44287</v>
      </c>
      <c r="J367" s="74">
        <f>EFEITO!$J$367*EFEITO!$Y$367</f>
        <v>0</v>
      </c>
      <c r="K367" s="74">
        <f ca="1">EFEITO!$L$367*EFEITO!$Z$367</f>
        <v>58.170040538001402</v>
      </c>
      <c r="L367" s="74">
        <f>EFEITO!$N$367*EFEITO!$AA$367</f>
        <v>7.2760789894360585</v>
      </c>
      <c r="M367" s="74">
        <f>$J$367-EFEITO!$K$367*EFEITO!$Y$367</f>
        <v>0</v>
      </c>
      <c r="N367" s="74">
        <f ca="1">$K$367-EFEITO!$M$367*EFEITO!$Z$367</f>
        <v>0</v>
      </c>
      <c r="O367" s="74">
        <f>$L$367-EFEITO!$O$367*EFEITO!$AA$367</f>
        <v>0</v>
      </c>
      <c r="P367" s="57"/>
      <c r="Q367" s="57"/>
      <c r="R367" s="57"/>
      <c r="S367" s="57"/>
      <c r="T367" s="57"/>
      <c r="U367" s="57"/>
      <c r="V367" s="57"/>
      <c r="W367" s="57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1.25" customHeight="1" x14ac:dyDescent="0.2">
      <c r="A368" s="53" t="s">
        <v>21</v>
      </c>
      <c r="B368" s="53" t="s">
        <v>35</v>
      </c>
      <c r="C368" s="53" t="s">
        <v>33</v>
      </c>
      <c r="D368" s="53" t="s">
        <v>40</v>
      </c>
      <c r="E368" s="53" t="s">
        <v>25</v>
      </c>
      <c r="F368" s="53" t="s">
        <v>25</v>
      </c>
      <c r="G368" s="53" t="s">
        <v>25</v>
      </c>
      <c r="H368" s="53" t="s">
        <v>39</v>
      </c>
      <c r="I368" s="73">
        <v>44317</v>
      </c>
      <c r="J368" s="74">
        <f>EFEITO!$J$368*EFEITO!$Y$368</f>
        <v>0</v>
      </c>
      <c r="K368" s="74">
        <f ca="1">EFEITO!$L$368*EFEITO!$Z$368</f>
        <v>71.390504296638085</v>
      </c>
      <c r="L368" s="74">
        <f>EFEITO!$N$368*EFEITO!$AA$368</f>
        <v>8.9297333052169812</v>
      </c>
      <c r="M368" s="74">
        <f>$J$368-EFEITO!$K$368*EFEITO!$Y$368</f>
        <v>0</v>
      </c>
      <c r="N368" s="74">
        <f ca="1">$K$368-EFEITO!$M$368*EFEITO!$Z$368</f>
        <v>0</v>
      </c>
      <c r="O368" s="74">
        <f>$L$368-EFEITO!$O$368*EFEITO!$AA$368</f>
        <v>0</v>
      </c>
      <c r="P368" s="57"/>
      <c r="Q368" s="57"/>
      <c r="R368" s="57"/>
      <c r="S368" s="57"/>
      <c r="T368" s="57"/>
      <c r="U368" s="57"/>
      <c r="V368" s="57"/>
      <c r="W368" s="57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1.25" customHeight="1" x14ac:dyDescent="0.2">
      <c r="A369" s="53" t="s">
        <v>21</v>
      </c>
      <c r="B369" s="53" t="s">
        <v>35</v>
      </c>
      <c r="C369" s="53" t="s">
        <v>33</v>
      </c>
      <c r="D369" s="53" t="s">
        <v>40</v>
      </c>
      <c r="E369" s="53" t="s">
        <v>25</v>
      </c>
      <c r="F369" s="53" t="s">
        <v>25</v>
      </c>
      <c r="G369" s="53" t="s">
        <v>25</v>
      </c>
      <c r="H369" s="53" t="s">
        <v>39</v>
      </c>
      <c r="I369" s="73">
        <v>44348</v>
      </c>
      <c r="J369" s="74">
        <f>EFEITO!$J$369*EFEITO!$Y$369</f>
        <v>0</v>
      </c>
      <c r="K369" s="74">
        <f ca="1">EFEITO!$L$369*EFEITO!$Z$369</f>
        <v>142.78100859327617</v>
      </c>
      <c r="L369" s="74">
        <f>EFEITO!$N$369*EFEITO!$AA$369</f>
        <v>17.859466610433962</v>
      </c>
      <c r="M369" s="74">
        <f>$J$369-EFEITO!$K$369*EFEITO!$Y$369</f>
        <v>0</v>
      </c>
      <c r="N369" s="74">
        <f ca="1">$K$369-EFEITO!$M$369*EFEITO!$Z$369</f>
        <v>0</v>
      </c>
      <c r="O369" s="74">
        <f>$L$369-EFEITO!$O$369*EFEITO!$AA$369</f>
        <v>0</v>
      </c>
      <c r="P369" s="57"/>
      <c r="Q369" s="57"/>
      <c r="R369" s="57"/>
      <c r="S369" s="57"/>
      <c r="T369" s="57"/>
      <c r="U369" s="57"/>
      <c r="V369" s="57"/>
      <c r="W369" s="57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1.25" customHeight="1" x14ac:dyDescent="0.2">
      <c r="A370" s="53" t="s">
        <v>21</v>
      </c>
      <c r="B370" s="53" t="s">
        <v>35</v>
      </c>
      <c r="C370" s="53" t="s">
        <v>33</v>
      </c>
      <c r="D370" s="53" t="s">
        <v>40</v>
      </c>
      <c r="E370" s="53" t="s">
        <v>25</v>
      </c>
      <c r="F370" s="53" t="s">
        <v>25</v>
      </c>
      <c r="G370" s="53" t="s">
        <v>25</v>
      </c>
      <c r="H370" s="53" t="s">
        <v>39</v>
      </c>
      <c r="I370" s="73">
        <v>44378</v>
      </c>
      <c r="J370" s="74">
        <f>EFEITO!$J$370*EFEITO!$Y$370</f>
        <v>0</v>
      </c>
      <c r="K370" s="74">
        <f ca="1">EFEITO!$L$370*EFEITO!$Z$370</f>
        <v>52.881855034546732</v>
      </c>
      <c r="L370" s="74">
        <f>EFEITO!$N$370*EFEITO!$AA$370</f>
        <v>6.6146172631236908</v>
      </c>
      <c r="M370" s="74">
        <f>$J$370-EFEITO!$K$370*EFEITO!$Y$370</f>
        <v>0</v>
      </c>
      <c r="N370" s="74">
        <f ca="1">$K$370-EFEITO!$M$370*EFEITO!$Z$370</f>
        <v>0</v>
      </c>
      <c r="O370" s="74">
        <f>$L$370-EFEITO!$O$370*EFEITO!$AA$370</f>
        <v>0</v>
      </c>
      <c r="P370" s="57"/>
      <c r="Q370" s="57"/>
      <c r="R370" s="57"/>
      <c r="S370" s="57"/>
      <c r="T370" s="57"/>
      <c r="U370" s="57"/>
      <c r="V370" s="57"/>
      <c r="W370" s="57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1.25" customHeight="1" x14ac:dyDescent="0.2">
      <c r="A371" s="53" t="s">
        <v>21</v>
      </c>
      <c r="B371" s="53" t="s">
        <v>35</v>
      </c>
      <c r="C371" s="53" t="s">
        <v>33</v>
      </c>
      <c r="D371" s="53" t="s">
        <v>40</v>
      </c>
      <c r="E371" s="53" t="s">
        <v>25</v>
      </c>
      <c r="F371" s="53" t="s">
        <v>25</v>
      </c>
      <c r="G371" s="53" t="s">
        <v>25</v>
      </c>
      <c r="H371" s="53" t="s">
        <v>39</v>
      </c>
      <c r="I371" s="73">
        <v>44409</v>
      </c>
      <c r="J371" s="74">
        <f>EFEITO!$J$371*EFEITO!$Y$371</f>
        <v>0</v>
      </c>
      <c r="K371" s="74">
        <f ca="1">EFEITO!$L$371*EFEITO!$Z$371</f>
        <v>89.899153558729452</v>
      </c>
      <c r="L371" s="74">
        <f>EFEITO!$N$371*EFEITO!$AA$371</f>
        <v>11.244849347310275</v>
      </c>
      <c r="M371" s="74">
        <f>$J$371-EFEITO!$K$371*EFEITO!$Y$371</f>
        <v>0</v>
      </c>
      <c r="N371" s="74">
        <f ca="1">$K$371-EFEITO!$M$371*EFEITO!$Z$371</f>
        <v>0</v>
      </c>
      <c r="O371" s="74">
        <f>$L$371-EFEITO!$O$371*EFEITO!$AA$371</f>
        <v>0</v>
      </c>
      <c r="P371" s="57"/>
      <c r="Q371" s="57"/>
      <c r="R371" s="57"/>
      <c r="S371" s="57"/>
      <c r="T371" s="57"/>
      <c r="U371" s="57"/>
      <c r="V371" s="57"/>
      <c r="W371" s="57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1.25" customHeight="1" x14ac:dyDescent="0.2">
      <c r="A372" s="53" t="s">
        <v>21</v>
      </c>
      <c r="B372" s="53" t="s">
        <v>35</v>
      </c>
      <c r="C372" s="53" t="s">
        <v>33</v>
      </c>
      <c r="D372" s="53" t="s">
        <v>40</v>
      </c>
      <c r="E372" s="53" t="s">
        <v>25</v>
      </c>
      <c r="F372" s="53" t="s">
        <v>25</v>
      </c>
      <c r="G372" s="53" t="s">
        <v>25</v>
      </c>
      <c r="H372" s="53" t="s">
        <v>39</v>
      </c>
      <c r="I372" s="73">
        <v>44440</v>
      </c>
      <c r="J372" s="74">
        <f>EFEITO!$J$372*EFEITO!$Y$372</f>
        <v>0</v>
      </c>
      <c r="K372" s="74">
        <f ca="1">EFEITO!$L$372*EFEITO!$Z$372</f>
        <v>97.83143181391145</v>
      </c>
      <c r="L372" s="74">
        <f>EFEITO!$N$372*EFEITO!$AA$372</f>
        <v>12.237041936778827</v>
      </c>
      <c r="M372" s="74">
        <f>$J$372-EFEITO!$K$372*EFEITO!$Y$372</f>
        <v>0</v>
      </c>
      <c r="N372" s="74">
        <f ca="1">$K$372-EFEITO!$M$372*EFEITO!$Z$372</f>
        <v>0</v>
      </c>
      <c r="O372" s="74">
        <f>$L$372-EFEITO!$O$372*EFEITO!$AA$372</f>
        <v>0</v>
      </c>
      <c r="P372" s="57"/>
      <c r="Q372" s="57"/>
      <c r="R372" s="57"/>
      <c r="S372" s="57"/>
      <c r="T372" s="57"/>
      <c r="U372" s="57"/>
      <c r="V372" s="57"/>
      <c r="W372" s="57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1.25" customHeight="1" x14ac:dyDescent="0.2">
      <c r="A373" s="53" t="s">
        <v>21</v>
      </c>
      <c r="B373" s="53" t="s">
        <v>35</v>
      </c>
      <c r="C373" s="53" t="s">
        <v>33</v>
      </c>
      <c r="D373" s="53" t="s">
        <v>40</v>
      </c>
      <c r="E373" s="53" t="s">
        <v>25</v>
      </c>
      <c r="F373" s="53" t="s">
        <v>25</v>
      </c>
      <c r="G373" s="53" t="s">
        <v>25</v>
      </c>
      <c r="H373" s="53" t="s">
        <v>39</v>
      </c>
      <c r="I373" s="73">
        <v>44470</v>
      </c>
      <c r="J373" s="74">
        <f>EFEITO!$J$373*EFEITO!$Y$373</f>
        <v>0</v>
      </c>
      <c r="K373" s="74">
        <f ca="1">EFEITO!$L$373*EFEITO!$Z$373</f>
        <v>81.96687530354744</v>
      </c>
      <c r="L373" s="74">
        <f>EFEITO!$N$373*EFEITO!$AA$373</f>
        <v>10.25265675784172</v>
      </c>
      <c r="M373" s="74">
        <f>$J$373-EFEITO!$K$373*EFEITO!$Y$373</f>
        <v>0</v>
      </c>
      <c r="N373" s="74">
        <f ca="1">$K$373-EFEITO!$M$373*EFEITO!$Z$373</f>
        <v>0</v>
      </c>
      <c r="O373" s="74">
        <f>$L$373-EFEITO!$O$373*EFEITO!$AA$373</f>
        <v>0</v>
      </c>
      <c r="P373" s="57"/>
      <c r="Q373" s="57"/>
      <c r="R373" s="57"/>
      <c r="S373" s="57"/>
      <c r="T373" s="57"/>
      <c r="U373" s="57"/>
      <c r="V373" s="57"/>
      <c r="W373" s="57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1.25" customHeight="1" x14ac:dyDescent="0.2">
      <c r="A374" s="53" t="s">
        <v>21</v>
      </c>
      <c r="B374" s="53" t="s">
        <v>35</v>
      </c>
      <c r="C374" s="53" t="s">
        <v>33</v>
      </c>
      <c r="D374" s="53" t="s">
        <v>40</v>
      </c>
      <c r="E374" s="53" t="s">
        <v>25</v>
      </c>
      <c r="F374" s="53" t="s">
        <v>25</v>
      </c>
      <c r="G374" s="53" t="s">
        <v>25</v>
      </c>
      <c r="H374" s="53" t="s">
        <v>39</v>
      </c>
      <c r="I374" s="73">
        <v>44501</v>
      </c>
      <c r="J374" s="74">
        <f>EFEITO!$J$374*EFEITO!$Y$374</f>
        <v>0</v>
      </c>
      <c r="K374" s="74">
        <f ca="1">EFEITO!$L$374*EFEITO!$Z$374</f>
        <v>71.390504296638085</v>
      </c>
      <c r="L374" s="74">
        <f>EFEITO!$N$374*EFEITO!$AA$374</f>
        <v>8.9297333052169812</v>
      </c>
      <c r="M374" s="74">
        <f>$J$374-EFEITO!$K$374*EFEITO!$Y$374</f>
        <v>0</v>
      </c>
      <c r="N374" s="74">
        <f ca="1">$K$374-EFEITO!$M$374*EFEITO!$Z$374</f>
        <v>0</v>
      </c>
      <c r="O374" s="74">
        <f>$L$374-EFEITO!$O$374*EFEITO!$AA$374</f>
        <v>0</v>
      </c>
      <c r="P374" s="57"/>
      <c r="Q374" s="57"/>
      <c r="R374" s="57"/>
      <c r="S374" s="57"/>
      <c r="T374" s="57"/>
      <c r="U374" s="57"/>
      <c r="V374" s="57"/>
      <c r="W374" s="57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1.25" customHeight="1" x14ac:dyDescent="0.2">
      <c r="A375" s="53" t="s">
        <v>21</v>
      </c>
      <c r="B375" s="53" t="s">
        <v>35</v>
      </c>
      <c r="C375" s="53" t="s">
        <v>33</v>
      </c>
      <c r="D375" s="53" t="s">
        <v>40</v>
      </c>
      <c r="E375" s="53" t="s">
        <v>25</v>
      </c>
      <c r="F375" s="53" t="s">
        <v>25</v>
      </c>
      <c r="G375" s="53" t="s">
        <v>25</v>
      </c>
      <c r="H375" s="53" t="s">
        <v>39</v>
      </c>
      <c r="I375" s="73">
        <v>44531</v>
      </c>
      <c r="J375" s="74">
        <f>EFEITO!$J$375*EFEITO!$Y$375</f>
        <v>0</v>
      </c>
      <c r="K375" s="74">
        <f ca="1">EFEITO!$L$375*EFEITO!$Z$375</f>
        <v>87.25506080700211</v>
      </c>
      <c r="L375" s="74">
        <f>EFEITO!$N$375*EFEITO!$AA$375</f>
        <v>10.914118484154089</v>
      </c>
      <c r="M375" s="74">
        <f>$J$375-EFEITO!$K$375*EFEITO!$Y$375</f>
        <v>0</v>
      </c>
      <c r="N375" s="74">
        <f ca="1">$K$375-EFEITO!$M$375*EFEITO!$Z$375</f>
        <v>0</v>
      </c>
      <c r="O375" s="74">
        <f>$L$375-EFEITO!$O$375*EFEITO!$AA$375</f>
        <v>0</v>
      </c>
      <c r="P375" s="57"/>
      <c r="Q375" s="57"/>
      <c r="R375" s="57"/>
      <c r="S375" s="57"/>
      <c r="T375" s="57"/>
      <c r="U375" s="57"/>
      <c r="V375" s="57"/>
      <c r="W375" s="57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1.25" customHeight="1" x14ac:dyDescent="0.2">
      <c r="A376" s="53" t="s">
        <v>21</v>
      </c>
      <c r="B376" s="53" t="s">
        <v>35</v>
      </c>
      <c r="C376" s="53" t="s">
        <v>33</v>
      </c>
      <c r="D376" s="53" t="s">
        <v>40</v>
      </c>
      <c r="E376" s="53" t="s">
        <v>25</v>
      </c>
      <c r="F376" s="53" t="s">
        <v>25</v>
      </c>
      <c r="G376" s="53" t="s">
        <v>25</v>
      </c>
      <c r="H376" s="53" t="s">
        <v>39</v>
      </c>
      <c r="I376" s="73">
        <v>44562</v>
      </c>
      <c r="J376" s="74">
        <f>EFEITO!$J$376*EFEITO!$Y$376</f>
        <v>0</v>
      </c>
      <c r="K376" s="74">
        <f ca="1">EFEITO!$L$376*EFEITO!$Z$376</f>
        <v>118.98417382773015</v>
      </c>
      <c r="L376" s="74">
        <f>EFEITO!$N$376*EFEITO!$AA$376</f>
        <v>14.882888842028303</v>
      </c>
      <c r="M376" s="74">
        <f>$J$376-EFEITO!$K$376*EFEITO!$Y$376</f>
        <v>0</v>
      </c>
      <c r="N376" s="74">
        <f ca="1">$K$376-EFEITO!$M$376*EFEITO!$Z$376</f>
        <v>0</v>
      </c>
      <c r="O376" s="74">
        <f>$L$376-EFEITO!$O$376*EFEITO!$AA$376</f>
        <v>0</v>
      </c>
      <c r="P376" s="57"/>
      <c r="Q376" s="57"/>
      <c r="R376" s="57"/>
      <c r="S376" s="57"/>
      <c r="T376" s="57"/>
      <c r="U376" s="57"/>
      <c r="V376" s="57"/>
      <c r="W376" s="57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1.25" customHeight="1" x14ac:dyDescent="0.2">
      <c r="A377" s="53" t="s">
        <v>21</v>
      </c>
      <c r="B377" s="53" t="s">
        <v>35</v>
      </c>
      <c r="C377" s="53" t="s">
        <v>33</v>
      </c>
      <c r="D377" s="53" t="s">
        <v>40</v>
      </c>
      <c r="E377" s="53" t="s">
        <v>25</v>
      </c>
      <c r="F377" s="53" t="s">
        <v>25</v>
      </c>
      <c r="G377" s="53" t="s">
        <v>25</v>
      </c>
      <c r="H377" s="53" t="s">
        <v>39</v>
      </c>
      <c r="I377" s="73">
        <v>44593</v>
      </c>
      <c r="J377" s="74">
        <f>EFEITO!$J$377*EFEITO!$Y$377</f>
        <v>0</v>
      </c>
      <c r="K377" s="74">
        <f ca="1">EFEITO!$L$377*EFEITO!$Z$377</f>
        <v>79.322782551820097</v>
      </c>
      <c r="L377" s="74">
        <f>EFEITO!$N$377*EFEITO!$AA$377</f>
        <v>9.9219258946855344</v>
      </c>
      <c r="M377" s="74">
        <f>$J$377-EFEITO!$K$377*EFEITO!$Y$377</f>
        <v>0</v>
      </c>
      <c r="N377" s="74">
        <f ca="1">$K$377-EFEITO!$M$377*EFEITO!$Z$377</f>
        <v>0</v>
      </c>
      <c r="O377" s="74">
        <f>$L$377-EFEITO!$O$377*EFEITO!$AA$377</f>
        <v>0</v>
      </c>
      <c r="P377" s="57"/>
      <c r="Q377" s="57"/>
      <c r="R377" s="57"/>
      <c r="S377" s="57"/>
      <c r="T377" s="57"/>
      <c r="U377" s="57"/>
      <c r="V377" s="57"/>
      <c r="W377" s="57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1.25" customHeight="1" x14ac:dyDescent="0.2">
      <c r="A378" s="53" t="s">
        <v>21</v>
      </c>
      <c r="B378" s="53" t="s">
        <v>35</v>
      </c>
      <c r="C378" s="53" t="s">
        <v>33</v>
      </c>
      <c r="D378" s="53" t="s">
        <v>40</v>
      </c>
      <c r="E378" s="53" t="s">
        <v>25</v>
      </c>
      <c r="F378" s="53" t="s">
        <v>25</v>
      </c>
      <c r="G378" s="53" t="s">
        <v>25</v>
      </c>
      <c r="H378" s="53" t="s">
        <v>39</v>
      </c>
      <c r="I378" s="73">
        <v>44621</v>
      </c>
      <c r="J378" s="74">
        <f>EFEITO!$J$378*EFEITO!$Y$378</f>
        <v>0</v>
      </c>
      <c r="K378" s="74">
        <f ca="1">EFEITO!$L$378*EFEITO!$Z$378</f>
        <v>76.678689800092769</v>
      </c>
      <c r="L378" s="74">
        <f>EFEITO!$N$378*EFEITO!$AA$378</f>
        <v>9.5911950315293506</v>
      </c>
      <c r="M378" s="74">
        <f>$J$378-EFEITO!$K$378*EFEITO!$Y$378</f>
        <v>0</v>
      </c>
      <c r="N378" s="74">
        <f ca="1">$K$378-EFEITO!$M$378*EFEITO!$Z$378</f>
        <v>0</v>
      </c>
      <c r="O378" s="74">
        <f>$L$378-EFEITO!$O$378*EFEITO!$AA$378</f>
        <v>0</v>
      </c>
      <c r="P378" s="57"/>
      <c r="Q378" s="57"/>
      <c r="R378" s="57"/>
      <c r="S378" s="57"/>
      <c r="T378" s="57"/>
      <c r="U378" s="57"/>
      <c r="V378" s="57"/>
      <c r="W378" s="57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1.25" customHeight="1" x14ac:dyDescent="0.2">
      <c r="A379" s="53" t="s">
        <v>21</v>
      </c>
      <c r="B379" s="53" t="s">
        <v>35</v>
      </c>
      <c r="C379" s="53" t="s">
        <v>23</v>
      </c>
      <c r="D379" s="53" t="s">
        <v>40</v>
      </c>
      <c r="E379" s="53" t="s">
        <v>25</v>
      </c>
      <c r="F379" s="53" t="s">
        <v>25</v>
      </c>
      <c r="G379" s="53" t="s">
        <v>25</v>
      </c>
      <c r="H379" s="53" t="s">
        <v>25</v>
      </c>
      <c r="I379" s="73">
        <v>44287</v>
      </c>
      <c r="J379" s="74">
        <f>EFEITO!$J$379*EFEITO!$Y$379</f>
        <v>0</v>
      </c>
      <c r="K379" s="74">
        <f ca="1">EFEITO!$L$379*EFEITO!$Z$379</f>
        <v>111997.74713717244</v>
      </c>
      <c r="L379" s="74">
        <f>EFEITO!$N$379*EFEITO!$AA$379</f>
        <v>37717.870557783906</v>
      </c>
      <c r="M379" s="74">
        <f>$J$379-EFEITO!$K$379*EFEITO!$Y$379</f>
        <v>0</v>
      </c>
      <c r="N379" s="74">
        <f ca="1">$K$379-EFEITO!$M$379*EFEITO!$Z$379</f>
        <v>0</v>
      </c>
      <c r="O379" s="74">
        <f>$L$379-EFEITO!$O$379*EFEITO!$AA$379</f>
        <v>0</v>
      </c>
      <c r="P379" s="57"/>
      <c r="Q379" s="57"/>
      <c r="R379" s="57"/>
      <c r="S379" s="57"/>
      <c r="T379" s="57"/>
      <c r="U379" s="57"/>
      <c r="V379" s="57"/>
      <c r="W379" s="57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1.25" customHeight="1" x14ac:dyDescent="0.2">
      <c r="A380" s="53" t="s">
        <v>28</v>
      </c>
      <c r="B380" s="53" t="s">
        <v>35</v>
      </c>
      <c r="C380" s="53" t="s">
        <v>23</v>
      </c>
      <c r="D380" s="53" t="s">
        <v>40</v>
      </c>
      <c r="E380" s="53" t="s">
        <v>25</v>
      </c>
      <c r="F380" s="53" t="s">
        <v>25</v>
      </c>
      <c r="G380" s="53" t="s">
        <v>25</v>
      </c>
      <c r="H380" s="53" t="s">
        <v>25</v>
      </c>
      <c r="I380" s="73">
        <v>44287</v>
      </c>
      <c r="J380" s="74">
        <f>EFEITO!$J$380*EFEITO!$Y$380</f>
        <v>0</v>
      </c>
      <c r="K380" s="74">
        <f ca="1">EFEITO!$L$380*EFEITO!$Z$380</f>
        <v>540.13153629691033</v>
      </c>
      <c r="L380" s="74">
        <f>EFEITO!$N$380*EFEITO!$AA$380</f>
        <v>181.90197473590149</v>
      </c>
      <c r="M380" s="74">
        <f>$J$380-EFEITO!$K$380*EFEITO!$Y$380</f>
        <v>0</v>
      </c>
      <c r="N380" s="74">
        <f ca="1">$K$380-EFEITO!$M$380*EFEITO!$Z$380</f>
        <v>0</v>
      </c>
      <c r="O380" s="74">
        <f>$L$380-EFEITO!$O$380*EFEITO!$AA$380</f>
        <v>0</v>
      </c>
      <c r="P380" s="57"/>
      <c r="Q380" s="57"/>
      <c r="R380" s="57"/>
      <c r="S380" s="57"/>
      <c r="T380" s="57"/>
      <c r="U380" s="57"/>
      <c r="V380" s="57"/>
      <c r="W380" s="57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1.25" customHeight="1" x14ac:dyDescent="0.2">
      <c r="A381" s="53" t="s">
        <v>21</v>
      </c>
      <c r="B381" s="53" t="s">
        <v>35</v>
      </c>
      <c r="C381" s="53" t="s">
        <v>23</v>
      </c>
      <c r="D381" s="53" t="s">
        <v>40</v>
      </c>
      <c r="E381" s="53" t="s">
        <v>25</v>
      </c>
      <c r="F381" s="53" t="s">
        <v>25</v>
      </c>
      <c r="G381" s="53" t="s">
        <v>25</v>
      </c>
      <c r="H381" s="53" t="s">
        <v>25</v>
      </c>
      <c r="I381" s="73">
        <v>44317</v>
      </c>
      <c r="J381" s="74">
        <f>EFEITO!$J$381*EFEITO!$Y$381</f>
        <v>0</v>
      </c>
      <c r="K381" s="74">
        <f ca="1">EFEITO!$L$381*EFEITO!$Z$381</f>
        <v>86860.025437914228</v>
      </c>
      <c r="L381" s="74">
        <f>EFEITO!$N$381*EFEITO!$AA$381</f>
        <v>29252.152653575053</v>
      </c>
      <c r="M381" s="74">
        <f>$J$381-EFEITO!$K$381*EFEITO!$Y$381</f>
        <v>0</v>
      </c>
      <c r="N381" s="74">
        <f ca="1">$K$381-EFEITO!$M$381*EFEITO!$Z$381</f>
        <v>0</v>
      </c>
      <c r="O381" s="74">
        <f>$L$381-EFEITO!$O$381*EFEITO!$AA$381</f>
        <v>0</v>
      </c>
      <c r="P381" s="57"/>
      <c r="Q381" s="57"/>
      <c r="R381" s="57"/>
      <c r="S381" s="57"/>
      <c r="T381" s="57"/>
      <c r="U381" s="57"/>
      <c r="V381" s="57"/>
      <c r="W381" s="57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1.25" customHeight="1" x14ac:dyDescent="0.2">
      <c r="A382" s="53" t="s">
        <v>28</v>
      </c>
      <c r="B382" s="53" t="s">
        <v>35</v>
      </c>
      <c r="C382" s="53" t="s">
        <v>23</v>
      </c>
      <c r="D382" s="53" t="s">
        <v>40</v>
      </c>
      <c r="E382" s="53" t="s">
        <v>25</v>
      </c>
      <c r="F382" s="53" t="s">
        <v>25</v>
      </c>
      <c r="G382" s="53" t="s">
        <v>25</v>
      </c>
      <c r="H382" s="53" t="s">
        <v>25</v>
      </c>
      <c r="I382" s="73">
        <v>44317</v>
      </c>
      <c r="J382" s="74">
        <f>EFEITO!$J$382*EFEITO!$Y$382</f>
        <v>0</v>
      </c>
      <c r="K382" s="74">
        <f ca="1">EFEITO!$L$382*EFEITO!$Z$382</f>
        <v>673.69133436305549</v>
      </c>
      <c r="L382" s="74">
        <f>EFEITO!$N$382*EFEITO!$AA$382</f>
        <v>226.8813721251426</v>
      </c>
      <c r="M382" s="74">
        <f>$J$382-EFEITO!$K$382*EFEITO!$Y$382</f>
        <v>0</v>
      </c>
      <c r="N382" s="74">
        <f ca="1">$K$382-EFEITO!$M$382*EFEITO!$Z$382</f>
        <v>0</v>
      </c>
      <c r="O382" s="74">
        <f>$L$382-EFEITO!$O$382*EFEITO!$AA$382</f>
        <v>0</v>
      </c>
      <c r="P382" s="57"/>
      <c r="Q382" s="57"/>
      <c r="R382" s="57"/>
      <c r="S382" s="57"/>
      <c r="T382" s="57"/>
      <c r="U382" s="57"/>
      <c r="V382" s="57"/>
      <c r="W382" s="57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1.25" customHeight="1" x14ac:dyDescent="0.2">
      <c r="A383" s="53" t="s">
        <v>21</v>
      </c>
      <c r="B383" s="53" t="s">
        <v>35</v>
      </c>
      <c r="C383" s="53" t="s">
        <v>23</v>
      </c>
      <c r="D383" s="53" t="s">
        <v>40</v>
      </c>
      <c r="E383" s="53" t="s">
        <v>25</v>
      </c>
      <c r="F383" s="53" t="s">
        <v>25</v>
      </c>
      <c r="G383" s="53" t="s">
        <v>25</v>
      </c>
      <c r="H383" s="53" t="s">
        <v>25</v>
      </c>
      <c r="I383" s="73">
        <v>44348</v>
      </c>
      <c r="J383" s="74">
        <f>EFEITO!$J$383*EFEITO!$Y$383</f>
        <v>0</v>
      </c>
      <c r="K383" s="74">
        <f ca="1">EFEITO!$L$383*EFEITO!$Z$383</f>
        <v>104206.10421175482</v>
      </c>
      <c r="L383" s="74">
        <f>EFEITO!$N$383*EFEITO!$AA$383</f>
        <v>35093.851889502737</v>
      </c>
      <c r="M383" s="74">
        <f>$J$383-EFEITO!$K$383*EFEITO!$Y$383</f>
        <v>0</v>
      </c>
      <c r="N383" s="74">
        <f ca="1">$K$383-EFEITO!$M$383*EFEITO!$Z$383</f>
        <v>0</v>
      </c>
      <c r="O383" s="74">
        <f>$L$383-EFEITO!$O$383*EFEITO!$AA$383</f>
        <v>0</v>
      </c>
      <c r="P383" s="57"/>
      <c r="Q383" s="57"/>
      <c r="R383" s="57"/>
      <c r="S383" s="57"/>
      <c r="T383" s="57"/>
      <c r="U383" s="57"/>
      <c r="V383" s="57"/>
      <c r="W383" s="57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1.25" customHeight="1" x14ac:dyDescent="0.2">
      <c r="A384" s="53" t="s">
        <v>28</v>
      </c>
      <c r="B384" s="53" t="s">
        <v>35</v>
      </c>
      <c r="C384" s="53" t="s">
        <v>23</v>
      </c>
      <c r="D384" s="53" t="s">
        <v>40</v>
      </c>
      <c r="E384" s="53" t="s">
        <v>25</v>
      </c>
      <c r="F384" s="53" t="s">
        <v>25</v>
      </c>
      <c r="G384" s="53" t="s">
        <v>25</v>
      </c>
      <c r="H384" s="53" t="s">
        <v>25</v>
      </c>
      <c r="I384" s="73">
        <v>44348</v>
      </c>
      <c r="J384" s="74">
        <f>EFEITO!$J$384*EFEITO!$Y$384</f>
        <v>0</v>
      </c>
      <c r="K384" s="74">
        <f ca="1">EFEITO!$L$384*EFEITO!$Z$384</f>
        <v>813.14347646153044</v>
      </c>
      <c r="L384" s="74">
        <f>EFEITO!$N$384*EFEITO!$AA$384</f>
        <v>273.84515469332075</v>
      </c>
      <c r="M384" s="74">
        <f>$J$384-EFEITO!$K$384*EFEITO!$Y$384</f>
        <v>0</v>
      </c>
      <c r="N384" s="74">
        <f ca="1">$K$384-EFEITO!$M$384*EFEITO!$Z$384</f>
        <v>0</v>
      </c>
      <c r="O384" s="74">
        <f>$L$384-EFEITO!$O$384*EFEITO!$AA$384</f>
        <v>0</v>
      </c>
      <c r="P384" s="57"/>
      <c r="Q384" s="57"/>
      <c r="R384" s="57"/>
      <c r="S384" s="57"/>
      <c r="T384" s="57"/>
      <c r="U384" s="57"/>
      <c r="V384" s="57"/>
      <c r="W384" s="57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1.25" customHeight="1" x14ac:dyDescent="0.2">
      <c r="A385" s="53" t="s">
        <v>21</v>
      </c>
      <c r="B385" s="53" t="s">
        <v>35</v>
      </c>
      <c r="C385" s="53" t="s">
        <v>23</v>
      </c>
      <c r="D385" s="53" t="s">
        <v>40</v>
      </c>
      <c r="E385" s="53" t="s">
        <v>25</v>
      </c>
      <c r="F385" s="53" t="s">
        <v>25</v>
      </c>
      <c r="G385" s="53" t="s">
        <v>25</v>
      </c>
      <c r="H385" s="53" t="s">
        <v>25</v>
      </c>
      <c r="I385" s="73">
        <v>44378</v>
      </c>
      <c r="J385" s="74">
        <f>EFEITO!$J$385*EFEITO!$Y$385</f>
        <v>0</v>
      </c>
      <c r="K385" s="74">
        <f ca="1">EFEITO!$L$385*EFEITO!$Z$385</f>
        <v>92972.350314117823</v>
      </c>
      <c r="L385" s="74">
        <f>EFEITO!$N$385*EFEITO!$AA$385</f>
        <v>31310.621545859147</v>
      </c>
      <c r="M385" s="74">
        <f>$J$385-EFEITO!$K$385*EFEITO!$Y$385</f>
        <v>0</v>
      </c>
      <c r="N385" s="74">
        <f ca="1">$K$385-EFEITO!$M$385*EFEITO!$Z$385</f>
        <v>0</v>
      </c>
      <c r="O385" s="74">
        <f>$L$385-EFEITO!$O$385*EFEITO!$AA$385</f>
        <v>0</v>
      </c>
      <c r="P385" s="57"/>
      <c r="Q385" s="57"/>
      <c r="R385" s="57"/>
      <c r="S385" s="57"/>
      <c r="T385" s="57"/>
      <c r="U385" s="57"/>
      <c r="V385" s="57"/>
      <c r="W385" s="57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1.25" customHeight="1" x14ac:dyDescent="0.2">
      <c r="A386" s="53" t="s">
        <v>28</v>
      </c>
      <c r="B386" s="53" t="s">
        <v>35</v>
      </c>
      <c r="C386" s="53" t="s">
        <v>23</v>
      </c>
      <c r="D386" s="53" t="s">
        <v>40</v>
      </c>
      <c r="E386" s="53" t="s">
        <v>25</v>
      </c>
      <c r="F386" s="53" t="s">
        <v>25</v>
      </c>
      <c r="G386" s="53" t="s">
        <v>25</v>
      </c>
      <c r="H386" s="53" t="s">
        <v>25</v>
      </c>
      <c r="I386" s="73">
        <v>44378</v>
      </c>
      <c r="J386" s="74">
        <f>EFEITO!$J$386*EFEITO!$Y$386</f>
        <v>0</v>
      </c>
      <c r="K386" s="74">
        <f ca="1">EFEITO!$L$386*EFEITO!$Z$386</f>
        <v>683.51190775027192</v>
      </c>
      <c r="L386" s="74">
        <f>EFEITO!$N$386*EFEITO!$AA$386</f>
        <v>230.1886807567044</v>
      </c>
      <c r="M386" s="74">
        <f>$J$386-EFEITO!$K$386*EFEITO!$Y$386</f>
        <v>0</v>
      </c>
      <c r="N386" s="74">
        <f ca="1">$K$386-EFEITO!$M$386*EFEITO!$Z$386</f>
        <v>0</v>
      </c>
      <c r="O386" s="74">
        <f>$L$386-EFEITO!$O$386*EFEITO!$AA$386</f>
        <v>0</v>
      </c>
      <c r="P386" s="57"/>
      <c r="Q386" s="57"/>
      <c r="R386" s="57"/>
      <c r="S386" s="57"/>
      <c r="T386" s="57"/>
      <c r="U386" s="57"/>
      <c r="V386" s="57"/>
      <c r="W386" s="57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1.25" customHeight="1" x14ac:dyDescent="0.2">
      <c r="A387" s="53" t="s">
        <v>21</v>
      </c>
      <c r="B387" s="53" t="s">
        <v>35</v>
      </c>
      <c r="C387" s="53" t="s">
        <v>23</v>
      </c>
      <c r="D387" s="53" t="s">
        <v>40</v>
      </c>
      <c r="E387" s="53" t="s">
        <v>25</v>
      </c>
      <c r="F387" s="53" t="s">
        <v>25</v>
      </c>
      <c r="G387" s="53" t="s">
        <v>25</v>
      </c>
      <c r="H387" s="53" t="s">
        <v>25</v>
      </c>
      <c r="I387" s="73">
        <v>44409</v>
      </c>
      <c r="J387" s="74">
        <f>EFEITO!$J$387*EFEITO!$Y$387</f>
        <v>0</v>
      </c>
      <c r="K387" s="74">
        <f ca="1">EFEITO!$L$387*EFEITO!$Z$387</f>
        <v>91304.816952968438</v>
      </c>
      <c r="L387" s="74">
        <f>EFEITO!$N$387*EFEITO!$AA$387</f>
        <v>30749.040540219943</v>
      </c>
      <c r="M387" s="74">
        <f>$J$387-EFEITO!$K$387*EFEITO!$Y$387</f>
        <v>0</v>
      </c>
      <c r="N387" s="74">
        <f ca="1">$K$387-EFEITO!$M$387*EFEITO!$Z$387</f>
        <v>0</v>
      </c>
      <c r="O387" s="74">
        <f>$L$387-EFEITO!$O$387*EFEITO!$AA$387</f>
        <v>0</v>
      </c>
      <c r="P387" s="57"/>
      <c r="Q387" s="57"/>
      <c r="R387" s="57"/>
      <c r="S387" s="57"/>
      <c r="T387" s="57"/>
      <c r="U387" s="57"/>
      <c r="V387" s="57"/>
      <c r="W387" s="57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1.25" customHeight="1" x14ac:dyDescent="0.2">
      <c r="A388" s="53" t="s">
        <v>28</v>
      </c>
      <c r="B388" s="53" t="s">
        <v>35</v>
      </c>
      <c r="C388" s="53" t="s">
        <v>23</v>
      </c>
      <c r="D388" s="53" t="s">
        <v>40</v>
      </c>
      <c r="E388" s="53" t="s">
        <v>25</v>
      </c>
      <c r="F388" s="53" t="s">
        <v>25</v>
      </c>
      <c r="G388" s="53" t="s">
        <v>25</v>
      </c>
      <c r="H388" s="53" t="s">
        <v>25</v>
      </c>
      <c r="I388" s="73">
        <v>44409</v>
      </c>
      <c r="J388" s="74">
        <f>EFEITO!$J$388*EFEITO!$Y$388</f>
        <v>0</v>
      </c>
      <c r="K388" s="74">
        <f ca="1">EFEITO!$L$388*EFEITO!$Z$388</f>
        <v>648.15784355629239</v>
      </c>
      <c r="L388" s="74">
        <f>EFEITO!$N$388*EFEITO!$AA$388</f>
        <v>218.28236968308178</v>
      </c>
      <c r="M388" s="74">
        <f>$J$388-EFEITO!$K$388*EFEITO!$Y$388</f>
        <v>0</v>
      </c>
      <c r="N388" s="74">
        <f ca="1">$K$388-EFEITO!$M$388*EFEITO!$Z$388</f>
        <v>0</v>
      </c>
      <c r="O388" s="74">
        <f>$L$388-EFEITO!$O$388*EFEITO!$AA$388</f>
        <v>0</v>
      </c>
      <c r="P388" s="57"/>
      <c r="Q388" s="57"/>
      <c r="R388" s="57"/>
      <c r="S388" s="57"/>
      <c r="T388" s="57"/>
      <c r="U388" s="57"/>
      <c r="V388" s="57"/>
      <c r="W388" s="57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1.25" customHeight="1" x14ac:dyDescent="0.2">
      <c r="A389" s="53" t="s">
        <v>21</v>
      </c>
      <c r="B389" s="53" t="s">
        <v>35</v>
      </c>
      <c r="C389" s="53" t="s">
        <v>23</v>
      </c>
      <c r="D389" s="53" t="s">
        <v>40</v>
      </c>
      <c r="E389" s="53" t="s">
        <v>25</v>
      </c>
      <c r="F389" s="53" t="s">
        <v>25</v>
      </c>
      <c r="G389" s="53" t="s">
        <v>25</v>
      </c>
      <c r="H389" s="53" t="s">
        <v>25</v>
      </c>
      <c r="I389" s="73">
        <v>44440</v>
      </c>
      <c r="J389" s="74">
        <f>EFEITO!$J$389*EFEITO!$Y$389</f>
        <v>0</v>
      </c>
      <c r="K389" s="74">
        <f ca="1">EFEITO!$L$389*EFEITO!$Z$389</f>
        <v>95716.218518506124</v>
      </c>
      <c r="L389" s="74">
        <f>EFEITO!$N$389*EFEITO!$AA$389</f>
        <v>32234.683577517524</v>
      </c>
      <c r="M389" s="74">
        <f>$J$389-EFEITO!$K$389*EFEITO!$Y$389</f>
        <v>0</v>
      </c>
      <c r="N389" s="74">
        <f ca="1">$K$389-EFEITO!$M$389*EFEITO!$Z$389</f>
        <v>0</v>
      </c>
      <c r="O389" s="74">
        <f>$L$389-EFEITO!$O$389*EFEITO!$AA$389</f>
        <v>0</v>
      </c>
      <c r="P389" s="57"/>
      <c r="Q389" s="57"/>
      <c r="R389" s="57"/>
      <c r="S389" s="57"/>
      <c r="T389" s="57"/>
      <c r="U389" s="57"/>
      <c r="V389" s="57"/>
      <c r="W389" s="57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1.25" customHeight="1" x14ac:dyDescent="0.2">
      <c r="A390" s="53" t="s">
        <v>28</v>
      </c>
      <c r="B390" s="53" t="s">
        <v>35</v>
      </c>
      <c r="C390" s="53" t="s">
        <v>23</v>
      </c>
      <c r="D390" s="53" t="s">
        <v>40</v>
      </c>
      <c r="E390" s="53" t="s">
        <v>25</v>
      </c>
      <c r="F390" s="53" t="s">
        <v>25</v>
      </c>
      <c r="G390" s="53" t="s">
        <v>25</v>
      </c>
      <c r="H390" s="53" t="s">
        <v>25</v>
      </c>
      <c r="I390" s="73">
        <v>44440</v>
      </c>
      <c r="J390" s="74">
        <f>EFEITO!$J$390*EFEITO!$Y$390</f>
        <v>0</v>
      </c>
      <c r="K390" s="74">
        <f ca="1">EFEITO!$L$390*EFEITO!$Z$390</f>
        <v>985.98556807654177</v>
      </c>
      <c r="L390" s="74">
        <f>EFEITO!$N$390*EFEITO!$AA$390</f>
        <v>332.05378660880928</v>
      </c>
      <c r="M390" s="74">
        <f>$J$390-EFEITO!$K$390*EFEITO!$Y$390</f>
        <v>0</v>
      </c>
      <c r="N390" s="74">
        <f ca="1">$K$390-EFEITO!$M$390*EFEITO!$Z$390</f>
        <v>0</v>
      </c>
      <c r="O390" s="74">
        <f>$L$390-EFEITO!$O$390*EFEITO!$AA$390</f>
        <v>0</v>
      </c>
      <c r="P390" s="57"/>
      <c r="Q390" s="57"/>
      <c r="R390" s="57"/>
      <c r="S390" s="57"/>
      <c r="T390" s="57"/>
      <c r="U390" s="57"/>
      <c r="V390" s="57"/>
      <c r="W390" s="57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1.25" customHeight="1" x14ac:dyDescent="0.2">
      <c r="A391" s="53" t="s">
        <v>21</v>
      </c>
      <c r="B391" s="53" t="s">
        <v>35</v>
      </c>
      <c r="C391" s="53" t="s">
        <v>23</v>
      </c>
      <c r="D391" s="53" t="s">
        <v>40</v>
      </c>
      <c r="E391" s="53" t="s">
        <v>25</v>
      </c>
      <c r="F391" s="53" t="s">
        <v>25</v>
      </c>
      <c r="G391" s="53" t="s">
        <v>25</v>
      </c>
      <c r="H391" s="53" t="s">
        <v>25</v>
      </c>
      <c r="I391" s="73">
        <v>44470</v>
      </c>
      <c r="J391" s="74">
        <f>EFEITO!$J$391*EFEITO!$Y$391</f>
        <v>0</v>
      </c>
      <c r="K391" s="74">
        <f ca="1">EFEITO!$L$391*EFEITO!$Z$391</f>
        <v>100305.37246235242</v>
      </c>
      <c r="L391" s="74">
        <f>EFEITO!$N$391*EFEITO!$AA$391</f>
        <v>33780.188901046378</v>
      </c>
      <c r="M391" s="74">
        <f>$J$391-EFEITO!$K$391*EFEITO!$Y$391</f>
        <v>0</v>
      </c>
      <c r="N391" s="74">
        <f ca="1">$K$391-EFEITO!$M$391*EFEITO!$Z$391</f>
        <v>0</v>
      </c>
      <c r="O391" s="74">
        <f>$L$391-EFEITO!$O$391*EFEITO!$AA$391</f>
        <v>0</v>
      </c>
      <c r="P391" s="57"/>
      <c r="Q391" s="57"/>
      <c r="R391" s="57"/>
      <c r="S391" s="57"/>
      <c r="T391" s="57"/>
      <c r="U391" s="57"/>
      <c r="V391" s="57"/>
      <c r="W391" s="57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1.25" customHeight="1" x14ac:dyDescent="0.2">
      <c r="A392" s="53" t="s">
        <v>28</v>
      </c>
      <c r="B392" s="53" t="s">
        <v>35</v>
      </c>
      <c r="C392" s="53" t="s">
        <v>23</v>
      </c>
      <c r="D392" s="53" t="s">
        <v>40</v>
      </c>
      <c r="E392" s="53" t="s">
        <v>25</v>
      </c>
      <c r="F392" s="53" t="s">
        <v>25</v>
      </c>
      <c r="G392" s="53" t="s">
        <v>25</v>
      </c>
      <c r="H392" s="53" t="s">
        <v>25</v>
      </c>
      <c r="I392" s="73">
        <v>44470</v>
      </c>
      <c r="J392" s="74">
        <f>EFEITO!$J$392*EFEITO!$Y$392</f>
        <v>0</v>
      </c>
      <c r="K392" s="74">
        <f ca="1">EFEITO!$L$392*EFEITO!$Z$392</f>
        <v>896.61835025287121</v>
      </c>
      <c r="L392" s="74">
        <f>EFEITO!$N$392*EFEITO!$AA$392</f>
        <v>301.95727806159647</v>
      </c>
      <c r="M392" s="74">
        <f>$J$392-EFEITO!$K$392*EFEITO!$Y$392</f>
        <v>0</v>
      </c>
      <c r="N392" s="74">
        <f ca="1">$K$392-EFEITO!$M$392*EFEITO!$Z$392</f>
        <v>0</v>
      </c>
      <c r="O392" s="74">
        <f>$L$392-EFEITO!$O$392*EFEITO!$AA$392</f>
        <v>0</v>
      </c>
      <c r="P392" s="57"/>
      <c r="Q392" s="57"/>
      <c r="R392" s="57"/>
      <c r="S392" s="57"/>
      <c r="T392" s="57"/>
      <c r="U392" s="57"/>
      <c r="V392" s="57"/>
      <c r="W392" s="57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1.25" customHeight="1" x14ac:dyDescent="0.2">
      <c r="A393" s="53" t="s">
        <v>21</v>
      </c>
      <c r="B393" s="53" t="s">
        <v>35</v>
      </c>
      <c r="C393" s="53" t="s">
        <v>23</v>
      </c>
      <c r="D393" s="53" t="s">
        <v>40</v>
      </c>
      <c r="E393" s="53" t="s">
        <v>25</v>
      </c>
      <c r="F393" s="53" t="s">
        <v>25</v>
      </c>
      <c r="G393" s="53" t="s">
        <v>25</v>
      </c>
      <c r="H393" s="53" t="s">
        <v>25</v>
      </c>
      <c r="I393" s="73">
        <v>44501</v>
      </c>
      <c r="J393" s="74">
        <f>EFEITO!$J$393*EFEITO!$Y$393</f>
        <v>0</v>
      </c>
      <c r="K393" s="74">
        <f ca="1">EFEITO!$L$393*EFEITO!$Z$393</f>
        <v>96463.564153273299</v>
      </c>
      <c r="L393" s="74">
        <f>EFEITO!$N$393*EFEITO!$AA$393</f>
        <v>32486.369764379378</v>
      </c>
      <c r="M393" s="74">
        <f>$J$393-EFEITO!$K$393*EFEITO!$Y$393</f>
        <v>0</v>
      </c>
      <c r="N393" s="74">
        <f ca="1">$K$393-EFEITO!$M$393*EFEITO!$Z$393</f>
        <v>0</v>
      </c>
      <c r="O393" s="74">
        <f>$L$393-EFEITO!$O$393*EFEITO!$AA$393</f>
        <v>0</v>
      </c>
      <c r="P393" s="57"/>
      <c r="Q393" s="57"/>
      <c r="R393" s="57"/>
      <c r="S393" s="57"/>
      <c r="T393" s="57"/>
      <c r="U393" s="57"/>
      <c r="V393" s="57"/>
      <c r="W393" s="57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1.25" customHeight="1" x14ac:dyDescent="0.2">
      <c r="A394" s="53" t="s">
        <v>28</v>
      </c>
      <c r="B394" s="53" t="s">
        <v>35</v>
      </c>
      <c r="C394" s="53" t="s">
        <v>23</v>
      </c>
      <c r="D394" s="53" t="s">
        <v>40</v>
      </c>
      <c r="E394" s="53" t="s">
        <v>25</v>
      </c>
      <c r="F394" s="53" t="s">
        <v>25</v>
      </c>
      <c r="G394" s="53" t="s">
        <v>25</v>
      </c>
      <c r="H394" s="53" t="s">
        <v>25</v>
      </c>
      <c r="I394" s="73">
        <v>44501</v>
      </c>
      <c r="J394" s="74">
        <f>EFEITO!$J$394*EFEITO!$Y$394</f>
        <v>0</v>
      </c>
      <c r="K394" s="74">
        <f ca="1">EFEITO!$L$394*EFEITO!$Z$394</f>
        <v>925.09801307579903</v>
      </c>
      <c r="L394" s="74">
        <f>EFEITO!$N$394*EFEITO!$AA$394</f>
        <v>311.54847309312578</v>
      </c>
      <c r="M394" s="74">
        <f>$J$394-EFEITO!$K$394*EFEITO!$Y$394</f>
        <v>0</v>
      </c>
      <c r="N394" s="74">
        <f ca="1">$K$394-EFEITO!$M$394*EFEITO!$Z$394</f>
        <v>0</v>
      </c>
      <c r="O394" s="74">
        <f>$L$394-EFEITO!$O$394*EFEITO!$AA$394</f>
        <v>0</v>
      </c>
      <c r="P394" s="57"/>
      <c r="Q394" s="57"/>
      <c r="R394" s="57"/>
      <c r="S394" s="57"/>
      <c r="T394" s="57"/>
      <c r="U394" s="57"/>
      <c r="V394" s="57"/>
      <c r="W394" s="57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1.25" customHeight="1" x14ac:dyDescent="0.2">
      <c r="A395" s="53" t="s">
        <v>21</v>
      </c>
      <c r="B395" s="53" t="s">
        <v>35</v>
      </c>
      <c r="C395" s="53" t="s">
        <v>23</v>
      </c>
      <c r="D395" s="53" t="s">
        <v>40</v>
      </c>
      <c r="E395" s="53" t="s">
        <v>25</v>
      </c>
      <c r="F395" s="53" t="s">
        <v>25</v>
      </c>
      <c r="G395" s="53" t="s">
        <v>25</v>
      </c>
      <c r="H395" s="53" t="s">
        <v>25</v>
      </c>
      <c r="I395" s="73">
        <v>44531</v>
      </c>
      <c r="J395" s="74">
        <f>EFEITO!$J$395*EFEITO!$Y$395</f>
        <v>0</v>
      </c>
      <c r="K395" s="74">
        <f ca="1">EFEITO!$L$395*EFEITO!$Z$395</f>
        <v>106421.62556791087</v>
      </c>
      <c r="L395" s="74">
        <f>EFEITO!$N$395*EFEITO!$AA$395</f>
        <v>35839.980716783088</v>
      </c>
      <c r="M395" s="74">
        <f>$J$395-EFEITO!$K$395*EFEITO!$Y$395</f>
        <v>0</v>
      </c>
      <c r="N395" s="74">
        <f ca="1">$K$395-EFEITO!$M$395*EFEITO!$Z$395</f>
        <v>0</v>
      </c>
      <c r="O395" s="74">
        <f>$L$395-EFEITO!$O$395*EFEITO!$AA$395</f>
        <v>0</v>
      </c>
      <c r="P395" s="57"/>
      <c r="Q395" s="57"/>
      <c r="R395" s="57"/>
      <c r="S395" s="57"/>
      <c r="T395" s="57"/>
      <c r="U395" s="57"/>
      <c r="V395" s="57"/>
      <c r="W395" s="57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1.25" customHeight="1" x14ac:dyDescent="0.2">
      <c r="A396" s="53" t="s">
        <v>28</v>
      </c>
      <c r="B396" s="53" t="s">
        <v>35</v>
      </c>
      <c r="C396" s="53" t="s">
        <v>23</v>
      </c>
      <c r="D396" s="53" t="s">
        <v>40</v>
      </c>
      <c r="E396" s="53" t="s">
        <v>25</v>
      </c>
      <c r="F396" s="53" t="s">
        <v>25</v>
      </c>
      <c r="G396" s="53" t="s">
        <v>25</v>
      </c>
      <c r="H396" s="53" t="s">
        <v>25</v>
      </c>
      <c r="I396" s="73">
        <v>44531</v>
      </c>
      <c r="J396" s="74">
        <f>EFEITO!$J$396*EFEITO!$Y$396</f>
        <v>0</v>
      </c>
      <c r="K396" s="74">
        <f ca="1">EFEITO!$L$396*EFEITO!$Z$396</f>
        <v>1144.0967996107283</v>
      </c>
      <c r="L396" s="74">
        <f>EFEITO!$N$396*EFEITO!$AA$396</f>
        <v>385.30145557695499</v>
      </c>
      <c r="M396" s="74">
        <f>$J$396-EFEITO!$K$396*EFEITO!$Y$396</f>
        <v>0</v>
      </c>
      <c r="N396" s="74">
        <f ca="1">$K$396-EFEITO!$M$396*EFEITO!$Z$396</f>
        <v>0</v>
      </c>
      <c r="O396" s="74">
        <f>$L$396-EFEITO!$O$396*EFEITO!$AA$396</f>
        <v>0</v>
      </c>
      <c r="P396" s="57"/>
      <c r="Q396" s="57"/>
      <c r="R396" s="57"/>
      <c r="S396" s="57"/>
      <c r="T396" s="57"/>
      <c r="U396" s="57"/>
      <c r="V396" s="57"/>
      <c r="W396" s="57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1.25" customHeight="1" x14ac:dyDescent="0.2">
      <c r="A397" s="53" t="s">
        <v>21</v>
      </c>
      <c r="B397" s="53" t="s">
        <v>35</v>
      </c>
      <c r="C397" s="53" t="s">
        <v>23</v>
      </c>
      <c r="D397" s="53" t="s">
        <v>40</v>
      </c>
      <c r="E397" s="53" t="s">
        <v>25</v>
      </c>
      <c r="F397" s="53" t="s">
        <v>25</v>
      </c>
      <c r="G397" s="53" t="s">
        <v>25</v>
      </c>
      <c r="H397" s="53" t="s">
        <v>25</v>
      </c>
      <c r="I397" s="73">
        <v>44562</v>
      </c>
      <c r="J397" s="74">
        <f>EFEITO!$J$397*EFEITO!$Y$397</f>
        <v>0</v>
      </c>
      <c r="K397" s="74">
        <f ca="1">EFEITO!$L$397*EFEITO!$Z$397</f>
        <v>128073.04371470722</v>
      </c>
      <c r="L397" s="74">
        <f>EFEITO!$N$397*EFEITO!$AA$397</f>
        <v>43131.604056787495</v>
      </c>
      <c r="M397" s="74">
        <f>$J$397-EFEITO!$K$397*EFEITO!$Y$397</f>
        <v>0</v>
      </c>
      <c r="N397" s="74">
        <f ca="1">$K$397-EFEITO!$M$397*EFEITO!$Z$397</f>
        <v>0</v>
      </c>
      <c r="O397" s="74">
        <f>$L$397-EFEITO!$O$397*EFEITO!$AA$397</f>
        <v>0</v>
      </c>
      <c r="P397" s="57"/>
      <c r="Q397" s="57"/>
      <c r="R397" s="57"/>
      <c r="S397" s="57"/>
      <c r="T397" s="57"/>
      <c r="U397" s="57"/>
      <c r="V397" s="57"/>
      <c r="W397" s="57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1.25" customHeight="1" x14ac:dyDescent="0.2">
      <c r="A398" s="53" t="s">
        <v>27</v>
      </c>
      <c r="B398" s="53" t="s">
        <v>35</v>
      </c>
      <c r="C398" s="53" t="s">
        <v>23</v>
      </c>
      <c r="D398" s="53" t="s">
        <v>40</v>
      </c>
      <c r="E398" s="53" t="s">
        <v>25</v>
      </c>
      <c r="F398" s="53" t="s">
        <v>25</v>
      </c>
      <c r="G398" s="53" t="s">
        <v>25</v>
      </c>
      <c r="H398" s="53" t="s">
        <v>25</v>
      </c>
      <c r="I398" s="73">
        <v>44562</v>
      </c>
      <c r="J398" s="74">
        <f>EFEITO!$J$398*EFEITO!$Y$398</f>
        <v>0</v>
      </c>
      <c r="K398" s="74">
        <f ca="1">EFEITO!$L$398*EFEITO!$Z$398</f>
        <v>-351.5765272623525</v>
      </c>
      <c r="L398" s="74">
        <f>EFEITO!$N$398*EFEITO!$AA$398</f>
        <v>-118.40164900991405</v>
      </c>
      <c r="M398" s="74">
        <f>$J$398-EFEITO!$K$398*EFEITO!$Y$398</f>
        <v>0</v>
      </c>
      <c r="N398" s="74">
        <f ca="1">$K$398-EFEITO!$M$398*EFEITO!$Z$398</f>
        <v>0</v>
      </c>
      <c r="O398" s="74">
        <f>$L$398-EFEITO!$O$398*EFEITO!$AA$398</f>
        <v>0</v>
      </c>
      <c r="P398" s="57"/>
      <c r="Q398" s="57"/>
      <c r="R398" s="57"/>
      <c r="S398" s="57"/>
      <c r="T398" s="57"/>
      <c r="U398" s="57"/>
      <c r="V398" s="57"/>
      <c r="W398" s="57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1.25" customHeight="1" x14ac:dyDescent="0.2">
      <c r="A399" s="53" t="s">
        <v>28</v>
      </c>
      <c r="B399" s="53" t="s">
        <v>35</v>
      </c>
      <c r="C399" s="53" t="s">
        <v>23</v>
      </c>
      <c r="D399" s="53" t="s">
        <v>40</v>
      </c>
      <c r="E399" s="53" t="s">
        <v>25</v>
      </c>
      <c r="F399" s="53" t="s">
        <v>25</v>
      </c>
      <c r="G399" s="53" t="s">
        <v>25</v>
      </c>
      <c r="H399" s="53" t="s">
        <v>25</v>
      </c>
      <c r="I399" s="73">
        <v>44562</v>
      </c>
      <c r="J399" s="74">
        <f>EFEITO!$J$399*EFEITO!$Y$399</f>
        <v>0</v>
      </c>
      <c r="K399" s="74">
        <f ca="1">EFEITO!$L$399*EFEITO!$Z$399</f>
        <v>1463.2654346952661</v>
      </c>
      <c r="L399" s="74">
        <f>EFEITO!$N$399*EFEITO!$AA$399</f>
        <v>492.78898610271494</v>
      </c>
      <c r="M399" s="74">
        <f>$J$399-EFEITO!$K$399*EFEITO!$Y$399</f>
        <v>0</v>
      </c>
      <c r="N399" s="74">
        <f ca="1">$K$399-EFEITO!$M$399*EFEITO!$Z$399</f>
        <v>0</v>
      </c>
      <c r="O399" s="74">
        <f>$L$399-EFEITO!$O$399*EFEITO!$AA$399</f>
        <v>0</v>
      </c>
      <c r="P399" s="57"/>
      <c r="Q399" s="57"/>
      <c r="R399" s="57"/>
      <c r="S399" s="57"/>
      <c r="T399" s="57"/>
      <c r="U399" s="57"/>
      <c r="V399" s="57"/>
      <c r="W399" s="57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1.25" customHeight="1" x14ac:dyDescent="0.2">
      <c r="A400" s="53" t="s">
        <v>21</v>
      </c>
      <c r="B400" s="53" t="s">
        <v>35</v>
      </c>
      <c r="C400" s="53" t="s">
        <v>23</v>
      </c>
      <c r="D400" s="53" t="s">
        <v>40</v>
      </c>
      <c r="E400" s="53" t="s">
        <v>25</v>
      </c>
      <c r="F400" s="53" t="s">
        <v>25</v>
      </c>
      <c r="G400" s="53" t="s">
        <v>25</v>
      </c>
      <c r="H400" s="53" t="s">
        <v>25</v>
      </c>
      <c r="I400" s="73">
        <v>44593</v>
      </c>
      <c r="J400" s="74">
        <f>EFEITO!$J$400*EFEITO!$Y$400</f>
        <v>0</v>
      </c>
      <c r="K400" s="74">
        <f ca="1">EFEITO!$L$400*EFEITO!$Z$400</f>
        <v>117082.84003707317</v>
      </c>
      <c r="L400" s="74">
        <f>EFEITO!$N$400*EFEITO!$AA$400</f>
        <v>39430.39496720663</v>
      </c>
      <c r="M400" s="74">
        <f>$J$400-EFEITO!$K$400*EFEITO!$Y$400</f>
        <v>0</v>
      </c>
      <c r="N400" s="74">
        <f ca="1">$K$400-EFEITO!$M$400*EFEITO!$Z$400</f>
        <v>0</v>
      </c>
      <c r="O400" s="74">
        <f>$L$400-EFEITO!$O$400*EFEITO!$AA$400</f>
        <v>0</v>
      </c>
      <c r="P400" s="57"/>
      <c r="Q400" s="57"/>
      <c r="R400" s="57"/>
      <c r="S400" s="57"/>
      <c r="T400" s="57"/>
      <c r="U400" s="57"/>
      <c r="V400" s="57"/>
      <c r="W400" s="57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1.25" customHeight="1" x14ac:dyDescent="0.2">
      <c r="A401" s="53" t="s">
        <v>28</v>
      </c>
      <c r="B401" s="53" t="s">
        <v>35</v>
      </c>
      <c r="C401" s="53" t="s">
        <v>23</v>
      </c>
      <c r="D401" s="53" t="s">
        <v>40</v>
      </c>
      <c r="E401" s="53" t="s">
        <v>25</v>
      </c>
      <c r="F401" s="53" t="s">
        <v>25</v>
      </c>
      <c r="G401" s="53" t="s">
        <v>25</v>
      </c>
      <c r="H401" s="53" t="s">
        <v>25</v>
      </c>
      <c r="I401" s="73">
        <v>44593</v>
      </c>
      <c r="J401" s="74">
        <f>EFEITO!$J$401*EFEITO!$Y$401</f>
        <v>0</v>
      </c>
      <c r="K401" s="74">
        <f ca="1">EFEITO!$L$401*EFEITO!$Z$401</f>
        <v>2501.300041724056</v>
      </c>
      <c r="L401" s="74">
        <f>EFEITO!$N$401*EFEITO!$AA$401</f>
        <v>842.37150845880205</v>
      </c>
      <c r="M401" s="74">
        <f>$J$401-EFEITO!$K$401*EFEITO!$Y$401</f>
        <v>0</v>
      </c>
      <c r="N401" s="74">
        <f ca="1">$K$401-EFEITO!$M$401*EFEITO!$Z$401</f>
        <v>0</v>
      </c>
      <c r="O401" s="74">
        <f>$L$401-EFEITO!$O$401*EFEITO!$AA$401</f>
        <v>0</v>
      </c>
      <c r="P401" s="57"/>
      <c r="Q401" s="57"/>
      <c r="R401" s="57"/>
      <c r="S401" s="57"/>
      <c r="T401" s="57"/>
      <c r="U401" s="57"/>
      <c r="V401" s="57"/>
      <c r="W401" s="57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1.25" customHeight="1" x14ac:dyDescent="0.2">
      <c r="A402" s="53" t="s">
        <v>21</v>
      </c>
      <c r="B402" s="53" t="s">
        <v>35</v>
      </c>
      <c r="C402" s="53" t="s">
        <v>23</v>
      </c>
      <c r="D402" s="53" t="s">
        <v>40</v>
      </c>
      <c r="E402" s="53" t="s">
        <v>25</v>
      </c>
      <c r="F402" s="53" t="s">
        <v>25</v>
      </c>
      <c r="G402" s="53" t="s">
        <v>25</v>
      </c>
      <c r="H402" s="53" t="s">
        <v>25</v>
      </c>
      <c r="I402" s="73">
        <v>44621</v>
      </c>
      <c r="J402" s="74">
        <f>EFEITO!$J$402*EFEITO!$Y$402</f>
        <v>0</v>
      </c>
      <c r="K402" s="74">
        <f ca="1">EFEITO!$L$402*EFEITO!$Z$402</f>
        <v>122712.97475996442</v>
      </c>
      <c r="L402" s="74">
        <f>EFEITO!$N$402*EFEITO!$AA$402</f>
        <v>41326.475005681037</v>
      </c>
      <c r="M402" s="74">
        <f>$J$402-EFEITO!$K$402*EFEITO!$Y$402</f>
        <v>0</v>
      </c>
      <c r="N402" s="74">
        <f ca="1">$K$402-EFEITO!$M$402*EFEITO!$Z$402</f>
        <v>0</v>
      </c>
      <c r="O402" s="74">
        <f>$L$402-EFEITO!$O$402*EFEITO!$AA$402</f>
        <v>0</v>
      </c>
      <c r="P402" s="57"/>
      <c r="Q402" s="57"/>
      <c r="R402" s="57"/>
      <c r="S402" s="57"/>
      <c r="T402" s="57"/>
      <c r="U402" s="57"/>
      <c r="V402" s="57"/>
      <c r="W402" s="57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1.25" customHeight="1" x14ac:dyDescent="0.2">
      <c r="A403" s="53" t="s">
        <v>28</v>
      </c>
      <c r="B403" s="53" t="s">
        <v>35</v>
      </c>
      <c r="C403" s="53" t="s">
        <v>23</v>
      </c>
      <c r="D403" s="53" t="s">
        <v>40</v>
      </c>
      <c r="E403" s="53" t="s">
        <v>25</v>
      </c>
      <c r="F403" s="53" t="s">
        <v>25</v>
      </c>
      <c r="G403" s="53" t="s">
        <v>25</v>
      </c>
      <c r="H403" s="53" t="s">
        <v>25</v>
      </c>
      <c r="I403" s="73">
        <v>44621</v>
      </c>
      <c r="J403" s="74">
        <f>EFEITO!$J$403*EFEITO!$Y$403</f>
        <v>0</v>
      </c>
      <c r="K403" s="74">
        <f ca="1">EFEITO!$L$403*EFEITO!$Z$403</f>
        <v>3829.0415636757334</v>
      </c>
      <c r="L403" s="74">
        <f>EFEITO!$N$403*EFEITO!$AA$403</f>
        <v>1289.5196354459633</v>
      </c>
      <c r="M403" s="74">
        <f>$J$403-EFEITO!$K$403*EFEITO!$Y$403</f>
        <v>0</v>
      </c>
      <c r="N403" s="74">
        <f ca="1">$K$403-EFEITO!$M$403*EFEITO!$Z$403</f>
        <v>0</v>
      </c>
      <c r="O403" s="74">
        <f>$L$403-EFEITO!$O$403*EFEITO!$AA$403</f>
        <v>0</v>
      </c>
      <c r="P403" s="57"/>
      <c r="Q403" s="57"/>
      <c r="R403" s="57"/>
      <c r="S403" s="57"/>
      <c r="T403" s="57"/>
      <c r="U403" s="57"/>
      <c r="V403" s="57"/>
      <c r="W403" s="57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1.25" customHeight="1" x14ac:dyDescent="0.2">
      <c r="A404" s="53" t="s">
        <v>21</v>
      </c>
      <c r="B404" s="53" t="s">
        <v>35</v>
      </c>
      <c r="C404" s="53" t="s">
        <v>23</v>
      </c>
      <c r="D404" s="53" t="s">
        <v>51</v>
      </c>
      <c r="E404" s="53" t="s">
        <v>25</v>
      </c>
      <c r="F404" s="53" t="s">
        <v>25</v>
      </c>
      <c r="G404" s="53" t="s">
        <v>25</v>
      </c>
      <c r="H404" s="53" t="s">
        <v>25</v>
      </c>
      <c r="I404" s="73">
        <v>44287</v>
      </c>
      <c r="J404" s="74">
        <f>EFEITO!$J$404*EFEITO!$Y$404</f>
        <v>0</v>
      </c>
      <c r="K404" s="74">
        <f ca="1">EFEITO!$L$404*EFEITO!$Z$404</f>
        <v>35.354064193979582</v>
      </c>
      <c r="L404" s="74">
        <f>EFEITO!$N$404*EFEITO!$AA$404</f>
        <v>11.906311073622641</v>
      </c>
      <c r="M404" s="74">
        <f>$J$404-EFEITO!$K$404*EFEITO!$Y$404</f>
        <v>0</v>
      </c>
      <c r="N404" s="74">
        <f ca="1">$K$404-EFEITO!$M$404*EFEITO!$Z$404</f>
        <v>0</v>
      </c>
      <c r="O404" s="74">
        <f>$L$404-EFEITO!$O$404*EFEITO!$AA$404</f>
        <v>0</v>
      </c>
      <c r="P404" s="57"/>
      <c r="Q404" s="57"/>
      <c r="R404" s="57"/>
      <c r="S404" s="57"/>
      <c r="T404" s="57"/>
      <c r="U404" s="57"/>
      <c r="V404" s="57"/>
      <c r="W404" s="57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1.25" customHeight="1" x14ac:dyDescent="0.2">
      <c r="A405" s="53" t="s">
        <v>21</v>
      </c>
      <c r="B405" s="53" t="s">
        <v>35</v>
      </c>
      <c r="C405" s="53" t="s">
        <v>23</v>
      </c>
      <c r="D405" s="53" t="s">
        <v>51</v>
      </c>
      <c r="E405" s="53" t="s">
        <v>25</v>
      </c>
      <c r="F405" s="53" t="s">
        <v>25</v>
      </c>
      <c r="G405" s="53" t="s">
        <v>25</v>
      </c>
      <c r="H405" s="53" t="s">
        <v>25</v>
      </c>
      <c r="I405" s="73">
        <v>44317</v>
      </c>
      <c r="J405" s="74">
        <f>EFEITO!$J$405*EFEITO!$Y$405</f>
        <v>0</v>
      </c>
      <c r="K405" s="74">
        <f ca="1">EFEITO!$L$405*EFEITO!$Z$405</f>
        <v>30.443777500371308</v>
      </c>
      <c r="L405" s="74">
        <f>EFEITO!$N$405*EFEITO!$AA$405</f>
        <v>10.25265675784172</v>
      </c>
      <c r="M405" s="74">
        <f>$J$405-EFEITO!$K$405*EFEITO!$Y$405</f>
        <v>0</v>
      </c>
      <c r="N405" s="74">
        <f ca="1">$K$405-EFEITO!$M$405*EFEITO!$Z$405</f>
        <v>0</v>
      </c>
      <c r="O405" s="74">
        <f>$L$405-EFEITO!$O$405*EFEITO!$AA$405</f>
        <v>0</v>
      </c>
      <c r="P405" s="57"/>
      <c r="Q405" s="57"/>
      <c r="R405" s="57"/>
      <c r="S405" s="57"/>
      <c r="T405" s="57"/>
      <c r="U405" s="57"/>
      <c r="V405" s="57"/>
      <c r="W405" s="57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1.25" customHeight="1" x14ac:dyDescent="0.2">
      <c r="A406" s="53" t="s">
        <v>21</v>
      </c>
      <c r="B406" s="53" t="s">
        <v>35</v>
      </c>
      <c r="C406" s="53" t="s">
        <v>23</v>
      </c>
      <c r="D406" s="53" t="s">
        <v>51</v>
      </c>
      <c r="E406" s="53" t="s">
        <v>25</v>
      </c>
      <c r="F406" s="53" t="s">
        <v>25</v>
      </c>
      <c r="G406" s="53" t="s">
        <v>25</v>
      </c>
      <c r="H406" s="53" t="s">
        <v>25</v>
      </c>
      <c r="I406" s="73">
        <v>44348</v>
      </c>
      <c r="J406" s="74">
        <f>EFEITO!$J$406*EFEITO!$Y$406</f>
        <v>0</v>
      </c>
      <c r="K406" s="74">
        <f ca="1">EFEITO!$L$406*EFEITO!$Z$406</f>
        <v>34.372006855257936</v>
      </c>
      <c r="L406" s="74">
        <f>EFEITO!$N$406*EFEITO!$AA$406</f>
        <v>11.575580210466459</v>
      </c>
      <c r="M406" s="74">
        <f>$J$406-EFEITO!$K$406*EFEITO!$Y$406</f>
        <v>0</v>
      </c>
      <c r="N406" s="74">
        <f ca="1">$K$406-EFEITO!$M$406*EFEITO!$Z$406</f>
        <v>0</v>
      </c>
      <c r="O406" s="74">
        <f>$L$406-EFEITO!$O$406*EFEITO!$AA$406</f>
        <v>0</v>
      </c>
      <c r="P406" s="57"/>
      <c r="Q406" s="57"/>
      <c r="R406" s="57"/>
      <c r="S406" s="57"/>
      <c r="T406" s="57"/>
      <c r="U406" s="57"/>
      <c r="V406" s="57"/>
      <c r="W406" s="57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1.25" customHeight="1" x14ac:dyDescent="0.2">
      <c r="A407" s="53" t="s">
        <v>21</v>
      </c>
      <c r="B407" s="53" t="s">
        <v>35</v>
      </c>
      <c r="C407" s="53" t="s">
        <v>23</v>
      </c>
      <c r="D407" s="53" t="s">
        <v>51</v>
      </c>
      <c r="E407" s="53" t="s">
        <v>25</v>
      </c>
      <c r="F407" s="53" t="s">
        <v>25</v>
      </c>
      <c r="G407" s="53" t="s">
        <v>25</v>
      </c>
      <c r="H407" s="53" t="s">
        <v>25</v>
      </c>
      <c r="I407" s="73">
        <v>44378</v>
      </c>
      <c r="J407" s="74">
        <f>EFEITO!$J$407*EFEITO!$Y$407</f>
        <v>0</v>
      </c>
      <c r="K407" s="74">
        <f ca="1">EFEITO!$L$407*EFEITO!$Z$407</f>
        <v>29.461720161649652</v>
      </c>
      <c r="L407" s="74">
        <f>EFEITO!$N$407*EFEITO!$AA$407</f>
        <v>9.9219258946855344</v>
      </c>
      <c r="M407" s="74">
        <f>$J$407-EFEITO!$K$407*EFEITO!$Y$407</f>
        <v>0</v>
      </c>
      <c r="N407" s="74">
        <f ca="1">$K$407-EFEITO!$M$407*EFEITO!$Z$407</f>
        <v>0</v>
      </c>
      <c r="O407" s="74">
        <f>$L$407-EFEITO!$O$407*EFEITO!$AA$407</f>
        <v>0</v>
      </c>
      <c r="P407" s="57"/>
      <c r="Q407" s="57"/>
      <c r="R407" s="57"/>
      <c r="S407" s="57"/>
      <c r="T407" s="57"/>
      <c r="U407" s="57"/>
      <c r="V407" s="57"/>
      <c r="W407" s="57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1.25" customHeight="1" x14ac:dyDescent="0.2">
      <c r="A408" s="53" t="s">
        <v>21</v>
      </c>
      <c r="B408" s="53" t="s">
        <v>35</v>
      </c>
      <c r="C408" s="53" t="s">
        <v>23</v>
      </c>
      <c r="D408" s="53" t="s">
        <v>51</v>
      </c>
      <c r="E408" s="53" t="s">
        <v>25</v>
      </c>
      <c r="F408" s="53" t="s">
        <v>25</v>
      </c>
      <c r="G408" s="53" t="s">
        <v>25</v>
      </c>
      <c r="H408" s="53" t="s">
        <v>25</v>
      </c>
      <c r="I408" s="73">
        <v>44409</v>
      </c>
      <c r="J408" s="74">
        <f>EFEITO!$J$408*EFEITO!$Y$408</f>
        <v>0</v>
      </c>
      <c r="K408" s="74">
        <f ca="1">EFEITO!$L$408*EFEITO!$Z$408</f>
        <v>31.425834839092964</v>
      </c>
      <c r="L408" s="74">
        <f>EFEITO!$N$408*EFEITO!$AA$408</f>
        <v>10.583387620997904</v>
      </c>
      <c r="M408" s="74">
        <f>$J$408-EFEITO!$K$408*EFEITO!$Y$408</f>
        <v>0</v>
      </c>
      <c r="N408" s="74">
        <f ca="1">$K$408-EFEITO!$M$408*EFEITO!$Z$408</f>
        <v>0</v>
      </c>
      <c r="O408" s="74">
        <f>$L$408-EFEITO!$O$408*EFEITO!$AA$408</f>
        <v>0</v>
      </c>
      <c r="P408" s="57"/>
      <c r="Q408" s="57"/>
      <c r="R408" s="57"/>
      <c r="S408" s="57"/>
      <c r="T408" s="57"/>
      <c r="U408" s="57"/>
      <c r="V408" s="57"/>
      <c r="W408" s="57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1.25" customHeight="1" x14ac:dyDescent="0.2">
      <c r="A409" s="53" t="s">
        <v>21</v>
      </c>
      <c r="B409" s="53" t="s">
        <v>35</v>
      </c>
      <c r="C409" s="53" t="s">
        <v>23</v>
      </c>
      <c r="D409" s="53" t="s">
        <v>51</v>
      </c>
      <c r="E409" s="53" t="s">
        <v>25</v>
      </c>
      <c r="F409" s="53" t="s">
        <v>25</v>
      </c>
      <c r="G409" s="53" t="s">
        <v>25</v>
      </c>
      <c r="H409" s="53" t="s">
        <v>25</v>
      </c>
      <c r="I409" s="73">
        <v>44440</v>
      </c>
      <c r="J409" s="74">
        <f>EFEITO!$J$409*EFEITO!$Y$409</f>
        <v>0</v>
      </c>
      <c r="K409" s="74">
        <f ca="1">EFEITO!$L$409*EFEITO!$Z$409</f>
        <v>32.407892177814624</v>
      </c>
      <c r="L409" s="74">
        <f>EFEITO!$N$409*EFEITO!$AA$409</f>
        <v>10.914118484154089</v>
      </c>
      <c r="M409" s="74">
        <f>$J$409-EFEITO!$K$409*EFEITO!$Y$409</f>
        <v>0</v>
      </c>
      <c r="N409" s="74">
        <f ca="1">$K$409-EFEITO!$M$409*EFEITO!$Z$409</f>
        <v>0</v>
      </c>
      <c r="O409" s="74">
        <f>$L$409-EFEITO!$O$409*EFEITO!$AA$409</f>
        <v>0</v>
      </c>
      <c r="P409" s="57"/>
      <c r="Q409" s="57"/>
      <c r="R409" s="57"/>
      <c r="S409" s="57"/>
      <c r="T409" s="57"/>
      <c r="U409" s="57"/>
      <c r="V409" s="57"/>
      <c r="W409" s="57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1.25" customHeight="1" x14ac:dyDescent="0.2">
      <c r="A410" s="53" t="s">
        <v>21</v>
      </c>
      <c r="B410" s="53" t="s">
        <v>35</v>
      </c>
      <c r="C410" s="53" t="s">
        <v>23</v>
      </c>
      <c r="D410" s="53" t="s">
        <v>51</v>
      </c>
      <c r="E410" s="53" t="s">
        <v>25</v>
      </c>
      <c r="F410" s="53" t="s">
        <v>25</v>
      </c>
      <c r="G410" s="53" t="s">
        <v>25</v>
      </c>
      <c r="H410" s="53" t="s">
        <v>25</v>
      </c>
      <c r="I410" s="73">
        <v>44470</v>
      </c>
      <c r="J410" s="74">
        <f>EFEITO!$J$410*EFEITO!$Y$410</f>
        <v>0</v>
      </c>
      <c r="K410" s="74">
        <f ca="1">EFEITO!$L$410*EFEITO!$Z$410</f>
        <v>30.443777500371308</v>
      </c>
      <c r="L410" s="74">
        <f>EFEITO!$N$410*EFEITO!$AA$410</f>
        <v>10.25265675784172</v>
      </c>
      <c r="M410" s="74">
        <f>$J$410-EFEITO!$K$410*EFEITO!$Y$410</f>
        <v>0</v>
      </c>
      <c r="N410" s="74">
        <f ca="1">$K$410-EFEITO!$M$410*EFEITO!$Z$410</f>
        <v>0</v>
      </c>
      <c r="O410" s="74">
        <f>$L$410-EFEITO!$O$410*EFEITO!$AA$410</f>
        <v>0</v>
      </c>
      <c r="P410" s="57"/>
      <c r="Q410" s="57"/>
      <c r="R410" s="57"/>
      <c r="S410" s="57"/>
      <c r="T410" s="57"/>
      <c r="U410" s="57"/>
      <c r="V410" s="57"/>
      <c r="W410" s="57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1.25" customHeight="1" x14ac:dyDescent="0.2">
      <c r="A411" s="53" t="s">
        <v>21</v>
      </c>
      <c r="B411" s="53" t="s">
        <v>35</v>
      </c>
      <c r="C411" s="53" t="s">
        <v>23</v>
      </c>
      <c r="D411" s="53" t="s">
        <v>51</v>
      </c>
      <c r="E411" s="53" t="s">
        <v>25</v>
      </c>
      <c r="F411" s="53" t="s">
        <v>25</v>
      </c>
      <c r="G411" s="53" t="s">
        <v>25</v>
      </c>
      <c r="H411" s="53" t="s">
        <v>25</v>
      </c>
      <c r="I411" s="73">
        <v>44501</v>
      </c>
      <c r="J411" s="74">
        <f>EFEITO!$J$411*EFEITO!$Y$411</f>
        <v>0</v>
      </c>
      <c r="K411" s="74">
        <f ca="1">EFEITO!$L$411*EFEITO!$Z$411</f>
        <v>29.461720161649652</v>
      </c>
      <c r="L411" s="74">
        <f>EFEITO!$N$411*EFEITO!$AA$411</f>
        <v>9.9219258946855344</v>
      </c>
      <c r="M411" s="74">
        <f>$J$411-EFEITO!$K$411*EFEITO!$Y$411</f>
        <v>0</v>
      </c>
      <c r="N411" s="74">
        <f ca="1">$K$411-EFEITO!$M$411*EFEITO!$Z$411</f>
        <v>0</v>
      </c>
      <c r="O411" s="74">
        <f>$L$411-EFEITO!$O$411*EFEITO!$AA$411</f>
        <v>0</v>
      </c>
      <c r="P411" s="57"/>
      <c r="Q411" s="57"/>
      <c r="R411" s="57"/>
      <c r="S411" s="57"/>
      <c r="T411" s="57"/>
      <c r="U411" s="57"/>
      <c r="V411" s="57"/>
      <c r="W411" s="57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1.25" customHeight="1" x14ac:dyDescent="0.2">
      <c r="A412" s="53" t="s">
        <v>21</v>
      </c>
      <c r="B412" s="53" t="s">
        <v>35</v>
      </c>
      <c r="C412" s="53" t="s">
        <v>23</v>
      </c>
      <c r="D412" s="53" t="s">
        <v>51</v>
      </c>
      <c r="E412" s="53" t="s">
        <v>25</v>
      </c>
      <c r="F412" s="53" t="s">
        <v>25</v>
      </c>
      <c r="G412" s="53" t="s">
        <v>25</v>
      </c>
      <c r="H412" s="53" t="s">
        <v>25</v>
      </c>
      <c r="I412" s="73">
        <v>44531</v>
      </c>
      <c r="J412" s="74">
        <f>EFEITO!$J$412*EFEITO!$Y$412</f>
        <v>0</v>
      </c>
      <c r="K412" s="74">
        <f ca="1">EFEITO!$L$412*EFEITO!$Z$412</f>
        <v>29.461720161649652</v>
      </c>
      <c r="L412" s="74">
        <f>EFEITO!$N$412*EFEITO!$AA$412</f>
        <v>9.9219258946855344</v>
      </c>
      <c r="M412" s="74">
        <f>$J$412-EFEITO!$K$412*EFEITO!$Y$412</f>
        <v>0</v>
      </c>
      <c r="N412" s="74">
        <f ca="1">$K$412-EFEITO!$M$412*EFEITO!$Z$412</f>
        <v>0</v>
      </c>
      <c r="O412" s="74">
        <f>$L$412-EFEITO!$O$412*EFEITO!$AA$412</f>
        <v>0</v>
      </c>
      <c r="P412" s="57"/>
      <c r="Q412" s="57"/>
      <c r="R412" s="57"/>
      <c r="S412" s="57"/>
      <c r="T412" s="57"/>
      <c r="U412" s="57"/>
      <c r="V412" s="57"/>
      <c r="W412" s="57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1.25" customHeight="1" x14ac:dyDescent="0.2">
      <c r="A413" s="53" t="s">
        <v>21</v>
      </c>
      <c r="B413" s="53" t="s">
        <v>35</v>
      </c>
      <c r="C413" s="53" t="s">
        <v>23</v>
      </c>
      <c r="D413" s="53" t="s">
        <v>51</v>
      </c>
      <c r="E413" s="53" t="s">
        <v>25</v>
      </c>
      <c r="F413" s="53" t="s">
        <v>25</v>
      </c>
      <c r="G413" s="53" t="s">
        <v>25</v>
      </c>
      <c r="H413" s="53" t="s">
        <v>25</v>
      </c>
      <c r="I413" s="73">
        <v>44562</v>
      </c>
      <c r="J413" s="74">
        <f>EFEITO!$J$413*EFEITO!$Y$413</f>
        <v>0</v>
      </c>
      <c r="K413" s="74">
        <f ca="1">EFEITO!$L$413*EFEITO!$Z$413</f>
        <v>29.461720161649652</v>
      </c>
      <c r="L413" s="74">
        <f>EFEITO!$N$413*EFEITO!$AA$413</f>
        <v>9.9219258946855344</v>
      </c>
      <c r="M413" s="74">
        <f>$J$413-EFEITO!$K$413*EFEITO!$Y$413</f>
        <v>0</v>
      </c>
      <c r="N413" s="74">
        <f ca="1">$K$413-EFEITO!$M$413*EFEITO!$Z$413</f>
        <v>0</v>
      </c>
      <c r="O413" s="74">
        <f>$L$413-EFEITO!$O$413*EFEITO!$AA$413</f>
        <v>0</v>
      </c>
      <c r="P413" s="57"/>
      <c r="Q413" s="57"/>
      <c r="R413" s="57"/>
      <c r="S413" s="57"/>
      <c r="T413" s="57"/>
      <c r="U413" s="57"/>
      <c r="V413" s="57"/>
      <c r="W413" s="57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1.25" customHeight="1" x14ac:dyDescent="0.2">
      <c r="A414" s="53" t="s">
        <v>21</v>
      </c>
      <c r="B414" s="53" t="s">
        <v>35</v>
      </c>
      <c r="C414" s="53" t="s">
        <v>23</v>
      </c>
      <c r="D414" s="53" t="s">
        <v>51</v>
      </c>
      <c r="E414" s="53" t="s">
        <v>25</v>
      </c>
      <c r="F414" s="53" t="s">
        <v>25</v>
      </c>
      <c r="G414" s="53" t="s">
        <v>25</v>
      </c>
      <c r="H414" s="53" t="s">
        <v>25</v>
      </c>
      <c r="I414" s="73">
        <v>44593</v>
      </c>
      <c r="J414" s="74">
        <f>EFEITO!$J$414*EFEITO!$Y$414</f>
        <v>0</v>
      </c>
      <c r="K414" s="74">
        <f ca="1">EFEITO!$L$414*EFEITO!$Z$414</f>
        <v>29.461720161649652</v>
      </c>
      <c r="L414" s="74">
        <f>EFEITO!$N$414*EFEITO!$AA$414</f>
        <v>9.9219258946855344</v>
      </c>
      <c r="M414" s="74">
        <f>$J$414-EFEITO!$K$414*EFEITO!$Y$414</f>
        <v>0</v>
      </c>
      <c r="N414" s="74">
        <f ca="1">$K$414-EFEITO!$M$414*EFEITO!$Z$414</f>
        <v>0</v>
      </c>
      <c r="O414" s="74">
        <f>$L$414-EFEITO!$O$414*EFEITO!$AA$414</f>
        <v>0</v>
      </c>
      <c r="P414" s="57"/>
      <c r="Q414" s="57"/>
      <c r="R414" s="57"/>
      <c r="S414" s="57"/>
      <c r="T414" s="57"/>
      <c r="U414" s="57"/>
      <c r="V414" s="57"/>
      <c r="W414" s="57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1.25" customHeight="1" x14ac:dyDescent="0.2">
      <c r="A415" s="53" t="s">
        <v>21</v>
      </c>
      <c r="B415" s="53" t="s">
        <v>35</v>
      </c>
      <c r="C415" s="53" t="s">
        <v>23</v>
      </c>
      <c r="D415" s="53" t="s">
        <v>51</v>
      </c>
      <c r="E415" s="53" t="s">
        <v>25</v>
      </c>
      <c r="F415" s="53" t="s">
        <v>25</v>
      </c>
      <c r="G415" s="53" t="s">
        <v>25</v>
      </c>
      <c r="H415" s="53" t="s">
        <v>25</v>
      </c>
      <c r="I415" s="73">
        <v>44621</v>
      </c>
      <c r="J415" s="74">
        <f>EFEITO!$J$415*EFEITO!$Y$415</f>
        <v>0</v>
      </c>
      <c r="K415" s="74">
        <f ca="1">EFEITO!$L$415*EFEITO!$Z$415</f>
        <v>29.461720161649652</v>
      </c>
      <c r="L415" s="74">
        <f>EFEITO!$N$415*EFEITO!$AA$415</f>
        <v>9.9219258946855344</v>
      </c>
      <c r="M415" s="74">
        <f>$J$415-EFEITO!$K$415*EFEITO!$Y$415</f>
        <v>0</v>
      </c>
      <c r="N415" s="74">
        <f ca="1">$K$415-EFEITO!$M$415*EFEITO!$Z$415</f>
        <v>0</v>
      </c>
      <c r="O415" s="74">
        <f>$L$415-EFEITO!$O$415*EFEITO!$AA$415</f>
        <v>0</v>
      </c>
      <c r="P415" s="57"/>
      <c r="Q415" s="57"/>
      <c r="R415" s="57"/>
      <c r="S415" s="57"/>
      <c r="T415" s="57"/>
      <c r="U415" s="57"/>
      <c r="V415" s="57"/>
      <c r="W415" s="57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1.25" customHeight="1" x14ac:dyDescent="0.2">
      <c r="A416" s="53" t="s">
        <v>21</v>
      </c>
      <c r="B416" s="53" t="s">
        <v>35</v>
      </c>
      <c r="C416" s="53" t="s">
        <v>23</v>
      </c>
      <c r="D416" s="53" t="s">
        <v>36</v>
      </c>
      <c r="E416" s="53" t="s">
        <v>25</v>
      </c>
      <c r="F416" s="53" t="s">
        <v>25</v>
      </c>
      <c r="G416" s="53" t="s">
        <v>25</v>
      </c>
      <c r="H416" s="53" t="s">
        <v>25</v>
      </c>
      <c r="I416" s="73">
        <v>44287</v>
      </c>
      <c r="J416" s="74">
        <f>EFEITO!$J$416*EFEITO!$Y$416</f>
        <v>0</v>
      </c>
      <c r="K416" s="74">
        <f ca="1">EFEITO!$L$416*EFEITO!$Z$416</f>
        <v>6442.2961420140573</v>
      </c>
      <c r="L416" s="74">
        <f>EFEITO!$N$416*EFEITO!$AA$416</f>
        <v>2169.5944623045702</v>
      </c>
      <c r="M416" s="74">
        <f>$J$416-EFEITO!$K$416*EFEITO!$Y$416</f>
        <v>0</v>
      </c>
      <c r="N416" s="74">
        <f ca="1">$K$416-EFEITO!$M$416*EFEITO!$Z$416</f>
        <v>0</v>
      </c>
      <c r="O416" s="74">
        <f>$L$416-EFEITO!$O$416*EFEITO!$AA$416</f>
        <v>0</v>
      </c>
      <c r="P416" s="57"/>
      <c r="Q416" s="57"/>
      <c r="R416" s="57"/>
      <c r="S416" s="57"/>
      <c r="T416" s="57"/>
      <c r="U416" s="57"/>
      <c r="V416" s="57"/>
      <c r="W416" s="57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1.25" customHeight="1" x14ac:dyDescent="0.2">
      <c r="A417" s="53" t="s">
        <v>28</v>
      </c>
      <c r="B417" s="53" t="s">
        <v>35</v>
      </c>
      <c r="C417" s="53" t="s">
        <v>23</v>
      </c>
      <c r="D417" s="53" t="s">
        <v>36</v>
      </c>
      <c r="E417" s="53" t="s">
        <v>25</v>
      </c>
      <c r="F417" s="53" t="s">
        <v>25</v>
      </c>
      <c r="G417" s="53" t="s">
        <v>25</v>
      </c>
      <c r="H417" s="53" t="s">
        <v>25</v>
      </c>
      <c r="I417" s="73">
        <v>44287</v>
      </c>
      <c r="J417" s="74">
        <f>EFEITO!$J$417*EFEITO!$Y$417</f>
        <v>0</v>
      </c>
      <c r="K417" s="74">
        <f ca="1">EFEITO!$L$417*EFEITO!$Z$417</f>
        <v>98.205733872165524</v>
      </c>
      <c r="L417" s="74">
        <f>EFEITO!$N$417*EFEITO!$AA$417</f>
        <v>33.073086315618454</v>
      </c>
      <c r="M417" s="74">
        <f>$J$417-EFEITO!$K$417*EFEITO!$Y$417</f>
        <v>0</v>
      </c>
      <c r="N417" s="74">
        <f ca="1">$K$417-EFEITO!$M$417*EFEITO!$Z$417</f>
        <v>0</v>
      </c>
      <c r="O417" s="74">
        <f>$L$417-EFEITO!$O$417*EFEITO!$AA$417</f>
        <v>0</v>
      </c>
      <c r="P417" s="57"/>
      <c r="Q417" s="57"/>
      <c r="R417" s="57"/>
      <c r="S417" s="57"/>
      <c r="T417" s="57"/>
      <c r="U417" s="57"/>
      <c r="V417" s="57"/>
      <c r="W417" s="57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1.25" customHeight="1" x14ac:dyDescent="0.2">
      <c r="A418" s="53" t="s">
        <v>21</v>
      </c>
      <c r="B418" s="53" t="s">
        <v>35</v>
      </c>
      <c r="C418" s="53" t="s">
        <v>23</v>
      </c>
      <c r="D418" s="53" t="s">
        <v>36</v>
      </c>
      <c r="E418" s="53" t="s">
        <v>25</v>
      </c>
      <c r="F418" s="53" t="s">
        <v>25</v>
      </c>
      <c r="G418" s="53" t="s">
        <v>25</v>
      </c>
      <c r="H418" s="53" t="s">
        <v>25</v>
      </c>
      <c r="I418" s="73">
        <v>44317</v>
      </c>
      <c r="J418" s="74">
        <f>EFEITO!$J$418*EFEITO!$Y$418</f>
        <v>0</v>
      </c>
      <c r="K418" s="74">
        <f ca="1">EFEITO!$L$418*EFEITO!$Z$418</f>
        <v>4613.7053773143361</v>
      </c>
      <c r="L418" s="74">
        <f>EFEITO!$N$418*EFEITO!$AA$418</f>
        <v>1553.773595107755</v>
      </c>
      <c r="M418" s="74">
        <f>$J$418-EFEITO!$K$418*EFEITO!$Y$418</f>
        <v>0</v>
      </c>
      <c r="N418" s="74">
        <f ca="1">$K$418-EFEITO!$M$418*EFEITO!$Z$418</f>
        <v>0</v>
      </c>
      <c r="O418" s="74">
        <f>$L$418-EFEITO!$O$418*EFEITO!$AA$418</f>
        <v>0</v>
      </c>
      <c r="P418" s="57"/>
      <c r="Q418" s="57"/>
      <c r="R418" s="57"/>
      <c r="S418" s="57"/>
      <c r="T418" s="57"/>
      <c r="U418" s="57"/>
      <c r="V418" s="57"/>
      <c r="W418" s="57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1.25" customHeight="1" x14ac:dyDescent="0.2">
      <c r="A419" s="53" t="s">
        <v>28</v>
      </c>
      <c r="B419" s="53" t="s">
        <v>35</v>
      </c>
      <c r="C419" s="53" t="s">
        <v>23</v>
      </c>
      <c r="D419" s="53" t="s">
        <v>36</v>
      </c>
      <c r="E419" s="53" t="s">
        <v>25</v>
      </c>
      <c r="F419" s="53" t="s">
        <v>25</v>
      </c>
      <c r="G419" s="53" t="s">
        <v>25</v>
      </c>
      <c r="H419" s="53" t="s">
        <v>25</v>
      </c>
      <c r="I419" s="73">
        <v>44317</v>
      </c>
      <c r="J419" s="74">
        <f>EFEITO!$J$419*EFEITO!$Y$419</f>
        <v>0</v>
      </c>
      <c r="K419" s="74">
        <f ca="1">EFEITO!$L$419*EFEITO!$Z$419</f>
        <v>641.2834421852408</v>
      </c>
      <c r="L419" s="74">
        <f>EFEITO!$N$419*EFEITO!$AA$419</f>
        <v>215.9672536409885</v>
      </c>
      <c r="M419" s="74">
        <f>$J$419-EFEITO!$K$419*EFEITO!$Y$419</f>
        <v>0</v>
      </c>
      <c r="N419" s="74">
        <f ca="1">$K$419-EFEITO!$M$419*EFEITO!$Z$419</f>
        <v>0</v>
      </c>
      <c r="O419" s="74">
        <f>$L$419-EFEITO!$O$419*EFEITO!$AA$419</f>
        <v>0</v>
      </c>
      <c r="P419" s="57"/>
      <c r="Q419" s="57"/>
      <c r="R419" s="57"/>
      <c r="S419" s="57"/>
      <c r="T419" s="57"/>
      <c r="U419" s="57"/>
      <c r="V419" s="57"/>
      <c r="W419" s="57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1.25" customHeight="1" x14ac:dyDescent="0.2">
      <c r="A420" s="53" t="s">
        <v>21</v>
      </c>
      <c r="B420" s="53" t="s">
        <v>35</v>
      </c>
      <c r="C420" s="53" t="s">
        <v>23</v>
      </c>
      <c r="D420" s="53" t="s">
        <v>36</v>
      </c>
      <c r="E420" s="53" t="s">
        <v>25</v>
      </c>
      <c r="F420" s="53" t="s">
        <v>25</v>
      </c>
      <c r="G420" s="53" t="s">
        <v>25</v>
      </c>
      <c r="H420" s="53" t="s">
        <v>25</v>
      </c>
      <c r="I420" s="73">
        <v>44348</v>
      </c>
      <c r="J420" s="74">
        <f>EFEITO!$J$420*EFEITO!$Y$420</f>
        <v>0</v>
      </c>
      <c r="K420" s="74">
        <f ca="1">EFEITO!$L$420*EFEITO!$Z$420</f>
        <v>3957.6910750482702</v>
      </c>
      <c r="L420" s="74">
        <f>EFEITO!$N$420*EFEITO!$AA$420</f>
        <v>1332.8453785194238</v>
      </c>
      <c r="M420" s="74">
        <f>$J$420-EFEITO!$K$420*EFEITO!$Y$420</f>
        <v>0</v>
      </c>
      <c r="N420" s="74">
        <f ca="1">$K$420-EFEITO!$M$420*EFEITO!$Z$420</f>
        <v>0</v>
      </c>
      <c r="O420" s="74">
        <f>$L$420-EFEITO!$O$420*EFEITO!$AA$420</f>
        <v>0</v>
      </c>
      <c r="P420" s="57"/>
      <c r="Q420" s="57"/>
      <c r="R420" s="57"/>
      <c r="S420" s="57"/>
      <c r="T420" s="57"/>
      <c r="U420" s="57"/>
      <c r="V420" s="57"/>
      <c r="W420" s="57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1.25" customHeight="1" x14ac:dyDescent="0.2">
      <c r="A421" s="53" t="s">
        <v>28</v>
      </c>
      <c r="B421" s="53" t="s">
        <v>35</v>
      </c>
      <c r="C421" s="53" t="s">
        <v>23</v>
      </c>
      <c r="D421" s="53" t="s">
        <v>36</v>
      </c>
      <c r="E421" s="53" t="s">
        <v>25</v>
      </c>
      <c r="F421" s="53" t="s">
        <v>25</v>
      </c>
      <c r="G421" s="53" t="s">
        <v>25</v>
      </c>
      <c r="H421" s="53" t="s">
        <v>25</v>
      </c>
      <c r="I421" s="73">
        <v>44348</v>
      </c>
      <c r="J421" s="74">
        <f>EFEITO!$J$421*EFEITO!$Y$421</f>
        <v>0</v>
      </c>
      <c r="K421" s="74">
        <f ca="1">EFEITO!$L$421*EFEITO!$Z$421</f>
        <v>779.75352694499418</v>
      </c>
      <c r="L421" s="74">
        <f>EFEITO!$N$421*EFEITO!$AA$421</f>
        <v>262.60030534601054</v>
      </c>
      <c r="M421" s="74">
        <f>$J$421-EFEITO!$K$421*EFEITO!$Y$421</f>
        <v>0</v>
      </c>
      <c r="N421" s="74">
        <f ca="1">$K$421-EFEITO!$M$421*EFEITO!$Z$421</f>
        <v>0</v>
      </c>
      <c r="O421" s="74">
        <f>$L$421-EFEITO!$O$421*EFEITO!$AA$421</f>
        <v>0</v>
      </c>
      <c r="P421" s="57"/>
      <c r="Q421" s="57"/>
      <c r="R421" s="57"/>
      <c r="S421" s="57"/>
      <c r="T421" s="57"/>
      <c r="U421" s="57"/>
      <c r="V421" s="57"/>
      <c r="W421" s="57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1.25" customHeight="1" x14ac:dyDescent="0.2">
      <c r="A422" s="53" t="s">
        <v>21</v>
      </c>
      <c r="B422" s="53" t="s">
        <v>35</v>
      </c>
      <c r="C422" s="53" t="s">
        <v>23</v>
      </c>
      <c r="D422" s="53" t="s">
        <v>36</v>
      </c>
      <c r="E422" s="53" t="s">
        <v>25</v>
      </c>
      <c r="F422" s="53" t="s">
        <v>25</v>
      </c>
      <c r="G422" s="53" t="s">
        <v>25</v>
      </c>
      <c r="H422" s="53" t="s">
        <v>25</v>
      </c>
      <c r="I422" s="73">
        <v>44378</v>
      </c>
      <c r="J422" s="74">
        <f>EFEITO!$J$422*EFEITO!$Y$422</f>
        <v>0</v>
      </c>
      <c r="K422" s="74">
        <f ca="1">EFEITO!$L$422*EFEITO!$Z$422</f>
        <v>3434.2545135096279</v>
      </c>
      <c r="L422" s="74">
        <f>EFEITO!$N$422*EFEITO!$AA$422</f>
        <v>1156.5658284571773</v>
      </c>
      <c r="M422" s="74">
        <f>$J$422-EFEITO!$K$422*EFEITO!$Y$422</f>
        <v>0</v>
      </c>
      <c r="N422" s="74">
        <f ca="1">$K$422-EFEITO!$M$422*EFEITO!$Z$422</f>
        <v>0</v>
      </c>
      <c r="O422" s="74">
        <f>$L$422-EFEITO!$O$422*EFEITO!$AA$422</f>
        <v>0</v>
      </c>
      <c r="P422" s="57"/>
      <c r="Q422" s="57"/>
      <c r="R422" s="57"/>
      <c r="S422" s="57"/>
      <c r="T422" s="57"/>
      <c r="U422" s="57"/>
      <c r="V422" s="57"/>
      <c r="W422" s="57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1.25" customHeight="1" x14ac:dyDescent="0.2">
      <c r="A423" s="53" t="s">
        <v>28</v>
      </c>
      <c r="B423" s="53" t="s">
        <v>35</v>
      </c>
      <c r="C423" s="53" t="s">
        <v>23</v>
      </c>
      <c r="D423" s="53" t="s">
        <v>36</v>
      </c>
      <c r="E423" s="53" t="s">
        <v>25</v>
      </c>
      <c r="F423" s="53" t="s">
        <v>25</v>
      </c>
      <c r="G423" s="53" t="s">
        <v>25</v>
      </c>
      <c r="H423" s="53" t="s">
        <v>25</v>
      </c>
      <c r="I423" s="73">
        <v>44378</v>
      </c>
      <c r="J423" s="74">
        <f>EFEITO!$J$423*EFEITO!$Y$423</f>
        <v>0</v>
      </c>
      <c r="K423" s="74">
        <f ca="1">EFEITO!$L$423*EFEITO!$Z$423</f>
        <v>547.9879950066836</v>
      </c>
      <c r="L423" s="74">
        <f>EFEITO!$N$423*EFEITO!$AA$423</f>
        <v>184.54782164115096</v>
      </c>
      <c r="M423" s="74">
        <f>$J$423-EFEITO!$K$423*EFEITO!$Y$423</f>
        <v>0</v>
      </c>
      <c r="N423" s="74">
        <f ca="1">$K$423-EFEITO!$M$423*EFEITO!$Z$423</f>
        <v>0</v>
      </c>
      <c r="O423" s="74">
        <f>$L$423-EFEITO!$O$423*EFEITO!$AA$423</f>
        <v>0</v>
      </c>
      <c r="P423" s="57"/>
      <c r="Q423" s="57"/>
      <c r="R423" s="57"/>
      <c r="S423" s="57"/>
      <c r="T423" s="57"/>
      <c r="U423" s="57"/>
      <c r="V423" s="57"/>
      <c r="W423" s="57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1.25" customHeight="1" x14ac:dyDescent="0.2">
      <c r="A424" s="53" t="s">
        <v>21</v>
      </c>
      <c r="B424" s="53" t="s">
        <v>35</v>
      </c>
      <c r="C424" s="53" t="s">
        <v>23</v>
      </c>
      <c r="D424" s="53" t="s">
        <v>36</v>
      </c>
      <c r="E424" s="53" t="s">
        <v>25</v>
      </c>
      <c r="F424" s="53" t="s">
        <v>25</v>
      </c>
      <c r="G424" s="53" t="s">
        <v>25</v>
      </c>
      <c r="H424" s="53" t="s">
        <v>25</v>
      </c>
      <c r="I424" s="73">
        <v>44409</v>
      </c>
      <c r="J424" s="74">
        <f>EFEITO!$J$424*EFEITO!$Y$424</f>
        <v>0</v>
      </c>
      <c r="K424" s="74">
        <f ca="1">EFEITO!$L$424*EFEITO!$Z$424</f>
        <v>4777.7089528808528</v>
      </c>
      <c r="L424" s="74">
        <f>EFEITO!$N$424*EFEITO!$AA$424</f>
        <v>1609.0056492548376</v>
      </c>
      <c r="M424" s="74">
        <f>$J$424-EFEITO!$K$424*EFEITO!$Y$424</f>
        <v>0</v>
      </c>
      <c r="N424" s="74">
        <f ca="1">$K$424-EFEITO!$M$424*EFEITO!$Z$424</f>
        <v>0</v>
      </c>
      <c r="O424" s="74">
        <f>$L$424-EFEITO!$O$424*EFEITO!$AA$424</f>
        <v>0</v>
      </c>
      <c r="P424" s="57"/>
      <c r="Q424" s="57"/>
      <c r="R424" s="57"/>
      <c r="S424" s="57"/>
      <c r="T424" s="57"/>
      <c r="U424" s="57"/>
      <c r="V424" s="57"/>
      <c r="W424" s="57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1.25" customHeight="1" x14ac:dyDescent="0.2">
      <c r="A425" s="53" t="s">
        <v>28</v>
      </c>
      <c r="B425" s="53" t="s">
        <v>35</v>
      </c>
      <c r="C425" s="53" t="s">
        <v>23</v>
      </c>
      <c r="D425" s="53" t="s">
        <v>36</v>
      </c>
      <c r="E425" s="53" t="s">
        <v>25</v>
      </c>
      <c r="F425" s="53" t="s">
        <v>25</v>
      </c>
      <c r="G425" s="53" t="s">
        <v>25</v>
      </c>
      <c r="H425" s="53" t="s">
        <v>25</v>
      </c>
      <c r="I425" s="73">
        <v>44409</v>
      </c>
      <c r="J425" s="74">
        <f>EFEITO!$J$425*EFEITO!$Y$425</f>
        <v>0</v>
      </c>
      <c r="K425" s="74">
        <f ca="1">EFEITO!$L$425*EFEITO!$Z$425</f>
        <v>129.6315687112585</v>
      </c>
      <c r="L425" s="74">
        <f>EFEITO!$N$425*EFEITO!$AA$425</f>
        <v>43.656473936616358</v>
      </c>
      <c r="M425" s="74">
        <f>$J$425-EFEITO!$K$425*EFEITO!$Y$425</f>
        <v>0</v>
      </c>
      <c r="N425" s="74">
        <f ca="1">$K$425-EFEITO!$M$425*EFEITO!$Z$425</f>
        <v>0</v>
      </c>
      <c r="O425" s="74">
        <f>$L$425-EFEITO!$O$425*EFEITO!$AA$425</f>
        <v>0</v>
      </c>
      <c r="P425" s="57"/>
      <c r="Q425" s="57"/>
      <c r="R425" s="57"/>
      <c r="S425" s="57"/>
      <c r="T425" s="57"/>
      <c r="U425" s="57"/>
      <c r="V425" s="57"/>
      <c r="W425" s="57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1.25" customHeight="1" x14ac:dyDescent="0.2">
      <c r="A426" s="53" t="s">
        <v>21</v>
      </c>
      <c r="B426" s="53" t="s">
        <v>35</v>
      </c>
      <c r="C426" s="53" t="s">
        <v>23</v>
      </c>
      <c r="D426" s="53" t="s">
        <v>36</v>
      </c>
      <c r="E426" s="53" t="s">
        <v>25</v>
      </c>
      <c r="F426" s="53" t="s">
        <v>25</v>
      </c>
      <c r="G426" s="53" t="s">
        <v>25</v>
      </c>
      <c r="H426" s="53" t="s">
        <v>25</v>
      </c>
      <c r="I426" s="73">
        <v>44440</v>
      </c>
      <c r="J426" s="74">
        <f>EFEITO!$J$426*EFEITO!$Y$426</f>
        <v>0</v>
      </c>
      <c r="K426" s="74">
        <f ca="1">EFEITO!$L$426*EFEITO!$Z$426</f>
        <v>5878.5952295878278</v>
      </c>
      <c r="L426" s="74">
        <f>EFEITO!$N$426*EFEITO!$AA$426</f>
        <v>1979.7549468529205</v>
      </c>
      <c r="M426" s="74">
        <f>$J$426-EFEITO!$K$426*EFEITO!$Y$426</f>
        <v>0</v>
      </c>
      <c r="N426" s="74">
        <f ca="1">$K$426-EFEITO!$M$426*EFEITO!$Z$426</f>
        <v>0</v>
      </c>
      <c r="O426" s="74">
        <f>$L$426-EFEITO!$O$426*EFEITO!$AA$426</f>
        <v>0</v>
      </c>
      <c r="P426" s="57"/>
      <c r="Q426" s="57"/>
      <c r="R426" s="57"/>
      <c r="S426" s="57"/>
      <c r="T426" s="57"/>
      <c r="U426" s="57"/>
      <c r="V426" s="57"/>
      <c r="W426" s="57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1.25" customHeight="1" x14ac:dyDescent="0.2">
      <c r="A427" s="53" t="s">
        <v>28</v>
      </c>
      <c r="B427" s="53" t="s">
        <v>35</v>
      </c>
      <c r="C427" s="53" t="s">
        <v>23</v>
      </c>
      <c r="D427" s="53" t="s">
        <v>36</v>
      </c>
      <c r="E427" s="53" t="s">
        <v>25</v>
      </c>
      <c r="F427" s="53" t="s">
        <v>25</v>
      </c>
      <c r="G427" s="53" t="s">
        <v>25</v>
      </c>
      <c r="H427" s="53" t="s">
        <v>25</v>
      </c>
      <c r="I427" s="73">
        <v>44440</v>
      </c>
      <c r="J427" s="74">
        <f>EFEITO!$J$427*EFEITO!$Y$427</f>
        <v>0</v>
      </c>
      <c r="K427" s="74">
        <f ca="1">EFEITO!$L$427*EFEITO!$Z$427</f>
        <v>98.205733872165524</v>
      </c>
      <c r="L427" s="74">
        <f>EFEITO!$N$427*EFEITO!$AA$427</f>
        <v>33.073086315618454</v>
      </c>
      <c r="M427" s="74">
        <f>$J$427-EFEITO!$K$427*EFEITO!$Y$427</f>
        <v>0</v>
      </c>
      <c r="N427" s="74">
        <f ca="1">$K$427-EFEITO!$M$427*EFEITO!$Z$427</f>
        <v>0</v>
      </c>
      <c r="O427" s="74">
        <f>$L$427-EFEITO!$O$427*EFEITO!$AA$427</f>
        <v>0</v>
      </c>
      <c r="P427" s="57"/>
      <c r="Q427" s="57"/>
      <c r="R427" s="57"/>
      <c r="S427" s="57"/>
      <c r="T427" s="57"/>
      <c r="U427" s="57"/>
      <c r="V427" s="57"/>
      <c r="W427" s="57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1.25" customHeight="1" x14ac:dyDescent="0.2">
      <c r="A428" s="53" t="s">
        <v>21</v>
      </c>
      <c r="B428" s="53" t="s">
        <v>35</v>
      </c>
      <c r="C428" s="53" t="s">
        <v>23</v>
      </c>
      <c r="D428" s="53" t="s">
        <v>36</v>
      </c>
      <c r="E428" s="53" t="s">
        <v>25</v>
      </c>
      <c r="F428" s="53" t="s">
        <v>25</v>
      </c>
      <c r="G428" s="53" t="s">
        <v>25</v>
      </c>
      <c r="H428" s="53" t="s">
        <v>25</v>
      </c>
      <c r="I428" s="73">
        <v>44470</v>
      </c>
      <c r="J428" s="74">
        <f>EFEITO!$J$428*EFEITO!$Y$428</f>
        <v>0</v>
      </c>
      <c r="K428" s="74">
        <f ca="1">EFEITO!$L$428*EFEITO!$Z$428</f>
        <v>5545.6777917611871</v>
      </c>
      <c r="L428" s="74">
        <f>EFEITO!$N$428*EFEITO!$AA$428</f>
        <v>1867.6371842429739</v>
      </c>
      <c r="M428" s="74">
        <f>$J$428-EFEITO!$K$428*EFEITO!$Y$428</f>
        <v>0</v>
      </c>
      <c r="N428" s="74">
        <f ca="1">$K$428-EFEITO!$M$428*EFEITO!$Z$428</f>
        <v>0</v>
      </c>
      <c r="O428" s="74">
        <f>$L$428-EFEITO!$O$428*EFEITO!$AA$428</f>
        <v>0</v>
      </c>
      <c r="P428" s="57"/>
      <c r="Q428" s="57"/>
      <c r="R428" s="57"/>
      <c r="S428" s="57"/>
      <c r="T428" s="57"/>
      <c r="U428" s="57"/>
      <c r="V428" s="57"/>
      <c r="W428" s="57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1.25" customHeight="1" x14ac:dyDescent="0.2">
      <c r="A429" s="53" t="s">
        <v>28</v>
      </c>
      <c r="B429" s="53" t="s">
        <v>35</v>
      </c>
      <c r="C429" s="53" t="s">
        <v>23</v>
      </c>
      <c r="D429" s="53" t="s">
        <v>36</v>
      </c>
      <c r="E429" s="53" t="s">
        <v>25</v>
      </c>
      <c r="F429" s="53" t="s">
        <v>25</v>
      </c>
      <c r="G429" s="53" t="s">
        <v>25</v>
      </c>
      <c r="H429" s="53" t="s">
        <v>25</v>
      </c>
      <c r="I429" s="73">
        <v>44470</v>
      </c>
      <c r="J429" s="74">
        <f>EFEITO!$J$429*EFEITO!$Y$429</f>
        <v>0</v>
      </c>
      <c r="K429" s="74">
        <f ca="1">EFEITO!$L$429*EFEITO!$Z$429</f>
        <v>423.26671298903335</v>
      </c>
      <c r="L429" s="74">
        <f>EFEITO!$N$429*EFEITO!$AA$429</f>
        <v>142.54500202031554</v>
      </c>
      <c r="M429" s="74">
        <f>$J$429-EFEITO!$K$429*EFEITO!$Y$429</f>
        <v>0</v>
      </c>
      <c r="N429" s="74">
        <f ca="1">$K$429-EFEITO!$M$429*EFEITO!$Z$429</f>
        <v>0</v>
      </c>
      <c r="O429" s="74">
        <f>$L$429-EFEITO!$O$429*EFEITO!$AA$429</f>
        <v>0</v>
      </c>
      <c r="P429" s="57"/>
      <c r="Q429" s="57"/>
      <c r="R429" s="57"/>
      <c r="S429" s="57"/>
      <c r="T429" s="57"/>
      <c r="U429" s="57"/>
      <c r="V429" s="57"/>
      <c r="W429" s="57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1.25" customHeight="1" x14ac:dyDescent="0.2">
      <c r="A430" s="53" t="s">
        <v>21</v>
      </c>
      <c r="B430" s="53" t="s">
        <v>35</v>
      </c>
      <c r="C430" s="53" t="s">
        <v>23</v>
      </c>
      <c r="D430" s="53" t="s">
        <v>36</v>
      </c>
      <c r="E430" s="53" t="s">
        <v>25</v>
      </c>
      <c r="F430" s="53" t="s">
        <v>25</v>
      </c>
      <c r="G430" s="53" t="s">
        <v>25</v>
      </c>
      <c r="H430" s="53" t="s">
        <v>25</v>
      </c>
      <c r="I430" s="73">
        <v>44501</v>
      </c>
      <c r="J430" s="74">
        <f>EFEITO!$J$430*EFEITO!$Y$430</f>
        <v>0</v>
      </c>
      <c r="K430" s="74">
        <f ca="1">EFEITO!$L$430*EFEITO!$Z$430</f>
        <v>5727.3583994246928</v>
      </c>
      <c r="L430" s="74">
        <f>EFEITO!$N$430*EFEITO!$AA$430</f>
        <v>1928.822393926868</v>
      </c>
      <c r="M430" s="74">
        <f>$J$430-EFEITO!$K$430*EFEITO!$Y$430</f>
        <v>0</v>
      </c>
      <c r="N430" s="74">
        <f ca="1">$K$430-EFEITO!$M$430*EFEITO!$Z$430</f>
        <v>0</v>
      </c>
      <c r="O430" s="74">
        <f>$L$430-EFEITO!$O$430*EFEITO!$AA$430</f>
        <v>0</v>
      </c>
      <c r="P430" s="57"/>
      <c r="Q430" s="57"/>
      <c r="R430" s="57"/>
      <c r="S430" s="57"/>
      <c r="T430" s="57"/>
      <c r="U430" s="57"/>
      <c r="V430" s="57"/>
      <c r="W430" s="57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1.25" customHeight="1" x14ac:dyDescent="0.2">
      <c r="A431" s="53" t="s">
        <v>28</v>
      </c>
      <c r="B431" s="53" t="s">
        <v>35</v>
      </c>
      <c r="C431" s="53" t="s">
        <v>23</v>
      </c>
      <c r="D431" s="53" t="s">
        <v>36</v>
      </c>
      <c r="E431" s="53" t="s">
        <v>25</v>
      </c>
      <c r="F431" s="53" t="s">
        <v>25</v>
      </c>
      <c r="G431" s="53" t="s">
        <v>25</v>
      </c>
      <c r="H431" s="53" t="s">
        <v>25</v>
      </c>
      <c r="I431" s="73">
        <v>44501</v>
      </c>
      <c r="J431" s="74">
        <f>EFEITO!$J$431*EFEITO!$Y$431</f>
        <v>0</v>
      </c>
      <c r="K431" s="74">
        <f ca="1">EFEITO!$L$431*EFEITO!$Z$431</f>
        <v>531.29302024841547</v>
      </c>
      <c r="L431" s="74">
        <f>EFEITO!$N$431*EFEITO!$AA$431</f>
        <v>178.92539696749583</v>
      </c>
      <c r="M431" s="74">
        <f>$J$431-EFEITO!$K$431*EFEITO!$Y$431</f>
        <v>0</v>
      </c>
      <c r="N431" s="74">
        <f ca="1">$K$431-EFEITO!$M$431*EFEITO!$Z$431</f>
        <v>0</v>
      </c>
      <c r="O431" s="74">
        <f>$L$431-EFEITO!$O$431*EFEITO!$AA$431</f>
        <v>0</v>
      </c>
      <c r="P431" s="57"/>
      <c r="Q431" s="57"/>
      <c r="R431" s="57"/>
      <c r="S431" s="57"/>
      <c r="T431" s="57"/>
      <c r="U431" s="57"/>
      <c r="V431" s="57"/>
      <c r="W431" s="57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1.25" customHeight="1" x14ac:dyDescent="0.2">
      <c r="A432" s="53" t="s">
        <v>21</v>
      </c>
      <c r="B432" s="53" t="s">
        <v>35</v>
      </c>
      <c r="C432" s="53" t="s">
        <v>23</v>
      </c>
      <c r="D432" s="53" t="s">
        <v>36</v>
      </c>
      <c r="E432" s="53" t="s">
        <v>25</v>
      </c>
      <c r="F432" s="53" t="s">
        <v>25</v>
      </c>
      <c r="G432" s="53" t="s">
        <v>25</v>
      </c>
      <c r="H432" s="53" t="s">
        <v>25</v>
      </c>
      <c r="I432" s="73">
        <v>44531</v>
      </c>
      <c r="J432" s="74">
        <f>EFEITO!$J$432*EFEITO!$Y$432</f>
        <v>0</v>
      </c>
      <c r="K432" s="74">
        <f ca="1">EFEITO!$L$432*EFEITO!$Z$432</f>
        <v>6875.3834283903079</v>
      </c>
      <c r="L432" s="74">
        <f>EFEITO!$N$432*EFEITO!$AA$432</f>
        <v>2315.4467729564481</v>
      </c>
      <c r="M432" s="74">
        <f>$J$432-EFEITO!$K$432*EFEITO!$Y$432</f>
        <v>0</v>
      </c>
      <c r="N432" s="74">
        <f ca="1">$K$432-EFEITO!$M$432*EFEITO!$Z$432</f>
        <v>0</v>
      </c>
      <c r="O432" s="74">
        <f>$L$432-EFEITO!$O$432*EFEITO!$AA$432</f>
        <v>0</v>
      </c>
      <c r="P432" s="57"/>
      <c r="Q432" s="57"/>
      <c r="R432" s="57"/>
      <c r="S432" s="57"/>
      <c r="T432" s="57"/>
      <c r="U432" s="57"/>
      <c r="V432" s="57"/>
      <c r="W432" s="57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1.25" customHeight="1" x14ac:dyDescent="0.2">
      <c r="A433" s="53" t="s">
        <v>28</v>
      </c>
      <c r="B433" s="53" t="s">
        <v>35</v>
      </c>
      <c r="C433" s="53" t="s">
        <v>23</v>
      </c>
      <c r="D433" s="53" t="s">
        <v>36</v>
      </c>
      <c r="E433" s="53" t="s">
        <v>25</v>
      </c>
      <c r="F433" s="53" t="s">
        <v>25</v>
      </c>
      <c r="G433" s="53" t="s">
        <v>25</v>
      </c>
      <c r="H433" s="53" t="s">
        <v>25</v>
      </c>
      <c r="I433" s="73">
        <v>44531</v>
      </c>
      <c r="J433" s="74">
        <f>EFEITO!$J$433*EFEITO!$Y$433</f>
        <v>0</v>
      </c>
      <c r="K433" s="74">
        <f ca="1">EFEITO!$L$433*EFEITO!$Z$433</f>
        <v>98.205733872165524</v>
      </c>
      <c r="L433" s="74">
        <f>EFEITO!$N$433*EFEITO!$AA$433</f>
        <v>33.073086315618454</v>
      </c>
      <c r="M433" s="74">
        <f>$J$433-EFEITO!$K$433*EFEITO!$Y$433</f>
        <v>0</v>
      </c>
      <c r="N433" s="74">
        <f ca="1">$K$433-EFEITO!$M$433*EFEITO!$Z$433</f>
        <v>0</v>
      </c>
      <c r="O433" s="74">
        <f>$L$433-EFEITO!$O$433*EFEITO!$AA$433</f>
        <v>0</v>
      </c>
      <c r="P433" s="57"/>
      <c r="Q433" s="57"/>
      <c r="R433" s="57"/>
      <c r="S433" s="57"/>
      <c r="T433" s="57"/>
      <c r="U433" s="57"/>
      <c r="V433" s="57"/>
      <c r="W433" s="57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1.25" customHeight="1" x14ac:dyDescent="0.2">
      <c r="A434" s="53" t="s">
        <v>21</v>
      </c>
      <c r="B434" s="53" t="s">
        <v>35</v>
      </c>
      <c r="C434" s="53" t="s">
        <v>23</v>
      </c>
      <c r="D434" s="53" t="s">
        <v>36</v>
      </c>
      <c r="E434" s="53" t="s">
        <v>25</v>
      </c>
      <c r="F434" s="53" t="s">
        <v>25</v>
      </c>
      <c r="G434" s="53" t="s">
        <v>25</v>
      </c>
      <c r="H434" s="53" t="s">
        <v>25</v>
      </c>
      <c r="I434" s="73">
        <v>44562</v>
      </c>
      <c r="J434" s="74">
        <f>EFEITO!$J$434*EFEITO!$Y$434</f>
        <v>0</v>
      </c>
      <c r="K434" s="74">
        <f ca="1">EFEITO!$L$434*EFEITO!$Z$434</f>
        <v>8006.7134825976545</v>
      </c>
      <c r="L434" s="74">
        <f>EFEITO!$N$434*EFEITO!$AA$434</f>
        <v>2696.4487273123723</v>
      </c>
      <c r="M434" s="74">
        <f>$J$434-EFEITO!$K$434*EFEITO!$Y$434</f>
        <v>0</v>
      </c>
      <c r="N434" s="74">
        <f ca="1">$K$434-EFEITO!$M$434*EFEITO!$Z$434</f>
        <v>0</v>
      </c>
      <c r="O434" s="74">
        <f>$L$434-EFEITO!$O$434*EFEITO!$AA$434</f>
        <v>0</v>
      </c>
      <c r="P434" s="57"/>
      <c r="Q434" s="57"/>
      <c r="R434" s="57"/>
      <c r="S434" s="57"/>
      <c r="T434" s="57"/>
      <c r="U434" s="57"/>
      <c r="V434" s="57"/>
      <c r="W434" s="57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1.25" customHeight="1" x14ac:dyDescent="0.2">
      <c r="A435" s="53" t="s">
        <v>28</v>
      </c>
      <c r="B435" s="53" t="s">
        <v>35</v>
      </c>
      <c r="C435" s="53" t="s">
        <v>23</v>
      </c>
      <c r="D435" s="53" t="s">
        <v>36</v>
      </c>
      <c r="E435" s="53" t="s">
        <v>25</v>
      </c>
      <c r="F435" s="53" t="s">
        <v>25</v>
      </c>
      <c r="G435" s="53" t="s">
        <v>25</v>
      </c>
      <c r="H435" s="53" t="s">
        <v>25</v>
      </c>
      <c r="I435" s="73">
        <v>44562</v>
      </c>
      <c r="J435" s="74">
        <f>EFEITO!$J$435*EFEITO!$Y$435</f>
        <v>0</v>
      </c>
      <c r="K435" s="74">
        <f ca="1">EFEITO!$L$435*EFEITO!$Z$435</f>
        <v>98.205733872165524</v>
      </c>
      <c r="L435" s="74">
        <f>EFEITO!$N$435*EFEITO!$AA$435</f>
        <v>33.073086315618454</v>
      </c>
      <c r="M435" s="74">
        <f>$J$435-EFEITO!$K$435*EFEITO!$Y$435</f>
        <v>0</v>
      </c>
      <c r="N435" s="74">
        <f ca="1">$K$435-EFEITO!$M$435*EFEITO!$Z$435</f>
        <v>0</v>
      </c>
      <c r="O435" s="74">
        <f>$L$435-EFEITO!$O$435*EFEITO!$AA$435</f>
        <v>0</v>
      </c>
      <c r="P435" s="57"/>
      <c r="Q435" s="57"/>
      <c r="R435" s="57"/>
      <c r="S435" s="57"/>
      <c r="T435" s="57"/>
      <c r="U435" s="57"/>
      <c r="V435" s="57"/>
      <c r="W435" s="57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1.25" customHeight="1" x14ac:dyDescent="0.2">
      <c r="A436" s="53" t="s">
        <v>21</v>
      </c>
      <c r="B436" s="53" t="s">
        <v>35</v>
      </c>
      <c r="C436" s="53" t="s">
        <v>23</v>
      </c>
      <c r="D436" s="53" t="s">
        <v>36</v>
      </c>
      <c r="E436" s="53" t="s">
        <v>25</v>
      </c>
      <c r="F436" s="53" t="s">
        <v>25</v>
      </c>
      <c r="G436" s="53" t="s">
        <v>25</v>
      </c>
      <c r="H436" s="53" t="s">
        <v>25</v>
      </c>
      <c r="I436" s="73">
        <v>44593</v>
      </c>
      <c r="J436" s="74">
        <f>EFEITO!$J$436*EFEITO!$Y$436</f>
        <v>0</v>
      </c>
      <c r="K436" s="74">
        <f ca="1">EFEITO!$L$436*EFEITO!$Z$436</f>
        <v>9156.7026262407126</v>
      </c>
      <c r="L436" s="74">
        <f>EFEITO!$N$436*EFEITO!$AA$436</f>
        <v>3083.7345680682643</v>
      </c>
      <c r="M436" s="74">
        <f>$J$436-EFEITO!$K$436*EFEITO!$Y$436</f>
        <v>0</v>
      </c>
      <c r="N436" s="74">
        <f ca="1">$K$436-EFEITO!$M$436*EFEITO!$Z$436</f>
        <v>0</v>
      </c>
      <c r="O436" s="74">
        <f>$L$436-EFEITO!$O$436*EFEITO!$AA$436</f>
        <v>0</v>
      </c>
      <c r="P436" s="57"/>
      <c r="Q436" s="57"/>
      <c r="R436" s="57"/>
      <c r="S436" s="57"/>
      <c r="T436" s="57"/>
      <c r="U436" s="57"/>
      <c r="V436" s="57"/>
      <c r="W436" s="57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1.25" customHeight="1" x14ac:dyDescent="0.2">
      <c r="A437" s="53" t="s">
        <v>28</v>
      </c>
      <c r="B437" s="53" t="s">
        <v>35</v>
      </c>
      <c r="C437" s="53" t="s">
        <v>23</v>
      </c>
      <c r="D437" s="53" t="s">
        <v>36</v>
      </c>
      <c r="E437" s="53" t="s">
        <v>25</v>
      </c>
      <c r="F437" s="53" t="s">
        <v>25</v>
      </c>
      <c r="G437" s="53" t="s">
        <v>25</v>
      </c>
      <c r="H437" s="53" t="s">
        <v>25</v>
      </c>
      <c r="I437" s="73">
        <v>44593</v>
      </c>
      <c r="J437" s="74">
        <f>EFEITO!$J$437*EFEITO!$Y$437</f>
        <v>0</v>
      </c>
      <c r="K437" s="74">
        <f ca="1">EFEITO!$L$437*EFEITO!$Z$437</f>
        <v>98.205733872165524</v>
      </c>
      <c r="L437" s="74">
        <f>EFEITO!$N$437*EFEITO!$AA$437</f>
        <v>33.073086315618454</v>
      </c>
      <c r="M437" s="74">
        <f>$J$437-EFEITO!$K$437*EFEITO!$Y$437</f>
        <v>0</v>
      </c>
      <c r="N437" s="74">
        <f ca="1">$K$437-EFEITO!$M$437*EFEITO!$Z$437</f>
        <v>0</v>
      </c>
      <c r="O437" s="74">
        <f>$L$437-EFEITO!$O$437*EFEITO!$AA$437</f>
        <v>0</v>
      </c>
      <c r="P437" s="57"/>
      <c r="Q437" s="57"/>
      <c r="R437" s="57"/>
      <c r="S437" s="57"/>
      <c r="T437" s="57"/>
      <c r="U437" s="57"/>
      <c r="V437" s="57"/>
      <c r="W437" s="57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1.25" customHeight="1" x14ac:dyDescent="0.2">
      <c r="A438" s="53" t="s">
        <v>21</v>
      </c>
      <c r="B438" s="53" t="s">
        <v>35</v>
      </c>
      <c r="C438" s="53" t="s">
        <v>23</v>
      </c>
      <c r="D438" s="53" t="s">
        <v>36</v>
      </c>
      <c r="E438" s="53" t="s">
        <v>25</v>
      </c>
      <c r="F438" s="53" t="s">
        <v>25</v>
      </c>
      <c r="G438" s="53" t="s">
        <v>25</v>
      </c>
      <c r="H438" s="53" t="s">
        <v>25</v>
      </c>
      <c r="I438" s="73">
        <v>44621</v>
      </c>
      <c r="J438" s="74">
        <f>EFEITO!$J$438*EFEITO!$Y$438</f>
        <v>0</v>
      </c>
      <c r="K438" s="74">
        <f ca="1">EFEITO!$L$438*EFEITO!$Z$438</f>
        <v>10373.471668916844</v>
      </c>
      <c r="L438" s="74">
        <f>EFEITO!$N$438*EFEITO!$AA$438</f>
        <v>3493.5101075187772</v>
      </c>
      <c r="M438" s="74">
        <f>$J$438-EFEITO!$K$438*EFEITO!$Y$438</f>
        <v>0</v>
      </c>
      <c r="N438" s="74">
        <f ca="1">$K$438-EFEITO!$M$438*EFEITO!$Z$438</f>
        <v>0</v>
      </c>
      <c r="O438" s="74">
        <f>$L$438-EFEITO!$O$438*EFEITO!$AA$438</f>
        <v>0</v>
      </c>
      <c r="P438" s="57"/>
      <c r="Q438" s="57"/>
      <c r="R438" s="57"/>
      <c r="S438" s="57"/>
      <c r="T438" s="57"/>
      <c r="U438" s="57"/>
      <c r="V438" s="57"/>
      <c r="W438" s="57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1.25" customHeight="1" x14ac:dyDescent="0.2">
      <c r="A439" s="53" t="s">
        <v>28</v>
      </c>
      <c r="B439" s="53" t="s">
        <v>35</v>
      </c>
      <c r="C439" s="53" t="s">
        <v>23</v>
      </c>
      <c r="D439" s="53" t="s">
        <v>36</v>
      </c>
      <c r="E439" s="53" t="s">
        <v>25</v>
      </c>
      <c r="F439" s="53" t="s">
        <v>25</v>
      </c>
      <c r="G439" s="53" t="s">
        <v>25</v>
      </c>
      <c r="H439" s="53" t="s">
        <v>25</v>
      </c>
      <c r="I439" s="73">
        <v>44621</v>
      </c>
      <c r="J439" s="74">
        <f>EFEITO!$J$439*EFEITO!$Y$439</f>
        <v>0</v>
      </c>
      <c r="K439" s="74">
        <f ca="1">EFEITO!$L$439*EFEITO!$Z$439</f>
        <v>98.205733872165524</v>
      </c>
      <c r="L439" s="74">
        <f>EFEITO!$N$439*EFEITO!$AA$439</f>
        <v>33.073086315618454</v>
      </c>
      <c r="M439" s="74">
        <f>$J$439-EFEITO!$K$439*EFEITO!$Y$439</f>
        <v>0</v>
      </c>
      <c r="N439" s="74">
        <f ca="1">$K$439-EFEITO!$M$439*EFEITO!$Z$439</f>
        <v>0</v>
      </c>
      <c r="O439" s="74">
        <f>$L$439-EFEITO!$O$439*EFEITO!$AA$439</f>
        <v>0</v>
      </c>
      <c r="P439" s="57"/>
      <c r="Q439" s="57"/>
      <c r="R439" s="57"/>
      <c r="S439" s="57"/>
      <c r="T439" s="57"/>
      <c r="U439" s="57"/>
      <c r="V439" s="57"/>
      <c r="W439" s="57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1.25" customHeight="1" x14ac:dyDescent="0.2">
      <c r="A440" s="53" t="s">
        <v>21</v>
      </c>
      <c r="B440" s="53" t="s">
        <v>35</v>
      </c>
      <c r="C440" s="53" t="s">
        <v>23</v>
      </c>
      <c r="D440" s="53" t="s">
        <v>45</v>
      </c>
      <c r="E440" s="53" t="s">
        <v>25</v>
      </c>
      <c r="F440" s="53" t="s">
        <v>25</v>
      </c>
      <c r="G440" s="53" t="s">
        <v>25</v>
      </c>
      <c r="H440" s="53" t="s">
        <v>25</v>
      </c>
      <c r="I440" s="73">
        <v>44287</v>
      </c>
      <c r="J440" s="74">
        <f>EFEITO!$J$440*EFEITO!$Y$440</f>
        <v>0</v>
      </c>
      <c r="K440" s="74">
        <f ca="1">EFEITO!$L$440*EFEITO!$Z$440</f>
        <v>20743.997165817524</v>
      </c>
      <c r="L440" s="74">
        <f>EFEITO!$N$440*EFEITO!$AA$440</f>
        <v>6986.0280224480857</v>
      </c>
      <c r="M440" s="74">
        <f>$J$440-EFEITO!$K$440*EFEITO!$Y$440</f>
        <v>0</v>
      </c>
      <c r="N440" s="74">
        <f ca="1">$K$440-EFEITO!$M$440*EFEITO!$Z$440</f>
        <v>0</v>
      </c>
      <c r="O440" s="74">
        <f>$L$440-EFEITO!$O$440*EFEITO!$AA$440</f>
        <v>0</v>
      </c>
      <c r="P440" s="57"/>
      <c r="Q440" s="57"/>
      <c r="R440" s="57"/>
      <c r="S440" s="57"/>
      <c r="T440" s="57"/>
      <c r="U440" s="57"/>
      <c r="V440" s="57"/>
      <c r="W440" s="57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1.25" customHeight="1" x14ac:dyDescent="0.2">
      <c r="A441" s="53" t="s">
        <v>21</v>
      </c>
      <c r="B441" s="53" t="s">
        <v>35</v>
      </c>
      <c r="C441" s="53" t="s">
        <v>23</v>
      </c>
      <c r="D441" s="53" t="s">
        <v>45</v>
      </c>
      <c r="E441" s="53" t="s">
        <v>25</v>
      </c>
      <c r="F441" s="53" t="s">
        <v>25</v>
      </c>
      <c r="G441" s="53" t="s">
        <v>25</v>
      </c>
      <c r="H441" s="53" t="s">
        <v>25</v>
      </c>
      <c r="I441" s="73">
        <v>44317</v>
      </c>
      <c r="J441" s="74">
        <f>EFEITO!$J$441*EFEITO!$Y$441</f>
        <v>0</v>
      </c>
      <c r="K441" s="74">
        <f ca="1">EFEITO!$L$441*EFEITO!$Z$441</f>
        <v>15712.917419546482</v>
      </c>
      <c r="L441" s="74">
        <f>EFEITO!$N$441*EFEITO!$AA$441</f>
        <v>5291.6938104989522</v>
      </c>
      <c r="M441" s="74">
        <f>$J$441-EFEITO!$K$441*EFEITO!$Y$441</f>
        <v>0</v>
      </c>
      <c r="N441" s="74">
        <f ca="1">$K$441-EFEITO!$M$441*EFEITO!$Z$441</f>
        <v>0</v>
      </c>
      <c r="O441" s="74">
        <f>$L$441-EFEITO!$O$441*EFEITO!$AA$441</f>
        <v>0</v>
      </c>
      <c r="P441" s="57"/>
      <c r="Q441" s="57"/>
      <c r="R441" s="57"/>
      <c r="S441" s="57"/>
      <c r="T441" s="57"/>
      <c r="U441" s="57"/>
      <c r="V441" s="57"/>
      <c r="W441" s="57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1.25" customHeight="1" x14ac:dyDescent="0.2">
      <c r="A442" s="53" t="s">
        <v>21</v>
      </c>
      <c r="B442" s="53" t="s">
        <v>35</v>
      </c>
      <c r="C442" s="53" t="s">
        <v>23</v>
      </c>
      <c r="D442" s="53" t="s">
        <v>45</v>
      </c>
      <c r="E442" s="53" t="s">
        <v>25</v>
      </c>
      <c r="F442" s="53" t="s">
        <v>25</v>
      </c>
      <c r="G442" s="53" t="s">
        <v>25</v>
      </c>
      <c r="H442" s="53" t="s">
        <v>25</v>
      </c>
      <c r="I442" s="73">
        <v>44348</v>
      </c>
      <c r="J442" s="74">
        <f>EFEITO!$J$442*EFEITO!$Y$442</f>
        <v>0</v>
      </c>
      <c r="K442" s="74">
        <f ca="1">EFEITO!$L$442*EFEITO!$Z$442</f>
        <v>17739.883766667979</v>
      </c>
      <c r="L442" s="74">
        <f>EFEITO!$N$442*EFEITO!$AA$442</f>
        <v>5974.3223120533166</v>
      </c>
      <c r="M442" s="74">
        <f>$J$442-EFEITO!$K$442*EFEITO!$Y$442</f>
        <v>0</v>
      </c>
      <c r="N442" s="74">
        <f ca="1">$K$442-EFEITO!$M$442*EFEITO!$Z$442</f>
        <v>0</v>
      </c>
      <c r="O442" s="74">
        <f>$L$442-EFEITO!$O$442*EFEITO!$AA$442</f>
        <v>0</v>
      </c>
      <c r="P442" s="57"/>
      <c r="Q442" s="57"/>
      <c r="R442" s="57"/>
      <c r="S442" s="57"/>
      <c r="T442" s="57"/>
      <c r="U442" s="57"/>
      <c r="V442" s="57"/>
      <c r="W442" s="57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1.25" customHeight="1" x14ac:dyDescent="0.2">
      <c r="A443" s="53" t="s">
        <v>21</v>
      </c>
      <c r="B443" s="53" t="s">
        <v>35</v>
      </c>
      <c r="C443" s="53" t="s">
        <v>23</v>
      </c>
      <c r="D443" s="53" t="s">
        <v>45</v>
      </c>
      <c r="E443" s="53" t="s">
        <v>25</v>
      </c>
      <c r="F443" s="53" t="s">
        <v>25</v>
      </c>
      <c r="G443" s="53" t="s">
        <v>25</v>
      </c>
      <c r="H443" s="53" t="s">
        <v>25</v>
      </c>
      <c r="I443" s="73">
        <v>44378</v>
      </c>
      <c r="J443" s="74">
        <f>EFEITO!$J$443*EFEITO!$Y$443</f>
        <v>0</v>
      </c>
      <c r="K443" s="74">
        <f ca="1">EFEITO!$L$443*EFEITO!$Z$443</f>
        <v>15740.415025030687</v>
      </c>
      <c r="L443" s="74">
        <f>EFEITO!$N$443*EFEITO!$AA$443</f>
        <v>5300.9542746673251</v>
      </c>
      <c r="M443" s="74">
        <f>$J$443-EFEITO!$K$443*EFEITO!$Y$443</f>
        <v>0</v>
      </c>
      <c r="N443" s="74">
        <f ca="1">$K$443-EFEITO!$M$443*EFEITO!$Z$443</f>
        <v>0</v>
      </c>
      <c r="O443" s="74">
        <f>$L$443-EFEITO!$O$443*EFEITO!$AA$443</f>
        <v>0</v>
      </c>
      <c r="P443" s="57"/>
      <c r="Q443" s="57"/>
      <c r="R443" s="57"/>
      <c r="S443" s="57"/>
      <c r="T443" s="57"/>
      <c r="U443" s="57"/>
      <c r="V443" s="57"/>
      <c r="W443" s="57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1.25" customHeight="1" x14ac:dyDescent="0.2">
      <c r="A444" s="53" t="s">
        <v>21</v>
      </c>
      <c r="B444" s="53" t="s">
        <v>35</v>
      </c>
      <c r="C444" s="53" t="s">
        <v>23</v>
      </c>
      <c r="D444" s="53" t="s">
        <v>45</v>
      </c>
      <c r="E444" s="53" t="s">
        <v>25</v>
      </c>
      <c r="F444" s="53" t="s">
        <v>25</v>
      </c>
      <c r="G444" s="53" t="s">
        <v>25</v>
      </c>
      <c r="H444" s="53" t="s">
        <v>25</v>
      </c>
      <c r="I444" s="73">
        <v>44409</v>
      </c>
      <c r="J444" s="74">
        <f>EFEITO!$J$444*EFEITO!$Y$444</f>
        <v>0</v>
      </c>
      <c r="K444" s="74">
        <f ca="1">EFEITO!$L$444*EFEITO!$Z$444</f>
        <v>15817.015497450979</v>
      </c>
      <c r="L444" s="74">
        <f>EFEITO!$N$444*EFEITO!$AA$444</f>
        <v>5326.7512819935082</v>
      </c>
      <c r="M444" s="74">
        <f>$J$444-EFEITO!$K$444*EFEITO!$Y$444</f>
        <v>0</v>
      </c>
      <c r="N444" s="74">
        <f ca="1">$K$444-EFEITO!$M$444*EFEITO!$Z$444</f>
        <v>0</v>
      </c>
      <c r="O444" s="74">
        <f>$L$444-EFEITO!$O$444*EFEITO!$AA$444</f>
        <v>0</v>
      </c>
      <c r="P444" s="57"/>
      <c r="Q444" s="57"/>
      <c r="R444" s="57"/>
      <c r="S444" s="57"/>
      <c r="T444" s="57"/>
      <c r="U444" s="57"/>
      <c r="V444" s="57"/>
      <c r="W444" s="57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1.25" customHeight="1" x14ac:dyDescent="0.2">
      <c r="A445" s="53" t="s">
        <v>21</v>
      </c>
      <c r="B445" s="53" t="s">
        <v>35</v>
      </c>
      <c r="C445" s="53" t="s">
        <v>23</v>
      </c>
      <c r="D445" s="53" t="s">
        <v>45</v>
      </c>
      <c r="E445" s="53" t="s">
        <v>25</v>
      </c>
      <c r="F445" s="53" t="s">
        <v>25</v>
      </c>
      <c r="G445" s="53" t="s">
        <v>25</v>
      </c>
      <c r="H445" s="53" t="s">
        <v>25</v>
      </c>
      <c r="I445" s="73">
        <v>44440</v>
      </c>
      <c r="J445" s="74">
        <f>EFEITO!$J$445*EFEITO!$Y$445</f>
        <v>0</v>
      </c>
      <c r="K445" s="74">
        <f ca="1">EFEITO!$L$445*EFEITO!$Z$445</f>
        <v>19862.109675645475</v>
      </c>
      <c r="L445" s="74">
        <f>EFEITO!$N$445*EFEITO!$AA$445</f>
        <v>6689.0317073338319</v>
      </c>
      <c r="M445" s="74">
        <f>$J$445-EFEITO!$K$445*EFEITO!$Y$445</f>
        <v>0</v>
      </c>
      <c r="N445" s="74">
        <f ca="1">$K$445-EFEITO!$M$445*EFEITO!$Z$445</f>
        <v>0</v>
      </c>
      <c r="O445" s="74">
        <f>$L$445-EFEITO!$O$445*EFEITO!$AA$445</f>
        <v>0</v>
      </c>
      <c r="P445" s="57"/>
      <c r="Q445" s="57"/>
      <c r="R445" s="57"/>
      <c r="S445" s="57"/>
      <c r="T445" s="57"/>
      <c r="U445" s="57"/>
      <c r="V445" s="57"/>
      <c r="W445" s="57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1.25" customHeight="1" x14ac:dyDescent="0.2">
      <c r="A446" s="53" t="s">
        <v>21</v>
      </c>
      <c r="B446" s="53" t="s">
        <v>35</v>
      </c>
      <c r="C446" s="53" t="s">
        <v>23</v>
      </c>
      <c r="D446" s="53" t="s">
        <v>45</v>
      </c>
      <c r="E446" s="53" t="s">
        <v>25</v>
      </c>
      <c r="F446" s="53" t="s">
        <v>25</v>
      </c>
      <c r="G446" s="53" t="s">
        <v>25</v>
      </c>
      <c r="H446" s="53" t="s">
        <v>25</v>
      </c>
      <c r="I446" s="73">
        <v>44470</v>
      </c>
      <c r="J446" s="74">
        <f>EFEITO!$J$446*EFEITO!$Y$446</f>
        <v>0</v>
      </c>
      <c r="K446" s="74">
        <f ca="1">EFEITO!$L$446*EFEITO!$Z$446</f>
        <v>20314.838108796157</v>
      </c>
      <c r="L446" s="74">
        <f>EFEITO!$N$446*EFEITO!$AA$446</f>
        <v>6841.4986352488331</v>
      </c>
      <c r="M446" s="74">
        <f>$J$446-EFEITO!$K$446*EFEITO!$Y$446</f>
        <v>0</v>
      </c>
      <c r="N446" s="74">
        <f ca="1">$K$446-EFEITO!$M$446*EFEITO!$Z$446</f>
        <v>0</v>
      </c>
      <c r="O446" s="74">
        <f>$L$446-EFEITO!$O$446*EFEITO!$AA$446</f>
        <v>0</v>
      </c>
      <c r="P446" s="57"/>
      <c r="Q446" s="57"/>
      <c r="R446" s="57"/>
      <c r="S446" s="57"/>
      <c r="T446" s="57"/>
      <c r="U446" s="57"/>
      <c r="V446" s="57"/>
      <c r="W446" s="57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1.25" customHeight="1" x14ac:dyDescent="0.2">
      <c r="A447" s="53" t="s">
        <v>21</v>
      </c>
      <c r="B447" s="53" t="s">
        <v>35</v>
      </c>
      <c r="C447" s="53" t="s">
        <v>23</v>
      </c>
      <c r="D447" s="53" t="s">
        <v>45</v>
      </c>
      <c r="E447" s="53" t="s">
        <v>25</v>
      </c>
      <c r="F447" s="53" t="s">
        <v>25</v>
      </c>
      <c r="G447" s="53" t="s">
        <v>25</v>
      </c>
      <c r="H447" s="53" t="s">
        <v>25</v>
      </c>
      <c r="I447" s="73">
        <v>44501</v>
      </c>
      <c r="J447" s="74">
        <f>EFEITO!$J$447*EFEITO!$Y$447</f>
        <v>0</v>
      </c>
      <c r="K447" s="74">
        <f ca="1">EFEITO!$L$447*EFEITO!$Z$447</f>
        <v>19869.966134355247</v>
      </c>
      <c r="L447" s="74">
        <f>EFEITO!$N$447*EFEITO!$AA$447</f>
        <v>6691.6775542390815</v>
      </c>
      <c r="M447" s="74">
        <f>$J$447-EFEITO!$K$447*EFEITO!$Y$447</f>
        <v>0</v>
      </c>
      <c r="N447" s="74">
        <f ca="1">$K$447-EFEITO!$M$447*EFEITO!$Z$447</f>
        <v>0</v>
      </c>
      <c r="O447" s="74">
        <f>$L$447-EFEITO!$O$447*EFEITO!$AA$447</f>
        <v>0</v>
      </c>
      <c r="P447" s="57"/>
      <c r="Q447" s="57"/>
      <c r="R447" s="57"/>
      <c r="S447" s="57"/>
      <c r="T447" s="57"/>
      <c r="U447" s="57"/>
      <c r="V447" s="57"/>
      <c r="W447" s="57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1.25" customHeight="1" x14ac:dyDescent="0.2">
      <c r="A448" s="53" t="s">
        <v>21</v>
      </c>
      <c r="B448" s="53" t="s">
        <v>35</v>
      </c>
      <c r="C448" s="53" t="s">
        <v>23</v>
      </c>
      <c r="D448" s="53" t="s">
        <v>45</v>
      </c>
      <c r="E448" s="53" t="s">
        <v>25</v>
      </c>
      <c r="F448" s="53" t="s">
        <v>25</v>
      </c>
      <c r="G448" s="53" t="s">
        <v>25</v>
      </c>
      <c r="H448" s="53" t="s">
        <v>25</v>
      </c>
      <c r="I448" s="73">
        <v>44531</v>
      </c>
      <c r="J448" s="74">
        <f>EFEITO!$J$448*EFEITO!$Y$448</f>
        <v>0</v>
      </c>
      <c r="K448" s="74">
        <f ca="1">EFEITO!$L$448*EFEITO!$Z$448</f>
        <v>22403.674068257118</v>
      </c>
      <c r="L448" s="74">
        <f>EFEITO!$N$448*EFEITO!$AA$448</f>
        <v>7544.9631811820373</v>
      </c>
      <c r="M448" s="74">
        <f>$J$448-EFEITO!$K$448*EFEITO!$Y$448</f>
        <v>0</v>
      </c>
      <c r="N448" s="74">
        <f ca="1">$K$448-EFEITO!$M$448*EFEITO!$Z$448</f>
        <v>0</v>
      </c>
      <c r="O448" s="74">
        <f>$L$448-EFEITO!$O$448*EFEITO!$AA$448</f>
        <v>0</v>
      </c>
      <c r="P448" s="57"/>
      <c r="Q448" s="57"/>
      <c r="R448" s="57"/>
      <c r="S448" s="57"/>
      <c r="T448" s="57"/>
      <c r="U448" s="57"/>
      <c r="V448" s="57"/>
      <c r="W448" s="57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1.25" customHeight="1" x14ac:dyDescent="0.2">
      <c r="A449" s="53" t="s">
        <v>21</v>
      </c>
      <c r="B449" s="53" t="s">
        <v>35</v>
      </c>
      <c r="C449" s="53" t="s">
        <v>23</v>
      </c>
      <c r="D449" s="53" t="s">
        <v>45</v>
      </c>
      <c r="E449" s="53" t="s">
        <v>25</v>
      </c>
      <c r="F449" s="53" t="s">
        <v>25</v>
      </c>
      <c r="G449" s="53" t="s">
        <v>25</v>
      </c>
      <c r="H449" s="53" t="s">
        <v>25</v>
      </c>
      <c r="I449" s="73">
        <v>44562</v>
      </c>
      <c r="J449" s="74">
        <f>EFEITO!$J$449*EFEITO!$Y$449</f>
        <v>0</v>
      </c>
      <c r="K449" s="74">
        <f ca="1">EFEITO!$L$449*EFEITO!$Z$449</f>
        <v>21069.058144934388</v>
      </c>
      <c r="L449" s="74">
        <f>EFEITO!$N$449*EFEITO!$AA$449</f>
        <v>7095.4999381527823</v>
      </c>
      <c r="M449" s="74">
        <f>$J$449-EFEITO!$K$449*EFEITO!$Y$449</f>
        <v>0</v>
      </c>
      <c r="N449" s="74">
        <f ca="1">$K$449-EFEITO!$M$449*EFEITO!$Z$449</f>
        <v>0</v>
      </c>
      <c r="O449" s="74">
        <f>$L$449-EFEITO!$O$449*EFEITO!$AA$449</f>
        <v>0</v>
      </c>
      <c r="P449" s="57"/>
      <c r="Q449" s="57"/>
      <c r="R449" s="57"/>
      <c r="S449" s="57"/>
      <c r="T449" s="57"/>
      <c r="U449" s="57"/>
      <c r="V449" s="57"/>
      <c r="W449" s="57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1.25" customHeight="1" x14ac:dyDescent="0.2">
      <c r="A450" s="53" t="s">
        <v>21</v>
      </c>
      <c r="B450" s="53" t="s">
        <v>35</v>
      </c>
      <c r="C450" s="53" t="s">
        <v>23</v>
      </c>
      <c r="D450" s="53" t="s">
        <v>45</v>
      </c>
      <c r="E450" s="53" t="s">
        <v>25</v>
      </c>
      <c r="F450" s="53" t="s">
        <v>25</v>
      </c>
      <c r="G450" s="53" t="s">
        <v>25</v>
      </c>
      <c r="H450" s="53" t="s">
        <v>25</v>
      </c>
      <c r="I450" s="73">
        <v>44593</v>
      </c>
      <c r="J450" s="74">
        <f>EFEITO!$J$450*EFEITO!$Y$450</f>
        <v>0</v>
      </c>
      <c r="K450" s="74">
        <f ca="1">EFEITO!$L$450*EFEITO!$Z$450</f>
        <v>21669.095178893323</v>
      </c>
      <c r="L450" s="74">
        <f>EFEITO!$N$450*EFEITO!$AA$450</f>
        <v>7297.5764955412114</v>
      </c>
      <c r="M450" s="74">
        <f>$J$450-EFEITO!$K$450*EFEITO!$Y$450</f>
        <v>0</v>
      </c>
      <c r="N450" s="74">
        <f ca="1">$K$450-EFEITO!$M$450*EFEITO!$Z$450</f>
        <v>0</v>
      </c>
      <c r="O450" s="74">
        <f>$L$450-EFEITO!$O$450*EFEITO!$AA$450</f>
        <v>0</v>
      </c>
      <c r="P450" s="57"/>
      <c r="Q450" s="57"/>
      <c r="R450" s="57"/>
      <c r="S450" s="57"/>
      <c r="T450" s="57"/>
      <c r="U450" s="57"/>
      <c r="V450" s="57"/>
      <c r="W450" s="57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1.25" customHeight="1" x14ac:dyDescent="0.2">
      <c r="A451" s="53" t="s">
        <v>21</v>
      </c>
      <c r="B451" s="53" t="s">
        <v>35</v>
      </c>
      <c r="C451" s="53" t="s">
        <v>23</v>
      </c>
      <c r="D451" s="53" t="s">
        <v>45</v>
      </c>
      <c r="E451" s="53" t="s">
        <v>25</v>
      </c>
      <c r="F451" s="53" t="s">
        <v>25</v>
      </c>
      <c r="G451" s="53" t="s">
        <v>25</v>
      </c>
      <c r="H451" s="53" t="s">
        <v>25</v>
      </c>
      <c r="I451" s="73">
        <v>44621</v>
      </c>
      <c r="J451" s="74">
        <f>EFEITO!$J$451*EFEITO!$Y$451</f>
        <v>0</v>
      </c>
      <c r="K451" s="74">
        <f ca="1">EFEITO!$L$451*EFEITO!$Z$451</f>
        <v>29314.411560841407</v>
      </c>
      <c r="L451" s="74">
        <f>EFEITO!$N$451*EFEITO!$AA$451</f>
        <v>9872.3162652121082</v>
      </c>
      <c r="M451" s="74">
        <f>$J$451-EFEITO!$K$451*EFEITO!$Y$451</f>
        <v>0</v>
      </c>
      <c r="N451" s="74">
        <f ca="1">$K$451-EFEITO!$M$451*EFEITO!$Z$451</f>
        <v>0</v>
      </c>
      <c r="O451" s="74">
        <f>$L$451-EFEITO!$O$451*EFEITO!$AA$451</f>
        <v>0</v>
      </c>
      <c r="P451" s="57"/>
      <c r="Q451" s="57"/>
      <c r="R451" s="57"/>
      <c r="S451" s="57"/>
      <c r="T451" s="57"/>
      <c r="U451" s="57"/>
      <c r="V451" s="57"/>
      <c r="W451" s="57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1.25" customHeight="1" x14ac:dyDescent="0.2">
      <c r="A452" s="53" t="s">
        <v>21</v>
      </c>
      <c r="B452" s="53" t="s">
        <v>35</v>
      </c>
      <c r="C452" s="53" t="s">
        <v>23</v>
      </c>
      <c r="D452" s="53" t="s">
        <v>49</v>
      </c>
      <c r="E452" s="53" t="s">
        <v>50</v>
      </c>
      <c r="F452" s="53" t="s">
        <v>25</v>
      </c>
      <c r="G452" s="53" t="s">
        <v>25</v>
      </c>
      <c r="H452" s="53" t="s">
        <v>25</v>
      </c>
      <c r="I452" s="73">
        <v>44287</v>
      </c>
      <c r="J452" s="74">
        <f>EFEITO!$J$452*EFEITO!$Y$451</f>
        <v>0</v>
      </c>
      <c r="K452" s="74">
        <f ca="1">EFEITO!$L$452*EFEITO!$Z$451</f>
        <v>13797.905609039255</v>
      </c>
      <c r="L452" s="74">
        <f>EFEITO!$N$452*EFEITO!$AA$451</f>
        <v>4646.7686273443924</v>
      </c>
      <c r="M452" s="74">
        <f>$J$452-EFEITO!$K$452*EFEITO!$Y$452</f>
        <v>0</v>
      </c>
      <c r="N452" s="74">
        <f ca="1">$K$452-EFEITO!$M$452*EFEITO!$Z$452</f>
        <v>413.93716827117714</v>
      </c>
      <c r="O452" s="74">
        <f>$L$452-EFEITO!$O$452*EFEITO!$AA$452</f>
        <v>139.40305882033226</v>
      </c>
      <c r="P452" s="57"/>
      <c r="Q452" s="57"/>
      <c r="R452" s="57"/>
      <c r="S452" s="57"/>
      <c r="T452" s="57"/>
      <c r="U452" s="57"/>
      <c r="V452" s="57"/>
      <c r="W452" s="57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1.25" customHeight="1" x14ac:dyDescent="0.2">
      <c r="A453" s="53" t="s">
        <v>21</v>
      </c>
      <c r="B453" s="53" t="s">
        <v>35</v>
      </c>
      <c r="C453" s="53" t="s">
        <v>23</v>
      </c>
      <c r="D453" s="53" t="s">
        <v>49</v>
      </c>
      <c r="E453" s="53" t="s">
        <v>50</v>
      </c>
      <c r="F453" s="53" t="s">
        <v>25</v>
      </c>
      <c r="G453" s="53" t="s">
        <v>25</v>
      </c>
      <c r="H453" s="53" t="s">
        <v>25</v>
      </c>
      <c r="I453" s="73">
        <v>44317</v>
      </c>
      <c r="J453" s="74">
        <f>EFEITO!$J$453*EFEITO!$Y$451</f>
        <v>0</v>
      </c>
      <c r="K453" s="74">
        <f ca="1">EFEITO!$L$453*EFEITO!$Z$451</f>
        <v>21722.126275184288</v>
      </c>
      <c r="L453" s="74">
        <f>EFEITO!$N$453*EFEITO!$AA$451</f>
        <v>7315.4359621516451</v>
      </c>
      <c r="M453" s="74">
        <f>$J$453-EFEITO!$K$453*EFEITO!$Y$453</f>
        <v>0</v>
      </c>
      <c r="N453" s="74">
        <f ca="1">$K$453-EFEITO!$M$453*EFEITO!$Z$453</f>
        <v>651.66378825552601</v>
      </c>
      <c r="O453" s="74">
        <f>$L$453-EFEITO!$O$453*EFEITO!$AA$453</f>
        <v>219.46307886454997</v>
      </c>
      <c r="P453" s="57"/>
      <c r="Q453" s="57"/>
      <c r="R453" s="57"/>
      <c r="S453" s="57"/>
      <c r="T453" s="57"/>
      <c r="U453" s="57"/>
      <c r="V453" s="57"/>
      <c r="W453" s="57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1.25" customHeight="1" x14ac:dyDescent="0.2">
      <c r="A454" s="53" t="s">
        <v>21</v>
      </c>
      <c r="B454" s="53" t="s">
        <v>35</v>
      </c>
      <c r="C454" s="53" t="s">
        <v>23</v>
      </c>
      <c r="D454" s="53" t="s">
        <v>49</v>
      </c>
      <c r="E454" s="53" t="s">
        <v>50</v>
      </c>
      <c r="F454" s="53" t="s">
        <v>25</v>
      </c>
      <c r="G454" s="53" t="s">
        <v>25</v>
      </c>
      <c r="H454" s="53" t="s">
        <v>25</v>
      </c>
      <c r="I454" s="73">
        <v>44348</v>
      </c>
      <c r="J454" s="74">
        <f>EFEITO!$J$454*EFEITO!$Y$451</f>
        <v>0</v>
      </c>
      <c r="K454" s="74">
        <f ca="1">EFEITO!$L$454*EFEITO!$Z$451</f>
        <v>21369.567690583219</v>
      </c>
      <c r="L454" s="74">
        <f>EFEITO!$N$454*EFEITO!$AA$451</f>
        <v>7196.7035822785756</v>
      </c>
      <c r="M454" s="74">
        <f>$J$454-EFEITO!$K$454*EFEITO!$Y$454</f>
        <v>0</v>
      </c>
      <c r="N454" s="74">
        <f ca="1">$K$454-EFEITO!$M$454*EFEITO!$Z$454</f>
        <v>641.08703071749915</v>
      </c>
      <c r="O454" s="74">
        <f>$L$454-EFEITO!$O$454*EFEITO!$AA$454</f>
        <v>215.90110746835762</v>
      </c>
      <c r="P454" s="57"/>
      <c r="Q454" s="57"/>
      <c r="R454" s="57"/>
      <c r="S454" s="57"/>
      <c r="T454" s="57"/>
      <c r="U454" s="57"/>
      <c r="V454" s="57"/>
      <c r="W454" s="57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1.25" customHeight="1" x14ac:dyDescent="0.2">
      <c r="A455" s="53" t="s">
        <v>21</v>
      </c>
      <c r="B455" s="53" t="s">
        <v>35</v>
      </c>
      <c r="C455" s="53" t="s">
        <v>23</v>
      </c>
      <c r="D455" s="53" t="s">
        <v>49</v>
      </c>
      <c r="E455" s="53" t="s">
        <v>50</v>
      </c>
      <c r="F455" s="53" t="s">
        <v>25</v>
      </c>
      <c r="G455" s="53" t="s">
        <v>25</v>
      </c>
      <c r="H455" s="53" t="s">
        <v>25</v>
      </c>
      <c r="I455" s="73">
        <v>44378</v>
      </c>
      <c r="J455" s="74">
        <f>EFEITO!$J$455*EFEITO!$Y$451</f>
        <v>0</v>
      </c>
      <c r="K455" s="74">
        <f ca="1">EFEITO!$L$455*EFEITO!$Z$451</f>
        <v>9209.7337225316824</v>
      </c>
      <c r="L455" s="74">
        <f>EFEITO!$N$455*EFEITO!$AA$451</f>
        <v>3101.5940346786983</v>
      </c>
      <c r="M455" s="74">
        <f>$J$455-EFEITO!$K$455*EFEITO!$Y$455</f>
        <v>0</v>
      </c>
      <c r="N455" s="74">
        <f ca="1">$K$455-EFEITO!$M$455*EFEITO!$Z$455</f>
        <v>276.29201167595056</v>
      </c>
      <c r="O455" s="74">
        <f>$L$455-EFEITO!$O$455*EFEITO!$AA$455</f>
        <v>93.047821040361214</v>
      </c>
      <c r="P455" s="57"/>
      <c r="Q455" s="57"/>
      <c r="R455" s="57"/>
      <c r="S455" s="57"/>
      <c r="T455" s="57"/>
      <c r="U455" s="57"/>
      <c r="V455" s="57"/>
      <c r="W455" s="57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1.25" customHeight="1" x14ac:dyDescent="0.2">
      <c r="A456" s="53" t="s">
        <v>21</v>
      </c>
      <c r="B456" s="53" t="s">
        <v>35</v>
      </c>
      <c r="C456" s="53" t="s">
        <v>23</v>
      </c>
      <c r="D456" s="53" t="s">
        <v>49</v>
      </c>
      <c r="E456" s="53" t="s">
        <v>50</v>
      </c>
      <c r="F456" s="53" t="s">
        <v>25</v>
      </c>
      <c r="G456" s="53" t="s">
        <v>25</v>
      </c>
      <c r="H456" s="53" t="s">
        <v>25</v>
      </c>
      <c r="I456" s="73">
        <v>44409</v>
      </c>
      <c r="J456" s="74">
        <f>EFEITO!$J$456*EFEITO!$Y$451</f>
        <v>0</v>
      </c>
      <c r="K456" s="74">
        <f ca="1">EFEITO!$L$456*EFEITO!$Z$451</f>
        <v>13943.25009517006</v>
      </c>
      <c r="L456" s="74">
        <f>EFEITO!$N$456*EFEITO!$AA$451</f>
        <v>4695.7167950915082</v>
      </c>
      <c r="M456" s="74">
        <f>$J$456-EFEITO!$K$456*EFEITO!$Y$456</f>
        <v>0</v>
      </c>
      <c r="N456" s="74">
        <f ca="1">$K$456-EFEITO!$M$456*EFEITO!$Z$456</f>
        <v>418.29750285510272</v>
      </c>
      <c r="O456" s="74">
        <f>$L$456-EFEITO!$O$456*EFEITO!$AA$456</f>
        <v>140.87150385274617</v>
      </c>
      <c r="P456" s="57"/>
      <c r="Q456" s="57"/>
      <c r="R456" s="57"/>
      <c r="S456" s="57"/>
      <c r="T456" s="57"/>
      <c r="U456" s="57"/>
      <c r="V456" s="57"/>
      <c r="W456" s="57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1.25" customHeight="1" x14ac:dyDescent="0.2">
      <c r="A457" s="53" t="s">
        <v>21</v>
      </c>
      <c r="B457" s="53" t="s">
        <v>35</v>
      </c>
      <c r="C457" s="53" t="s">
        <v>23</v>
      </c>
      <c r="D457" s="53" t="s">
        <v>49</v>
      </c>
      <c r="E457" s="53" t="s">
        <v>50</v>
      </c>
      <c r="F457" s="53" t="s">
        <v>25</v>
      </c>
      <c r="G457" s="53" t="s">
        <v>25</v>
      </c>
      <c r="H457" s="53" t="s">
        <v>25</v>
      </c>
      <c r="I457" s="73">
        <v>44440</v>
      </c>
      <c r="J457" s="74">
        <f>EFEITO!$J$457*EFEITO!$Y$451</f>
        <v>0</v>
      </c>
      <c r="K457" s="74">
        <f ca="1">EFEITO!$L$457*EFEITO!$Z$451</f>
        <v>12844.327933140528</v>
      </c>
      <c r="L457" s="74">
        <f>EFEITO!$N$457*EFEITO!$AA$451</f>
        <v>4325.6289592197372</v>
      </c>
      <c r="M457" s="74">
        <f>$J$457-EFEITO!$K$457*EFEITO!$Y$457</f>
        <v>0</v>
      </c>
      <c r="N457" s="74">
        <f ca="1">$K$457-EFEITO!$M$457*EFEITO!$Z$457</f>
        <v>385.32983799421527</v>
      </c>
      <c r="O457" s="74">
        <f>$L$457-EFEITO!$O$457*EFEITO!$AA$457</f>
        <v>129.76886877659217</v>
      </c>
      <c r="P457" s="57"/>
      <c r="Q457" s="57"/>
      <c r="R457" s="57"/>
      <c r="S457" s="57"/>
      <c r="T457" s="57"/>
      <c r="U457" s="57"/>
      <c r="V457" s="57"/>
      <c r="W457" s="57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1.25" customHeight="1" x14ac:dyDescent="0.2">
      <c r="A458" s="53" t="s">
        <v>21</v>
      </c>
      <c r="B458" s="53" t="s">
        <v>35</v>
      </c>
      <c r="C458" s="53" t="s">
        <v>23</v>
      </c>
      <c r="D458" s="53" t="s">
        <v>49</v>
      </c>
      <c r="E458" s="53" t="s">
        <v>50</v>
      </c>
      <c r="F458" s="53" t="s">
        <v>25</v>
      </c>
      <c r="G458" s="53" t="s">
        <v>25</v>
      </c>
      <c r="H458" s="53" t="s">
        <v>25</v>
      </c>
      <c r="I458" s="73">
        <v>44470</v>
      </c>
      <c r="J458" s="74">
        <f>EFEITO!$J$458*EFEITO!$Y$451</f>
        <v>0</v>
      </c>
      <c r="K458" s="74">
        <f ca="1">EFEITO!$L$458*EFEITO!$Z$451</f>
        <v>12027.256227324111</v>
      </c>
      <c r="L458" s="74">
        <f>EFEITO!$N$458*EFEITO!$AA$451</f>
        <v>4050.4608810737918</v>
      </c>
      <c r="M458" s="74">
        <f>$J$458-EFEITO!$K$458*EFEITO!$Y$458</f>
        <v>0</v>
      </c>
      <c r="N458" s="74">
        <f ca="1">$K$458-EFEITO!$M$458*EFEITO!$Z$458</f>
        <v>360.81768681972426</v>
      </c>
      <c r="O458" s="74">
        <f>$L$458-EFEITO!$O$458*EFEITO!$AA$458</f>
        <v>121.51382643221405</v>
      </c>
      <c r="P458" s="57"/>
      <c r="Q458" s="57"/>
      <c r="R458" s="57"/>
      <c r="S458" s="57"/>
      <c r="T458" s="57"/>
      <c r="U458" s="57"/>
      <c r="V458" s="57"/>
      <c r="W458" s="57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1.25" customHeight="1" x14ac:dyDescent="0.2">
      <c r="A459" s="53" t="s">
        <v>21</v>
      </c>
      <c r="B459" s="53" t="s">
        <v>35</v>
      </c>
      <c r="C459" s="53" t="s">
        <v>23</v>
      </c>
      <c r="D459" s="53" t="s">
        <v>49</v>
      </c>
      <c r="E459" s="53" t="s">
        <v>50</v>
      </c>
      <c r="F459" s="53" t="s">
        <v>25</v>
      </c>
      <c r="G459" s="53" t="s">
        <v>25</v>
      </c>
      <c r="H459" s="53" t="s">
        <v>25</v>
      </c>
      <c r="I459" s="73">
        <v>44501</v>
      </c>
      <c r="J459" s="74">
        <f>EFEITO!$J$459*EFEITO!$Y$451</f>
        <v>0</v>
      </c>
      <c r="K459" s="74">
        <f ca="1">EFEITO!$L$459*EFEITO!$Z$451</f>
        <v>12070.466750227864</v>
      </c>
      <c r="L459" s="74">
        <f>EFEITO!$N$459*EFEITO!$AA$451</f>
        <v>4065.0130390526638</v>
      </c>
      <c r="M459" s="74">
        <f>$J$459-EFEITO!$K$459*EFEITO!$Y$459</f>
        <v>0</v>
      </c>
      <c r="N459" s="74">
        <f ca="1">$K$459-EFEITO!$M$459*EFEITO!$Z$459</f>
        <v>362.11400250683619</v>
      </c>
      <c r="O459" s="74">
        <f>$L$459-EFEITO!$O$459*EFEITO!$AA$459</f>
        <v>121.95039117158012</v>
      </c>
      <c r="P459" s="57"/>
      <c r="Q459" s="57"/>
      <c r="R459" s="57"/>
      <c r="S459" s="57"/>
      <c r="T459" s="57"/>
      <c r="U459" s="57"/>
      <c r="V459" s="57"/>
      <c r="W459" s="57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1.25" customHeight="1" x14ac:dyDescent="0.2">
      <c r="A460" s="53" t="s">
        <v>21</v>
      </c>
      <c r="B460" s="53" t="s">
        <v>35</v>
      </c>
      <c r="C460" s="53" t="s">
        <v>23</v>
      </c>
      <c r="D460" s="53" t="s">
        <v>49</v>
      </c>
      <c r="E460" s="53" t="s">
        <v>50</v>
      </c>
      <c r="F460" s="53" t="s">
        <v>25</v>
      </c>
      <c r="G460" s="53" t="s">
        <v>25</v>
      </c>
      <c r="H460" s="53" t="s">
        <v>25</v>
      </c>
      <c r="I460" s="73">
        <v>44531</v>
      </c>
      <c r="J460" s="74">
        <f>EFEITO!$J$460*EFEITO!$Y$451</f>
        <v>0</v>
      </c>
      <c r="K460" s="74">
        <f ca="1">EFEITO!$L$460*EFEITO!$Z$451</f>
        <v>14207.423519286185</v>
      </c>
      <c r="L460" s="74">
        <f>EFEITO!$N$460*EFEITO!$AA$451</f>
        <v>4784.6833972805216</v>
      </c>
      <c r="M460" s="74">
        <f>$J$460-EFEITO!$K$460*EFEITO!$Y$460</f>
        <v>0</v>
      </c>
      <c r="N460" s="74">
        <f ca="1">$K$460-EFEITO!$M$460*EFEITO!$Z$460</f>
        <v>426.22270557858428</v>
      </c>
      <c r="O460" s="74">
        <f>$L$460-EFEITO!$O$460*EFEITO!$AA$460</f>
        <v>143.54050191841634</v>
      </c>
      <c r="P460" s="57"/>
      <c r="Q460" s="57"/>
      <c r="R460" s="57"/>
      <c r="S460" s="57"/>
      <c r="T460" s="57"/>
      <c r="U460" s="57"/>
      <c r="V460" s="57"/>
      <c r="W460" s="57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1.25" customHeight="1" x14ac:dyDescent="0.2">
      <c r="A461" s="53" t="s">
        <v>21</v>
      </c>
      <c r="B461" s="53" t="s">
        <v>35</v>
      </c>
      <c r="C461" s="53" t="s">
        <v>23</v>
      </c>
      <c r="D461" s="53" t="s">
        <v>49</v>
      </c>
      <c r="E461" s="53" t="s">
        <v>50</v>
      </c>
      <c r="F461" s="53" t="s">
        <v>25</v>
      </c>
      <c r="G461" s="53" t="s">
        <v>25</v>
      </c>
      <c r="H461" s="53" t="s">
        <v>25</v>
      </c>
      <c r="I461" s="73">
        <v>44562</v>
      </c>
      <c r="J461" s="74">
        <f>EFEITO!$J$461*EFEITO!$Y$451</f>
        <v>0</v>
      </c>
      <c r="K461" s="74">
        <f ca="1">EFEITO!$L$461*EFEITO!$Z$451</f>
        <v>14657.205780420703</v>
      </c>
      <c r="L461" s="74">
        <f>EFEITO!$N$461*EFEITO!$AA$451</f>
        <v>4936.1581326060541</v>
      </c>
      <c r="M461" s="74">
        <f>$J$461-EFEITO!$K$461*EFEITO!$Y$461</f>
        <v>0</v>
      </c>
      <c r="N461" s="74">
        <f ca="1">$K$461-EFEITO!$M$461*EFEITO!$Z$461</f>
        <v>439.71617341262026</v>
      </c>
      <c r="O461" s="74">
        <f>$L$461-EFEITO!$O$461*EFEITO!$AA$461</f>
        <v>148.0847439781819</v>
      </c>
      <c r="P461" s="57"/>
      <c r="Q461" s="57"/>
      <c r="R461" s="57"/>
      <c r="S461" s="57"/>
      <c r="T461" s="57"/>
      <c r="U461" s="57"/>
      <c r="V461" s="57"/>
      <c r="W461" s="57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1.25" customHeight="1" x14ac:dyDescent="0.2">
      <c r="A462" s="53" t="s">
        <v>21</v>
      </c>
      <c r="B462" s="53" t="s">
        <v>35</v>
      </c>
      <c r="C462" s="53" t="s">
        <v>23</v>
      </c>
      <c r="D462" s="53" t="s">
        <v>49</v>
      </c>
      <c r="E462" s="53" t="s">
        <v>50</v>
      </c>
      <c r="F462" s="53" t="s">
        <v>25</v>
      </c>
      <c r="G462" s="53" t="s">
        <v>25</v>
      </c>
      <c r="H462" s="53" t="s">
        <v>25</v>
      </c>
      <c r="I462" s="73">
        <v>44593</v>
      </c>
      <c r="J462" s="74">
        <f>EFEITO!$J$462*EFEITO!$Y$451</f>
        <v>0</v>
      </c>
      <c r="K462" s="74">
        <f ca="1">EFEITO!$L$462*EFEITO!$Z$451</f>
        <v>17719.260562554824</v>
      </c>
      <c r="L462" s="74">
        <f>EFEITO!$N$462*EFEITO!$AA$451</f>
        <v>5967.3769639270367</v>
      </c>
      <c r="M462" s="74">
        <f>$J$462-EFEITO!$K$462*EFEITO!$Y$462</f>
        <v>0</v>
      </c>
      <c r="N462" s="74">
        <f ca="1">$K$462-EFEITO!$M$462*EFEITO!$Z$462</f>
        <v>531.57781687664465</v>
      </c>
      <c r="O462" s="74">
        <f>$L$462-EFEITO!$O$462*EFEITO!$AA$462</f>
        <v>179.02130891781144</v>
      </c>
      <c r="P462" s="57"/>
      <c r="Q462" s="57"/>
      <c r="R462" s="57"/>
      <c r="S462" s="57"/>
      <c r="T462" s="57"/>
      <c r="U462" s="57"/>
      <c r="V462" s="57"/>
      <c r="W462" s="57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1.25" customHeight="1" x14ac:dyDescent="0.2">
      <c r="A463" s="53" t="s">
        <v>21</v>
      </c>
      <c r="B463" s="53" t="s">
        <v>35</v>
      </c>
      <c r="C463" s="53" t="s">
        <v>23</v>
      </c>
      <c r="D463" s="53" t="s">
        <v>49</v>
      </c>
      <c r="E463" s="53" t="s">
        <v>50</v>
      </c>
      <c r="F463" s="53" t="s">
        <v>25</v>
      </c>
      <c r="G463" s="53" t="s">
        <v>25</v>
      </c>
      <c r="H463" s="53" t="s">
        <v>25</v>
      </c>
      <c r="I463" s="73">
        <v>44621</v>
      </c>
      <c r="J463" s="74">
        <f>EFEITO!$J$463*EFEITO!$Y$451</f>
        <v>0</v>
      </c>
      <c r="K463" s="74">
        <f ca="1">EFEITO!$L$463*EFEITO!$Z$451</f>
        <v>15218.94257816949</v>
      </c>
      <c r="L463" s="74">
        <f>EFEITO!$N$463*EFEITO!$AA$451</f>
        <v>5125.3361863313912</v>
      </c>
      <c r="M463" s="74">
        <f>$J$463-EFEITO!$K$463*EFEITO!$Y$463</f>
        <v>0</v>
      </c>
      <c r="N463" s="74">
        <f ca="1">$K$463-EFEITO!$M$463*EFEITO!$Z$463</f>
        <v>456.56827734508443</v>
      </c>
      <c r="O463" s="74">
        <f>$L$463-EFEITO!$O$463*EFEITO!$AA$463</f>
        <v>153.76008558994181</v>
      </c>
      <c r="P463" s="57"/>
      <c r="Q463" s="57"/>
      <c r="R463" s="57"/>
      <c r="S463" s="57"/>
      <c r="T463" s="57"/>
      <c r="U463" s="57"/>
      <c r="V463" s="57"/>
      <c r="W463" s="57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1.25" customHeight="1" x14ac:dyDescent="0.2">
      <c r="A464" s="53" t="s">
        <v>21</v>
      </c>
      <c r="B464" s="53" t="s">
        <v>46</v>
      </c>
      <c r="C464" s="53" t="s">
        <v>23</v>
      </c>
      <c r="D464" s="53" t="s">
        <v>47</v>
      </c>
      <c r="E464" s="53" t="s">
        <v>48</v>
      </c>
      <c r="F464" s="53" t="s">
        <v>25</v>
      </c>
      <c r="G464" s="53" t="s">
        <v>25</v>
      </c>
      <c r="H464" s="53" t="s">
        <v>25</v>
      </c>
      <c r="I464" s="73">
        <v>44287</v>
      </c>
      <c r="J464" s="74">
        <f>EFEITO!$J$464*EFEITO!$Y$464</f>
        <v>0</v>
      </c>
      <c r="K464" s="74">
        <f ca="1">EFEITO!$L$464*EFEITO!$Z$464</f>
        <v>144439.27477883833</v>
      </c>
      <c r="L464" s="74">
        <f>EFEITO!$N$464*EFEITO!$AA$464</f>
        <v>48643.316574001103</v>
      </c>
      <c r="M464" s="74">
        <f>$J$464-EFEITO!$K$464*EFEITO!$Y$464</f>
        <v>0</v>
      </c>
      <c r="N464" s="74">
        <f ca="1">$K$464-EFEITO!$M$464*EFEITO!$Z$464</f>
        <v>0</v>
      </c>
      <c r="O464" s="74">
        <f>$L$464-EFEITO!$O$464*EFEITO!$AA$464</f>
        <v>0</v>
      </c>
      <c r="P464" s="57"/>
      <c r="Q464" s="57"/>
      <c r="R464" s="57"/>
      <c r="S464" s="57"/>
      <c r="T464" s="57"/>
      <c r="U464" s="57"/>
      <c r="V464" s="57"/>
      <c r="W464" s="57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1.25" customHeight="1" x14ac:dyDescent="0.2">
      <c r="A465" s="53" t="s">
        <v>21</v>
      </c>
      <c r="B465" s="53" t="s">
        <v>46</v>
      </c>
      <c r="C465" s="53" t="s">
        <v>23</v>
      </c>
      <c r="D465" s="53" t="s">
        <v>47</v>
      </c>
      <c r="E465" s="53" t="s">
        <v>48</v>
      </c>
      <c r="F465" s="53" t="s">
        <v>25</v>
      </c>
      <c r="G465" s="53" t="s">
        <v>25</v>
      </c>
      <c r="H465" s="53" t="s">
        <v>25</v>
      </c>
      <c r="I465" s="73">
        <v>44317</v>
      </c>
      <c r="J465" s="74">
        <f>EFEITO!$J$465*EFEITO!$Y$465</f>
        <v>0</v>
      </c>
      <c r="K465" s="74">
        <f ca="1">EFEITO!$L$465*EFEITO!$Z$465</f>
        <v>157612.00268604734</v>
      </c>
      <c r="L465" s="74">
        <f>EFEITO!$N$465*EFEITO!$AA$465</f>
        <v>53079.541933860259</v>
      </c>
      <c r="M465" s="74">
        <f>$J$465-EFEITO!$K$465*EFEITO!$Y$465</f>
        <v>0</v>
      </c>
      <c r="N465" s="74">
        <f ca="1">$K$465-EFEITO!$M$465*EFEITO!$Z$465</f>
        <v>0</v>
      </c>
      <c r="O465" s="74">
        <f>$L$465-EFEITO!$O$465*EFEITO!$AA$465</f>
        <v>0</v>
      </c>
      <c r="P465" s="57"/>
      <c r="Q465" s="57"/>
      <c r="R465" s="57"/>
      <c r="S465" s="57"/>
      <c r="T465" s="57"/>
      <c r="U465" s="57"/>
      <c r="V465" s="57"/>
      <c r="W465" s="57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1.25" customHeight="1" x14ac:dyDescent="0.2">
      <c r="A466" s="53" t="s">
        <v>21</v>
      </c>
      <c r="B466" s="53" t="s">
        <v>46</v>
      </c>
      <c r="C466" s="53" t="s">
        <v>23</v>
      </c>
      <c r="D466" s="53" t="s">
        <v>47</v>
      </c>
      <c r="E466" s="53" t="s">
        <v>48</v>
      </c>
      <c r="F466" s="53" t="s">
        <v>25</v>
      </c>
      <c r="G466" s="53" t="s">
        <v>25</v>
      </c>
      <c r="H466" s="53" t="s">
        <v>25</v>
      </c>
      <c r="I466" s="73">
        <v>44348</v>
      </c>
      <c r="J466" s="74">
        <f>EFEITO!$J$466*EFEITO!$Y$466</f>
        <v>0</v>
      </c>
      <c r="K466" s="74">
        <f ca="1">EFEITO!$L$466*EFEITO!$Z$466</f>
        <v>155745.30809660524</v>
      </c>
      <c r="L466" s="74">
        <f>EFEITO!$N$466*EFEITO!$AA$466</f>
        <v>52450.888709172985</v>
      </c>
      <c r="M466" s="74">
        <f>$J$466-EFEITO!$K$466*EFEITO!$Y$466</f>
        <v>0</v>
      </c>
      <c r="N466" s="74">
        <f ca="1">$K$466-EFEITO!$M$466*EFEITO!$Z$466</f>
        <v>0</v>
      </c>
      <c r="O466" s="74">
        <f>$L$466-EFEITO!$O$466*EFEITO!$AA$466</f>
        <v>0</v>
      </c>
      <c r="P466" s="57"/>
      <c r="Q466" s="57"/>
      <c r="R466" s="57"/>
      <c r="S466" s="57"/>
      <c r="T466" s="57"/>
      <c r="U466" s="57"/>
      <c r="V466" s="57"/>
      <c r="W466" s="57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1.25" customHeight="1" x14ac:dyDescent="0.2">
      <c r="A467" s="53" t="s">
        <v>21</v>
      </c>
      <c r="B467" s="53" t="s">
        <v>46</v>
      </c>
      <c r="C467" s="53" t="s">
        <v>23</v>
      </c>
      <c r="D467" s="53" t="s">
        <v>47</v>
      </c>
      <c r="E467" s="53" t="s">
        <v>48</v>
      </c>
      <c r="F467" s="53" t="s">
        <v>25</v>
      </c>
      <c r="G467" s="53" t="s">
        <v>25</v>
      </c>
      <c r="H467" s="53" t="s">
        <v>25</v>
      </c>
      <c r="I467" s="73">
        <v>44378</v>
      </c>
      <c r="J467" s="74">
        <f>EFEITO!$J$467*EFEITO!$Y$467</f>
        <v>0</v>
      </c>
      <c r="K467" s="74">
        <f ca="1">EFEITO!$L$467*EFEITO!$Z$467</f>
        <v>159275.06768630556</v>
      </c>
      <c r="L467" s="74">
        <f>EFEITO!$N$467*EFEITO!$AA$467</f>
        <v>53639.618114072102</v>
      </c>
      <c r="M467" s="74">
        <f>$J$467-EFEITO!$K$467*EFEITO!$Y$467</f>
        <v>0</v>
      </c>
      <c r="N467" s="74">
        <f ca="1">$K$467-EFEITO!$M$467*EFEITO!$Z$467</f>
        <v>0</v>
      </c>
      <c r="O467" s="74">
        <f>$L$467-EFEITO!$O$467*EFEITO!$AA$467</f>
        <v>0</v>
      </c>
      <c r="P467" s="57"/>
      <c r="Q467" s="57"/>
      <c r="R467" s="57"/>
      <c r="S467" s="57"/>
      <c r="T467" s="57"/>
      <c r="U467" s="57"/>
      <c r="V467" s="57"/>
      <c r="W467" s="57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1.25" customHeight="1" x14ac:dyDescent="0.2">
      <c r="A468" s="53" t="s">
        <v>21</v>
      </c>
      <c r="B468" s="53" t="s">
        <v>46</v>
      </c>
      <c r="C468" s="53" t="s">
        <v>23</v>
      </c>
      <c r="D468" s="53" t="s">
        <v>47</v>
      </c>
      <c r="E468" s="53" t="s">
        <v>48</v>
      </c>
      <c r="F468" s="53" t="s">
        <v>25</v>
      </c>
      <c r="G468" s="53" t="s">
        <v>25</v>
      </c>
      <c r="H468" s="53" t="s">
        <v>25</v>
      </c>
      <c r="I468" s="73">
        <v>44409</v>
      </c>
      <c r="J468" s="74">
        <f>EFEITO!$J$468*EFEITO!$Y$468</f>
        <v>0</v>
      </c>
      <c r="K468" s="74">
        <f ca="1">EFEITO!$L$468*EFEITO!$Z$468</f>
        <v>153663.64115571693</v>
      </c>
      <c r="L468" s="74">
        <f>EFEITO!$N$468*EFEITO!$AA$468</f>
        <v>51749.838498540819</v>
      </c>
      <c r="M468" s="74">
        <f>$J$468-EFEITO!$K$468*EFEITO!$Y$468</f>
        <v>0</v>
      </c>
      <c r="N468" s="74">
        <f ca="1">$K$468-EFEITO!$M$468*EFEITO!$Z$468</f>
        <v>0</v>
      </c>
      <c r="O468" s="74">
        <f>$L$468-EFEITO!$O$468*EFEITO!$AA$468</f>
        <v>0</v>
      </c>
      <c r="P468" s="57"/>
      <c r="Q468" s="57"/>
      <c r="R468" s="57"/>
      <c r="S468" s="57"/>
      <c r="T468" s="57"/>
      <c r="U468" s="57"/>
      <c r="V468" s="57"/>
      <c r="W468" s="57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1.25" customHeight="1" x14ac:dyDescent="0.2">
      <c r="A469" s="53" t="s">
        <v>21</v>
      </c>
      <c r="B469" s="53" t="s">
        <v>46</v>
      </c>
      <c r="C469" s="53" t="s">
        <v>23</v>
      </c>
      <c r="D469" s="53" t="s">
        <v>47</v>
      </c>
      <c r="E469" s="53" t="s">
        <v>48</v>
      </c>
      <c r="F469" s="53" t="s">
        <v>25</v>
      </c>
      <c r="G469" s="53" t="s">
        <v>25</v>
      </c>
      <c r="H469" s="53" t="s">
        <v>25</v>
      </c>
      <c r="I469" s="73">
        <v>44440</v>
      </c>
      <c r="J469" s="74">
        <f>EFEITO!$J$469*EFEITO!$Y$469</f>
        <v>0</v>
      </c>
      <c r="K469" s="74">
        <f ca="1">EFEITO!$L$469*EFEITO!$Z$469</f>
        <v>140945.16387053361</v>
      </c>
      <c r="L469" s="74">
        <f>EFEITO!$N$469*EFEITO!$AA$469</f>
        <v>47466.592699434557</v>
      </c>
      <c r="M469" s="74">
        <f>$J$469-EFEITO!$K$469*EFEITO!$Y$469</f>
        <v>0</v>
      </c>
      <c r="N469" s="74">
        <f ca="1">$K$469-EFEITO!$M$469*EFEITO!$Z$469</f>
        <v>0</v>
      </c>
      <c r="O469" s="74">
        <f>$L$469-EFEITO!$O$469*EFEITO!$AA$469</f>
        <v>0</v>
      </c>
      <c r="P469" s="57"/>
      <c r="Q469" s="57"/>
      <c r="R469" s="57"/>
      <c r="S469" s="57"/>
      <c r="T469" s="57"/>
      <c r="U469" s="57"/>
      <c r="V469" s="57"/>
      <c r="W469" s="57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1.25" customHeight="1" x14ac:dyDescent="0.2">
      <c r="A470" s="53" t="s">
        <v>21</v>
      </c>
      <c r="B470" s="53" t="s">
        <v>46</v>
      </c>
      <c r="C470" s="53" t="s">
        <v>23</v>
      </c>
      <c r="D470" s="53" t="s">
        <v>47</v>
      </c>
      <c r="E470" s="53" t="s">
        <v>48</v>
      </c>
      <c r="F470" s="53" t="s">
        <v>25</v>
      </c>
      <c r="G470" s="53" t="s">
        <v>25</v>
      </c>
      <c r="H470" s="53" t="s">
        <v>25</v>
      </c>
      <c r="I470" s="73">
        <v>44470</v>
      </c>
      <c r="J470" s="74">
        <f>EFEITO!$J$470*EFEITO!$Y$470</f>
        <v>0</v>
      </c>
      <c r="K470" s="74">
        <f ca="1">EFEITO!$L$470*EFEITO!$Z$470</f>
        <v>137117.79180433368</v>
      </c>
      <c r="L470" s="74">
        <f>EFEITO!$N$470*EFEITO!$AA$470</f>
        <v>46177.635306455952</v>
      </c>
      <c r="M470" s="74">
        <f>$J$470-EFEITO!$K$470*EFEITO!$Y$470</f>
        <v>0</v>
      </c>
      <c r="N470" s="74">
        <f ca="1">$K$470-EFEITO!$M$470*EFEITO!$Z$470</f>
        <v>0</v>
      </c>
      <c r="O470" s="74">
        <f>$L$470-EFEITO!$O$470*EFEITO!$AA$470</f>
        <v>0</v>
      </c>
      <c r="P470" s="57"/>
      <c r="Q470" s="57"/>
      <c r="R470" s="57"/>
      <c r="S470" s="57"/>
      <c r="T470" s="57"/>
      <c r="U470" s="57"/>
      <c r="V470" s="57"/>
      <c r="W470" s="57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1.25" customHeight="1" x14ac:dyDescent="0.2">
      <c r="A471" s="53" t="s">
        <v>21</v>
      </c>
      <c r="B471" s="53" t="s">
        <v>46</v>
      </c>
      <c r="C471" s="53" t="s">
        <v>23</v>
      </c>
      <c r="D471" s="53" t="s">
        <v>47</v>
      </c>
      <c r="E471" s="53" t="s">
        <v>48</v>
      </c>
      <c r="F471" s="53" t="s">
        <v>25</v>
      </c>
      <c r="G471" s="53" t="s">
        <v>25</v>
      </c>
      <c r="H471" s="53" t="s">
        <v>25</v>
      </c>
      <c r="I471" s="73">
        <v>44501</v>
      </c>
      <c r="J471" s="74">
        <f>EFEITO!$J$471*EFEITO!$Y$471</f>
        <v>0</v>
      </c>
      <c r="K471" s="74">
        <f ca="1">EFEITO!$L$471*EFEITO!$Z$471</f>
        <v>125651.33942028657</v>
      </c>
      <c r="L471" s="74">
        <f>EFEITO!$N$471*EFEITO!$AA$471</f>
        <v>42316.038284787501</v>
      </c>
      <c r="M471" s="74">
        <f>$J$471-EFEITO!$K$471*EFEITO!$Y$471</f>
        <v>0</v>
      </c>
      <c r="N471" s="74">
        <f ca="1">$K$471-EFEITO!$M$471*EFEITO!$Z$471</f>
        <v>0</v>
      </c>
      <c r="O471" s="74">
        <f>$L$471-EFEITO!$O$471*EFEITO!$AA$471</f>
        <v>0</v>
      </c>
      <c r="P471" s="57"/>
      <c r="Q471" s="57"/>
      <c r="R471" s="57"/>
      <c r="S471" s="57"/>
      <c r="T471" s="57"/>
      <c r="U471" s="57"/>
      <c r="V471" s="57"/>
      <c r="W471" s="57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1.25" customHeight="1" x14ac:dyDescent="0.2">
      <c r="A472" s="53" t="s">
        <v>21</v>
      </c>
      <c r="B472" s="53" t="s">
        <v>46</v>
      </c>
      <c r="C472" s="53" t="s">
        <v>23</v>
      </c>
      <c r="D472" s="53" t="s">
        <v>47</v>
      </c>
      <c r="E472" s="53" t="s">
        <v>48</v>
      </c>
      <c r="F472" s="53" t="s">
        <v>25</v>
      </c>
      <c r="G472" s="53" t="s">
        <v>25</v>
      </c>
      <c r="H472" s="53" t="s">
        <v>25</v>
      </c>
      <c r="I472" s="73">
        <v>44531</v>
      </c>
      <c r="J472" s="74">
        <f>EFEITO!$J$472*EFEITO!$Y$472</f>
        <v>0</v>
      </c>
      <c r="K472" s="74">
        <f ca="1">EFEITO!$L$472*EFEITO!$Z$472</f>
        <v>130185.74366749915</v>
      </c>
      <c r="L472" s="74">
        <f>EFEITO!$N$472*EFEITO!$AA$472</f>
        <v>43843.105362695394</v>
      </c>
      <c r="M472" s="74">
        <f>$J$472-EFEITO!$K$472*EFEITO!$Y$472</f>
        <v>0</v>
      </c>
      <c r="N472" s="74">
        <f ca="1">$K$472-EFEITO!$M$472*EFEITO!$Z$472</f>
        <v>0</v>
      </c>
      <c r="O472" s="74">
        <f>$L$472-EFEITO!$O$472*EFEITO!$AA$472</f>
        <v>0</v>
      </c>
      <c r="P472" s="57"/>
      <c r="Q472" s="57"/>
      <c r="R472" s="57"/>
      <c r="S472" s="57"/>
      <c r="T472" s="57"/>
      <c r="U472" s="57"/>
      <c r="V472" s="57"/>
      <c r="W472" s="57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1.25" customHeight="1" x14ac:dyDescent="0.2">
      <c r="A473" s="53" t="s">
        <v>21</v>
      </c>
      <c r="B473" s="53" t="s">
        <v>46</v>
      </c>
      <c r="C473" s="53" t="s">
        <v>23</v>
      </c>
      <c r="D473" s="53" t="s">
        <v>47</v>
      </c>
      <c r="E473" s="53" t="s">
        <v>48</v>
      </c>
      <c r="F473" s="53" t="s">
        <v>25</v>
      </c>
      <c r="G473" s="53" t="s">
        <v>25</v>
      </c>
      <c r="H473" s="53" t="s">
        <v>25</v>
      </c>
      <c r="I473" s="73">
        <v>44562</v>
      </c>
      <c r="J473" s="74">
        <f>EFEITO!$J$473*EFEITO!$Y$473</f>
        <v>0</v>
      </c>
      <c r="K473" s="74">
        <f ca="1">EFEITO!$L$473*EFEITO!$Z$473</f>
        <v>132330.06586659787</v>
      </c>
      <c r="L473" s="74">
        <f>EFEITO!$N$473*EFEITO!$AA$473</f>
        <v>44565.256202396922</v>
      </c>
      <c r="M473" s="74">
        <f>$J$473-EFEITO!$K$473*EFEITO!$Y$473</f>
        <v>0</v>
      </c>
      <c r="N473" s="74">
        <f ca="1">$K$473-EFEITO!$M$473*EFEITO!$Z$473</f>
        <v>0</v>
      </c>
      <c r="O473" s="74">
        <f>$L$473-EFEITO!$O$473*EFEITO!$AA$473</f>
        <v>0</v>
      </c>
      <c r="P473" s="57"/>
      <c r="Q473" s="57"/>
      <c r="R473" s="57"/>
      <c r="S473" s="57"/>
      <c r="T473" s="57"/>
      <c r="U473" s="57"/>
      <c r="V473" s="57"/>
      <c r="W473" s="57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1.25" customHeight="1" x14ac:dyDescent="0.2">
      <c r="A474" s="53" t="s">
        <v>21</v>
      </c>
      <c r="B474" s="53" t="s">
        <v>46</v>
      </c>
      <c r="C474" s="53" t="s">
        <v>23</v>
      </c>
      <c r="D474" s="53" t="s">
        <v>47</v>
      </c>
      <c r="E474" s="53" t="s">
        <v>48</v>
      </c>
      <c r="F474" s="53" t="s">
        <v>25</v>
      </c>
      <c r="G474" s="53" t="s">
        <v>25</v>
      </c>
      <c r="H474" s="53" t="s">
        <v>25</v>
      </c>
      <c r="I474" s="73">
        <v>44593</v>
      </c>
      <c r="J474" s="74">
        <f>EFEITO!$J$474*EFEITO!$Y$474</f>
        <v>0</v>
      </c>
      <c r="K474" s="74">
        <f ca="1">EFEITO!$L$474*EFEITO!$Z$474</f>
        <v>125331.04141926252</v>
      </c>
      <c r="L474" s="74">
        <f>EFEITO!$N$474*EFEITO!$AA$474</f>
        <v>42208.170413769112</v>
      </c>
      <c r="M474" s="74">
        <f>$J$474-EFEITO!$K$474*EFEITO!$Y$474</f>
        <v>0</v>
      </c>
      <c r="N474" s="74">
        <f ca="1">$K$474-EFEITO!$M$474*EFEITO!$Z$474</f>
        <v>0</v>
      </c>
      <c r="O474" s="74">
        <f>$L$474-EFEITO!$O$474*EFEITO!$AA$474</f>
        <v>0</v>
      </c>
      <c r="P474" s="57"/>
      <c r="Q474" s="57"/>
      <c r="R474" s="57"/>
      <c r="S474" s="57"/>
      <c r="T474" s="57"/>
      <c r="U474" s="57"/>
      <c r="V474" s="57"/>
      <c r="W474" s="57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1.25" customHeight="1" x14ac:dyDescent="0.2">
      <c r="A475" s="53" t="s">
        <v>21</v>
      </c>
      <c r="B475" s="53" t="s">
        <v>46</v>
      </c>
      <c r="C475" s="53" t="s">
        <v>23</v>
      </c>
      <c r="D475" s="53" t="s">
        <v>47</v>
      </c>
      <c r="E475" s="53" t="s">
        <v>48</v>
      </c>
      <c r="F475" s="53" t="s">
        <v>25</v>
      </c>
      <c r="G475" s="53" t="s">
        <v>25</v>
      </c>
      <c r="H475" s="53" t="s">
        <v>25</v>
      </c>
      <c r="I475" s="73">
        <v>44621</v>
      </c>
      <c r="J475" s="74">
        <f>EFEITO!$J$475*EFEITO!$Y$475</f>
        <v>0</v>
      </c>
      <c r="K475" s="74">
        <f ca="1">EFEITO!$L$475*EFEITO!$Z$475</f>
        <v>146904.4351104974</v>
      </c>
      <c r="L475" s="74">
        <f>EFEITO!$N$475*EFEITO!$AA$475</f>
        <v>49473.517186695746</v>
      </c>
      <c r="M475" s="74">
        <f>$J$475-EFEITO!$K$475*EFEITO!$Y$475</f>
        <v>0</v>
      </c>
      <c r="N475" s="74">
        <f ca="1">$K$475-EFEITO!$M$475*EFEITO!$Z$475</f>
        <v>0</v>
      </c>
      <c r="O475" s="74">
        <f>$L$475-EFEITO!$O$475*EFEITO!$AA$475</f>
        <v>0</v>
      </c>
      <c r="P475" s="57"/>
      <c r="Q475" s="57"/>
      <c r="R475" s="57"/>
      <c r="S475" s="57"/>
      <c r="T475" s="57"/>
      <c r="U475" s="57"/>
      <c r="V475" s="57"/>
      <c r="W475" s="57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89C1-1082-4AF9-B051-D7A8914E2BF7}">
  <dimension ref="A1:BD103"/>
  <sheetViews>
    <sheetView showGridLines="0" topLeftCell="D40" workbookViewId="0">
      <selection activeCell="L53" sqref="L53:BD103"/>
    </sheetView>
  </sheetViews>
  <sheetFormatPr defaultColWidth="9.109375" defaultRowHeight="11.25" customHeight="1" x14ac:dyDescent="0.3"/>
  <cols>
    <col min="1" max="1" width="9.33203125" style="9" bestFit="1" customWidth="1"/>
    <col min="2" max="2" width="23.44140625" style="9" bestFit="1" customWidth="1"/>
    <col min="3" max="3" width="33" style="9" bestFit="1" customWidth="1"/>
    <col min="4" max="4" width="56.109375" style="9" bestFit="1" customWidth="1"/>
    <col min="5" max="5" width="65.6640625" style="9" bestFit="1" customWidth="1"/>
    <col min="6" max="6" width="75.44140625" style="9" bestFit="1" customWidth="1"/>
    <col min="7" max="7" width="7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7.88671875" style="9" bestFit="1" customWidth="1"/>
    <col min="14" max="15" width="4.109375" style="9" bestFit="1" customWidth="1"/>
    <col min="16" max="16" width="4.44140625" style="9" bestFit="1" customWidth="1"/>
    <col min="17" max="19" width="8.6640625" style="9" bestFit="1" customWidth="1"/>
    <col min="20" max="20" width="7.44140625" style="9" bestFit="1" customWidth="1"/>
    <col min="21" max="21" width="7.33203125" style="9" bestFit="1" customWidth="1"/>
    <col min="22" max="23" width="9.88671875" style="9" bestFit="1" customWidth="1"/>
    <col min="24" max="24" width="10" style="9" bestFit="1" customWidth="1"/>
    <col min="25" max="25" width="7.6640625" style="9" bestFit="1" customWidth="1"/>
    <col min="26" max="26" width="9.88671875" style="9" bestFit="1" customWidth="1"/>
    <col min="27" max="27" width="11.6640625" style="9" bestFit="1" customWidth="1"/>
    <col min="28" max="28" width="8" style="9" bestFit="1" customWidth="1"/>
    <col min="29" max="29" width="7.33203125" style="9" bestFit="1" customWidth="1"/>
    <col min="30" max="30" width="15.33203125" style="9" bestFit="1" customWidth="1"/>
    <col min="31" max="31" width="18" style="9" bestFit="1" customWidth="1"/>
    <col min="32" max="32" width="19.109375" style="9" bestFit="1" customWidth="1"/>
    <col min="33" max="33" width="4" style="9" bestFit="1" customWidth="1"/>
    <col min="34" max="34" width="9.109375" style="9"/>
    <col min="35" max="35" width="13.44140625" style="9" bestFit="1" customWidth="1"/>
    <col min="36" max="36" width="7.88671875" style="9" bestFit="1" customWidth="1"/>
    <col min="37" max="38" width="4.109375" style="9" bestFit="1" customWidth="1"/>
    <col min="39" max="39" width="4.44140625" style="9" bestFit="1" customWidth="1"/>
    <col min="40" max="42" width="8.6640625" style="9" bestFit="1" customWidth="1"/>
    <col min="43" max="43" width="7.44140625" style="9" bestFit="1" customWidth="1"/>
    <col min="44" max="44" width="7.33203125" style="9" bestFit="1" customWidth="1"/>
    <col min="45" max="46" width="9.88671875" style="9" bestFit="1" customWidth="1"/>
    <col min="47" max="47" width="10" style="9" bestFit="1" customWidth="1"/>
    <col min="48" max="48" width="7.6640625" style="9" bestFit="1" customWidth="1"/>
    <col min="49" max="49" width="9.88671875" style="9" bestFit="1" customWidth="1"/>
    <col min="50" max="50" width="11.6640625" style="9" bestFit="1" customWidth="1"/>
    <col min="51" max="51" width="8" style="9" bestFit="1" customWidth="1"/>
    <col min="52" max="52" width="7.33203125" style="9" bestFit="1" customWidth="1"/>
    <col min="53" max="53" width="15.33203125" style="9" bestFit="1" customWidth="1"/>
    <col min="54" max="54" width="18" style="9" bestFit="1" customWidth="1"/>
    <col min="55" max="55" width="19.109375" style="9" bestFit="1" customWidth="1"/>
    <col min="56" max="56" width="4" style="9" bestFit="1" customWidth="1"/>
    <col min="57" max="16384" width="9.109375" style="9"/>
  </cols>
  <sheetData>
    <row r="1" spans="1:56" ht="11.25" customHeight="1" x14ac:dyDescent="0.3">
      <c r="A1" s="121" t="s">
        <v>62</v>
      </c>
      <c r="B1" s="121" t="s">
        <v>63</v>
      </c>
      <c r="C1" s="121" t="s">
        <v>64</v>
      </c>
      <c r="D1" s="121" t="s">
        <v>65</v>
      </c>
      <c r="E1" s="121" t="s">
        <v>66</v>
      </c>
      <c r="F1" s="121" t="s">
        <v>15</v>
      </c>
      <c r="G1" s="121" t="s">
        <v>68</v>
      </c>
      <c r="H1" s="121" t="s">
        <v>69</v>
      </c>
      <c r="I1" s="121" t="s">
        <v>570</v>
      </c>
      <c r="J1" s="118"/>
      <c r="L1" s="122" t="s">
        <v>771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I1" s="122" t="s">
        <v>772</v>
      </c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</row>
    <row r="2" spans="1:56" ht="11.25" customHeight="1" x14ac:dyDescent="0.3">
      <c r="A2" s="121"/>
      <c r="B2" s="121"/>
      <c r="C2" s="121"/>
      <c r="D2" s="121"/>
      <c r="E2" s="121"/>
      <c r="F2" s="121"/>
      <c r="G2" s="121"/>
      <c r="H2" s="121"/>
      <c r="I2" s="121"/>
      <c r="J2" s="118"/>
      <c r="L2" s="122" t="s">
        <v>470</v>
      </c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I2" s="122" t="s">
        <v>470</v>
      </c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</row>
    <row r="3" spans="1:56" ht="11.25" customHeight="1" x14ac:dyDescent="0.3">
      <c r="A3" s="121"/>
      <c r="B3" s="121"/>
      <c r="C3" s="121"/>
      <c r="D3" s="121"/>
      <c r="E3" s="121"/>
      <c r="F3" s="121"/>
      <c r="G3" s="121"/>
      <c r="H3" s="121"/>
      <c r="I3" s="121"/>
      <c r="J3" s="118"/>
      <c r="L3" s="122" t="s">
        <v>471</v>
      </c>
      <c r="M3" s="122"/>
      <c r="N3" s="122"/>
      <c r="O3" s="122"/>
      <c r="P3" s="122"/>
      <c r="Q3" s="122"/>
      <c r="R3" s="122"/>
      <c r="S3" s="122"/>
      <c r="T3" s="122" t="s">
        <v>480</v>
      </c>
      <c r="U3" s="122"/>
      <c r="V3" s="122"/>
      <c r="W3" s="122"/>
      <c r="X3" s="122"/>
      <c r="Y3" s="122"/>
      <c r="Z3" s="122"/>
      <c r="AA3" s="88" t="s">
        <v>488</v>
      </c>
      <c r="AB3" s="122" t="s">
        <v>490</v>
      </c>
      <c r="AC3" s="122"/>
      <c r="AD3" s="122" t="s">
        <v>493</v>
      </c>
      <c r="AE3" s="122"/>
      <c r="AF3" s="122"/>
      <c r="AG3" s="122"/>
      <c r="AI3" s="122" t="s">
        <v>471</v>
      </c>
      <c r="AJ3" s="122"/>
      <c r="AK3" s="122"/>
      <c r="AL3" s="122"/>
      <c r="AM3" s="122"/>
      <c r="AN3" s="122"/>
      <c r="AO3" s="122"/>
      <c r="AP3" s="122"/>
      <c r="AQ3" s="122" t="s">
        <v>480</v>
      </c>
      <c r="AR3" s="122"/>
      <c r="AS3" s="122"/>
      <c r="AT3" s="122"/>
      <c r="AU3" s="122"/>
      <c r="AV3" s="122"/>
      <c r="AW3" s="122"/>
      <c r="AX3" s="88" t="s">
        <v>488</v>
      </c>
      <c r="AY3" s="122" t="s">
        <v>490</v>
      </c>
      <c r="AZ3" s="122"/>
      <c r="BA3" s="122" t="s">
        <v>493</v>
      </c>
      <c r="BB3" s="122"/>
      <c r="BC3" s="122"/>
      <c r="BD3" s="122"/>
    </row>
    <row r="4" spans="1:56" ht="11.25" customHeight="1" x14ac:dyDescent="0.3">
      <c r="A4" s="121"/>
      <c r="B4" s="121"/>
      <c r="C4" s="121"/>
      <c r="D4" s="121"/>
      <c r="E4" s="121"/>
      <c r="F4" s="121"/>
      <c r="G4" s="121"/>
      <c r="H4" s="121"/>
      <c r="I4" s="121"/>
      <c r="J4" s="118"/>
      <c r="L4" s="88" t="s">
        <v>555</v>
      </c>
      <c r="M4" s="88" t="s">
        <v>472</v>
      </c>
      <c r="N4" s="88" t="s">
        <v>473</v>
      </c>
      <c r="O4" s="88" t="s">
        <v>474</v>
      </c>
      <c r="P4" s="88" t="s">
        <v>475</v>
      </c>
      <c r="Q4" s="88" t="s">
        <v>476</v>
      </c>
      <c r="R4" s="88" t="s">
        <v>477</v>
      </c>
      <c r="S4" s="88" t="s">
        <v>478</v>
      </c>
      <c r="T4" s="88" t="s">
        <v>481</v>
      </c>
      <c r="U4" s="88" t="s">
        <v>482</v>
      </c>
      <c r="V4" s="88" t="s">
        <v>483</v>
      </c>
      <c r="W4" s="88" t="s">
        <v>484</v>
      </c>
      <c r="X4" s="88" t="s">
        <v>485</v>
      </c>
      <c r="Y4" s="88" t="s">
        <v>486</v>
      </c>
      <c r="Z4" s="88" t="s">
        <v>487</v>
      </c>
      <c r="AA4" s="88" t="s">
        <v>489</v>
      </c>
      <c r="AB4" s="88" t="s">
        <v>491</v>
      </c>
      <c r="AC4" s="88" t="s">
        <v>492</v>
      </c>
      <c r="AD4" s="88" t="s">
        <v>494</v>
      </c>
      <c r="AE4" s="88" t="s">
        <v>495</v>
      </c>
      <c r="AF4" s="88" t="s">
        <v>496</v>
      </c>
      <c r="AG4" s="88" t="s">
        <v>497</v>
      </c>
      <c r="AI4" s="88" t="s">
        <v>555</v>
      </c>
      <c r="AJ4" s="88" t="s">
        <v>472</v>
      </c>
      <c r="AK4" s="88" t="s">
        <v>473</v>
      </c>
      <c r="AL4" s="88" t="s">
        <v>474</v>
      </c>
      <c r="AM4" s="88" t="s">
        <v>475</v>
      </c>
      <c r="AN4" s="88" t="s">
        <v>476</v>
      </c>
      <c r="AO4" s="88" t="s">
        <v>477</v>
      </c>
      <c r="AP4" s="88" t="s">
        <v>478</v>
      </c>
      <c r="AQ4" s="88" t="s">
        <v>481</v>
      </c>
      <c r="AR4" s="88" t="s">
        <v>482</v>
      </c>
      <c r="AS4" s="88" t="s">
        <v>483</v>
      </c>
      <c r="AT4" s="88" t="s">
        <v>484</v>
      </c>
      <c r="AU4" s="88" t="s">
        <v>485</v>
      </c>
      <c r="AV4" s="88" t="s">
        <v>486</v>
      </c>
      <c r="AW4" s="88" t="s">
        <v>487</v>
      </c>
      <c r="AX4" s="88" t="s">
        <v>489</v>
      </c>
      <c r="AY4" s="88" t="s">
        <v>491</v>
      </c>
      <c r="AZ4" s="88" t="s">
        <v>492</v>
      </c>
      <c r="BA4" s="88" t="s">
        <v>494</v>
      </c>
      <c r="BB4" s="88" t="s">
        <v>495</v>
      </c>
      <c r="BC4" s="88" t="s">
        <v>496</v>
      </c>
      <c r="BD4" s="88" t="s">
        <v>497</v>
      </c>
    </row>
    <row r="5" spans="1:56" ht="11.25" customHeight="1" x14ac:dyDescent="0.3">
      <c r="A5" s="120" t="s">
        <v>37</v>
      </c>
      <c r="B5" s="120" t="s">
        <v>41</v>
      </c>
      <c r="C5" s="120" t="s">
        <v>25</v>
      </c>
      <c r="D5" s="120" t="s">
        <v>25</v>
      </c>
      <c r="E5" s="120" t="s">
        <v>25</v>
      </c>
      <c r="F5" s="120" t="s">
        <v>25</v>
      </c>
      <c r="G5" s="21" t="s">
        <v>78</v>
      </c>
      <c r="H5" s="21" t="s">
        <v>77</v>
      </c>
      <c r="I5" s="21">
        <f>'MERCADO TUSD'!$U$2</f>
        <v>1200</v>
      </c>
      <c r="J5" s="17"/>
      <c r="L5" s="87">
        <f>('TUSD BE'!$L$5+'TUSD BF'!$L$5+'TUSD CVA'!$L$5)*1</f>
        <v>0</v>
      </c>
      <c r="M5" s="87">
        <f>('TUSD BE'!$M$5+'TUSD BF'!$M$5+'TUSD CVA'!$M$5)*1</f>
        <v>0</v>
      </c>
      <c r="N5" s="87">
        <f ca="1">('TUSD BE'!$N$5+'TUSD BF'!$N$5+'TUSD CVA'!$N$5)*1</f>
        <v>0</v>
      </c>
      <c r="O5" s="87">
        <f>('TUSD BE'!$O$5+'TUSD BF'!$O$5+'TUSD CVA'!$O$5)*1</f>
        <v>0</v>
      </c>
      <c r="P5" s="87">
        <f>('TUSD BE'!$P$5+'TUSD BF'!$P$5+'TUSD CVA'!$P$5)*1</f>
        <v>0</v>
      </c>
      <c r="Q5" s="87">
        <f>('TUSD BE'!$Q$5+'TUSD BF'!$Q$5+'TUSD CVA'!$Q$5)*1</f>
        <v>0</v>
      </c>
      <c r="R5" s="87">
        <f>('TUSD BE'!$R$5+'TUSD BF'!$R$5+'TUSD CVA'!$R$5)*1</f>
        <v>0</v>
      </c>
      <c r="S5" s="87">
        <f>('TUSD BE'!$S$5+'TUSD BF'!$S$5+'TUSD CVA'!$S$5)*1</f>
        <v>0</v>
      </c>
      <c r="T5" s="87">
        <f>('TUSD BE'!$U$5+'TUSD BF'!$U$5+'TUSD CVA'!$U$5)*1</f>
        <v>0</v>
      </c>
      <c r="U5" s="87">
        <f>('TUSD BE'!$V$5+'TUSD BF'!$V$5+'TUSD CVA'!$V$5)*1</f>
        <v>0</v>
      </c>
      <c r="V5" s="87">
        <f>('TUSD BE'!$W$5+'TUSD BF'!$W$5+'TUSD CVA'!$W$5)*1</f>
        <v>0</v>
      </c>
      <c r="W5" s="87">
        <f>('TUSD BE'!$X$5+'TUSD BF'!$X$5+'TUSD CVA'!$X$5)*1</f>
        <v>0</v>
      </c>
      <c r="X5" s="87">
        <f>('TUSD BE'!$Y$5+'TUSD BF'!$Y$5+'TUSD CVA'!$Y$5)*1</f>
        <v>70.837059261334119</v>
      </c>
      <c r="Y5" s="87">
        <f>('TUSD BE'!$Z$5+'TUSD BF'!$Z$5+'TUSD CVA'!$Z$5)*1</f>
        <v>0</v>
      </c>
      <c r="Z5" s="87">
        <f>('TUSD BE'!$AA$5+'TUSD BF'!$AA$5+'TUSD CVA'!$AA$5)*1</f>
        <v>0</v>
      </c>
      <c r="AA5" s="87">
        <f>('TUSD BE'!$AC$5+'TUSD BF'!$AC$5+'TUSD CVA'!$AC$5)*1</f>
        <v>133.4979396460283</v>
      </c>
      <c r="AB5" s="87">
        <f ca="1">('TUSD BE'!$AE$5+'TUSD BF'!$AE$5+'TUSD CVA'!$AE$5)*1</f>
        <v>0</v>
      </c>
      <c r="AC5" s="87">
        <f ca="1">('TUSD BE'!$AF$5+'TUSD BF'!$AF$5+'TUSD CVA'!$AF$5)*1</f>
        <v>0</v>
      </c>
      <c r="AD5" s="87">
        <f>('TUSD BE'!$AH$5+'TUSD BF'!$AH$5+'TUSD CVA'!$AH$5)*1</f>
        <v>0</v>
      </c>
      <c r="AE5" s="87">
        <f>('TUSD BE'!$AI$5+'TUSD BF'!$AI$5+'TUSD CVA'!$AI$5)*1</f>
        <v>0</v>
      </c>
      <c r="AF5" s="87">
        <f ca="1">('TUSD BE'!$AJ$5+'TUSD BF'!$AJ$5+'TUSD CVA'!$AJ$5)*1</f>
        <v>0</v>
      </c>
      <c r="AG5" s="87">
        <f ca="1">('TUSD BE'!$AK$5+'TUSD BF'!$AK$5+'TUSD CVA'!$AK$5)*1</f>
        <v>0</v>
      </c>
      <c r="AI5" s="87">
        <v>0</v>
      </c>
      <c r="AJ5" s="87">
        <v>0</v>
      </c>
      <c r="AK5" s="87">
        <v>0</v>
      </c>
      <c r="AL5" s="87">
        <v>0</v>
      </c>
      <c r="AM5" s="87">
        <v>0</v>
      </c>
      <c r="AN5" s="87">
        <v>0</v>
      </c>
      <c r="AO5" s="87">
        <v>0</v>
      </c>
      <c r="AP5" s="87">
        <v>0</v>
      </c>
      <c r="AQ5" s="87">
        <v>0</v>
      </c>
      <c r="AR5" s="87">
        <v>0</v>
      </c>
      <c r="AS5" s="87">
        <v>0</v>
      </c>
      <c r="AT5" s="87">
        <v>0</v>
      </c>
      <c r="AU5" s="87">
        <v>65.039807623899193</v>
      </c>
      <c r="AV5" s="87">
        <v>0</v>
      </c>
      <c r="AW5" s="87">
        <v>0</v>
      </c>
      <c r="AX5" s="87">
        <v>118.520153035273</v>
      </c>
      <c r="AY5" s="87">
        <v>3.3922252305165501</v>
      </c>
      <c r="AZ5" s="87">
        <v>0</v>
      </c>
      <c r="BA5" s="87">
        <v>0</v>
      </c>
      <c r="BB5" s="87">
        <v>0</v>
      </c>
      <c r="BC5" s="87">
        <v>0</v>
      </c>
      <c r="BD5" s="87">
        <v>0</v>
      </c>
    </row>
    <row r="6" spans="1:56" ht="11.25" customHeight="1" x14ac:dyDescent="0.3">
      <c r="A6" s="120"/>
      <c r="B6" s="120"/>
      <c r="C6" s="120"/>
      <c r="D6" s="120"/>
      <c r="E6" s="120"/>
      <c r="F6" s="120"/>
      <c r="G6" s="21" t="s">
        <v>79</v>
      </c>
      <c r="H6" s="21" t="s">
        <v>77</v>
      </c>
      <c r="I6" s="21">
        <f>'MERCADO TUSD'!$U$3</f>
        <v>1209</v>
      </c>
      <c r="J6" s="17"/>
      <c r="L6" s="87">
        <f>('TUSD BE'!$L$6+'TUSD BF'!$L$6+'TUSD CVA'!$L$6)*1</f>
        <v>0</v>
      </c>
      <c r="M6" s="87">
        <f>('TUSD BE'!$M$6+'TUSD BF'!$M$6+'TUSD CVA'!$M$6)*1</f>
        <v>0</v>
      </c>
      <c r="N6" s="87">
        <f ca="1">('TUSD BE'!$N$6+'TUSD BF'!$N$6+'TUSD CVA'!$N$6)*1</f>
        <v>0</v>
      </c>
      <c r="O6" s="87">
        <f>('TUSD BE'!$O$6+'TUSD BF'!$O$6+'TUSD CVA'!$O$6)*1</f>
        <v>0</v>
      </c>
      <c r="P6" s="87">
        <f>('TUSD BE'!$P$6+'TUSD BF'!$P$6+'TUSD CVA'!$P$6)*1</f>
        <v>0</v>
      </c>
      <c r="Q6" s="87">
        <f>('TUSD BE'!$Q$6+'TUSD BF'!$Q$6+'TUSD CVA'!$Q$6)*1</f>
        <v>0</v>
      </c>
      <c r="R6" s="87">
        <f>('TUSD BE'!$R$6+'TUSD BF'!$R$6+'TUSD CVA'!$R$6)*1</f>
        <v>0</v>
      </c>
      <c r="S6" s="87">
        <f>('TUSD BE'!$S$6+'TUSD BF'!$S$6+'TUSD CVA'!$S$6)*1</f>
        <v>0</v>
      </c>
      <c r="T6" s="87">
        <f>('TUSD BE'!$U$6+'TUSD BF'!$U$6+'TUSD CVA'!$U$6)*1</f>
        <v>0</v>
      </c>
      <c r="U6" s="87">
        <f>('TUSD BE'!$V$6+'TUSD BF'!$V$6+'TUSD CVA'!$V$6)*1</f>
        <v>0</v>
      </c>
      <c r="V6" s="87">
        <f>('TUSD BE'!$W$6+'TUSD BF'!$W$6+'TUSD CVA'!$W$6)*1</f>
        <v>0</v>
      </c>
      <c r="W6" s="87">
        <f>('TUSD BE'!$X$6+'TUSD BF'!$X$6+'TUSD CVA'!$X$6)*1</f>
        <v>0</v>
      </c>
      <c r="X6" s="87">
        <f>('TUSD BE'!$Y$6+'TUSD BF'!$Y$6+'TUSD CVA'!$Y$6)*1</f>
        <v>38.454617838025399</v>
      </c>
      <c r="Y6" s="87">
        <f>('TUSD BE'!$Z$6+'TUSD BF'!$Z$6+'TUSD CVA'!$Z$6)*1</f>
        <v>0</v>
      </c>
      <c r="Z6" s="87">
        <f>('TUSD BE'!$AA$6+'TUSD BF'!$AA$6+'TUSD CVA'!$AA$6)*1</f>
        <v>0</v>
      </c>
      <c r="AA6" s="87">
        <f>('TUSD BE'!$AC$6+'TUSD BF'!$AC$6+'TUSD CVA'!$AC$6)*1</f>
        <v>42.586358501485272</v>
      </c>
      <c r="AB6" s="87">
        <f ca="1">('TUSD BE'!$AE$6+'TUSD BF'!$AE$6+'TUSD CVA'!$AE$6)*1</f>
        <v>0</v>
      </c>
      <c r="AC6" s="87">
        <f ca="1">('TUSD BE'!$AF$6+'TUSD BF'!$AF$6+'TUSD CVA'!$AF$6)*1</f>
        <v>0</v>
      </c>
      <c r="AD6" s="87">
        <f>('TUSD BE'!$AH$6+'TUSD BF'!$AH$6+'TUSD CVA'!$AH$6)*1</f>
        <v>0</v>
      </c>
      <c r="AE6" s="87">
        <f>('TUSD BE'!$AI$6+'TUSD BF'!$AI$6+'TUSD CVA'!$AI$6)*1</f>
        <v>0</v>
      </c>
      <c r="AF6" s="87">
        <f ca="1">('TUSD BE'!$AJ$6+'TUSD BF'!$AJ$6+'TUSD CVA'!$AJ$6)*1</f>
        <v>0</v>
      </c>
      <c r="AG6" s="87">
        <f ca="1">('TUSD BE'!$AK$6+'TUSD BF'!$AK$6+'TUSD CVA'!$AK$6)*1</f>
        <v>0</v>
      </c>
      <c r="AI6" s="87">
        <v>0</v>
      </c>
      <c r="AJ6" s="87">
        <v>0</v>
      </c>
      <c r="AK6" s="87">
        <v>0</v>
      </c>
      <c r="AL6" s="87">
        <v>0</v>
      </c>
      <c r="AM6" s="87">
        <v>0</v>
      </c>
      <c r="AN6" s="87">
        <v>0</v>
      </c>
      <c r="AO6" s="87">
        <v>0</v>
      </c>
      <c r="AP6" s="87">
        <v>0</v>
      </c>
      <c r="AQ6" s="87">
        <v>0</v>
      </c>
      <c r="AR6" s="87">
        <v>0</v>
      </c>
      <c r="AS6" s="87">
        <v>0</v>
      </c>
      <c r="AT6" s="87">
        <v>0</v>
      </c>
      <c r="AU6" s="87">
        <v>35.3078647728588</v>
      </c>
      <c r="AV6" s="87">
        <v>0</v>
      </c>
      <c r="AW6" s="87">
        <v>0</v>
      </c>
      <c r="AX6" s="87">
        <v>37.808334994915697</v>
      </c>
      <c r="AY6" s="87">
        <v>1.29206443189397</v>
      </c>
      <c r="AZ6" s="87">
        <v>0</v>
      </c>
      <c r="BA6" s="87">
        <v>0</v>
      </c>
      <c r="BB6" s="87">
        <v>0</v>
      </c>
      <c r="BC6" s="87">
        <v>0</v>
      </c>
      <c r="BD6" s="87">
        <v>0</v>
      </c>
    </row>
    <row r="7" spans="1:56" ht="11.25" customHeight="1" x14ac:dyDescent="0.3">
      <c r="A7" s="120"/>
      <c r="B7" s="120"/>
      <c r="C7" s="120"/>
      <c r="D7" s="120"/>
      <c r="E7" s="120"/>
      <c r="F7" s="120"/>
      <c r="G7" s="21" t="s">
        <v>76</v>
      </c>
      <c r="H7" s="21" t="s">
        <v>72</v>
      </c>
      <c r="I7" s="21">
        <f>'MERCADO TUSD'!$U$4</f>
        <v>431.03100000000001</v>
      </c>
      <c r="J7" s="17"/>
      <c r="L7" s="87">
        <f>('TUSD BE'!$L$7+'TUSD BF'!$L$7+'TUSD CVA'!$L$7)*1</f>
        <v>11.725375834933466</v>
      </c>
      <c r="M7" s="87">
        <f>('TUSD BE'!$M$7+'TUSD BF'!$M$7+'TUSD CVA'!$M$7)*1</f>
        <v>2.1296569977403577</v>
      </c>
      <c r="N7" s="87">
        <f ca="1">('TUSD BE'!$N$7+'TUSD BF'!$N$7+'TUSD CVA'!$N$7)*1</f>
        <v>0</v>
      </c>
      <c r="O7" s="87">
        <f>('TUSD BE'!$O$7+'TUSD BF'!$O$7+'TUSD CVA'!$O$7)*1</f>
        <v>0</v>
      </c>
      <c r="P7" s="87">
        <f>('TUSD BE'!$P$7+'TUSD BF'!$P$7+'TUSD CVA'!$P$7)*1</f>
        <v>0</v>
      </c>
      <c r="Q7" s="87">
        <f>('TUSD BE'!$Q$7+'TUSD BF'!$Q$7+'TUSD CVA'!$Q$7)*1</f>
        <v>77.429199575778142</v>
      </c>
      <c r="R7" s="87">
        <f>('TUSD BE'!$R$7+'TUSD BF'!$R$7+'TUSD CVA'!$R$7)*1</f>
        <v>15.281700625331972</v>
      </c>
      <c r="S7" s="87">
        <f>('TUSD BE'!$S$7+'TUSD BF'!$S$7+'TUSD CVA'!$S$7)*1</f>
        <v>0</v>
      </c>
      <c r="T7" s="87">
        <f>('TUSD BE'!$U$7+'TUSD BF'!$U$7+'TUSD CVA'!$U$7)*1</f>
        <v>0</v>
      </c>
      <c r="U7" s="87">
        <f>('TUSD BE'!$V$7+'TUSD BF'!$V$7+'TUSD CVA'!$V$7)*1</f>
        <v>0</v>
      </c>
      <c r="V7" s="87">
        <f>('TUSD BE'!$W$7+'TUSD BF'!$W$7+'TUSD CVA'!$W$7)*1</f>
        <v>0</v>
      </c>
      <c r="W7" s="87">
        <f>('TUSD BE'!$X$7+'TUSD BF'!$X$7+'TUSD CVA'!$X$7)*1</f>
        <v>0</v>
      </c>
      <c r="X7" s="87">
        <f>('TUSD BE'!$Y$7+'TUSD BF'!$Y$7+'TUSD CVA'!$Y$7)*1</f>
        <v>0</v>
      </c>
      <c r="Y7" s="87">
        <f>('TUSD BE'!$Z$7+'TUSD BF'!$Z$7+'TUSD CVA'!$Z$7)*1</f>
        <v>0</v>
      </c>
      <c r="Z7" s="87">
        <f>('TUSD BE'!$AA$7+'TUSD BF'!$AA$7+'TUSD CVA'!$AA$7)*1</f>
        <v>0</v>
      </c>
      <c r="AA7" s="87">
        <f>('TUSD BE'!$AC$7+'TUSD BF'!$AC$7+'TUSD CVA'!$AC$7)*1</f>
        <v>0</v>
      </c>
      <c r="AB7" s="87">
        <f ca="1">('TUSD BE'!$AE$7+'TUSD BF'!$AE$7+'TUSD CVA'!$AE$7)*1</f>
        <v>0</v>
      </c>
      <c r="AC7" s="87">
        <f ca="1">('TUSD BE'!$AF$7+'TUSD BF'!$AF$7+'TUSD CVA'!$AF$7)*1</f>
        <v>0</v>
      </c>
      <c r="AD7" s="87">
        <f>('TUSD BE'!$AH$7+'TUSD BF'!$AH$7+'TUSD CVA'!$AH$7)*1</f>
        <v>12.853580096131045</v>
      </c>
      <c r="AE7" s="87">
        <f>('TUSD BE'!$AI$7+'TUSD BF'!$AI$7+'TUSD CVA'!$AI$7)*1</f>
        <v>0</v>
      </c>
      <c r="AF7" s="87">
        <f ca="1">('TUSD BE'!$AJ$7+'TUSD BF'!$AJ$7+'TUSD CVA'!$AJ$7)*1</f>
        <v>13.756606743408987</v>
      </c>
      <c r="AG7" s="87">
        <f ca="1">('TUSD BE'!$AK$7+'TUSD BF'!$AK$7+'TUSD CVA'!$AK$7)*1</f>
        <v>0</v>
      </c>
      <c r="AI7" s="87">
        <v>0</v>
      </c>
      <c r="AJ7" s="87">
        <v>1.6851612880184801</v>
      </c>
      <c r="AK7" s="87">
        <v>0</v>
      </c>
      <c r="AL7" s="87">
        <v>0</v>
      </c>
      <c r="AM7" s="87">
        <v>0</v>
      </c>
      <c r="AN7" s="87">
        <v>64.757959170664805</v>
      </c>
      <c r="AO7" s="87">
        <v>9.4560662437895306</v>
      </c>
      <c r="AP7" s="87">
        <v>0</v>
      </c>
      <c r="AQ7" s="87">
        <v>0</v>
      </c>
      <c r="AR7" s="87">
        <v>0</v>
      </c>
      <c r="AS7" s="87">
        <v>0</v>
      </c>
      <c r="AT7" s="87">
        <v>0</v>
      </c>
      <c r="AU7" s="87">
        <v>0</v>
      </c>
      <c r="AV7" s="87">
        <v>0</v>
      </c>
      <c r="AW7" s="87">
        <v>0</v>
      </c>
      <c r="AX7" s="87">
        <v>0</v>
      </c>
      <c r="AY7" s="87">
        <v>1.64978237226309</v>
      </c>
      <c r="AZ7" s="87">
        <v>0</v>
      </c>
      <c r="BA7" s="87">
        <v>15.9276805223876</v>
      </c>
      <c r="BB7" s="87">
        <v>0</v>
      </c>
      <c r="BC7" s="87">
        <v>0</v>
      </c>
      <c r="BD7" s="87">
        <v>0</v>
      </c>
    </row>
    <row r="8" spans="1:56" ht="11.25" customHeight="1" x14ac:dyDescent="0.3">
      <c r="A8" s="120"/>
      <c r="B8" s="120"/>
      <c r="C8" s="120"/>
      <c r="D8" s="120"/>
      <c r="E8" s="89" t="s">
        <v>80</v>
      </c>
      <c r="F8" s="89" t="s">
        <v>25</v>
      </c>
      <c r="G8" s="21" t="s">
        <v>76</v>
      </c>
      <c r="H8" s="21" t="s">
        <v>72</v>
      </c>
      <c r="I8" s="21">
        <f>'MERCADO TUSD'!$U$5</f>
        <v>0</v>
      </c>
      <c r="J8" s="17"/>
      <c r="L8" s="87">
        <f>('TUSD BE'!$L$8+'TUSD BF'!$L$8+'TUSD CVA'!$L$8)*1</f>
        <v>0</v>
      </c>
      <c r="M8" s="87">
        <f>('TUSD BE'!$M$8+'TUSD BF'!$M$8+'TUSD CVA'!$M$8)*1</f>
        <v>2.1296569977403577</v>
      </c>
      <c r="N8" s="87">
        <f ca="1">('TUSD BE'!$N$8+'TUSD BF'!$N$8+'TUSD CVA'!$N$8)*1</f>
        <v>0</v>
      </c>
      <c r="O8" s="87">
        <f>('TUSD BE'!$O$8+'TUSD BF'!$O$8+'TUSD CVA'!$O$8)*1</f>
        <v>0</v>
      </c>
      <c r="P8" s="87">
        <f>('TUSD BE'!$P$8+'TUSD BF'!$P$8+'TUSD CVA'!$P$8)*1</f>
        <v>0</v>
      </c>
      <c r="Q8" s="87">
        <f>('TUSD BE'!$Q$8+'TUSD BF'!$Q$8+'TUSD CVA'!$Q$8)*1</f>
        <v>0</v>
      </c>
      <c r="R8" s="87">
        <f>('TUSD BE'!$R$8+'TUSD BF'!$R$8+'TUSD CVA'!$R$8)*1</f>
        <v>0</v>
      </c>
      <c r="S8" s="87">
        <f>('TUSD BE'!$S$8+'TUSD BF'!$S$8+'TUSD CVA'!$S$8)*1</f>
        <v>0</v>
      </c>
      <c r="T8" s="87">
        <f>('TUSD BE'!$U$8+'TUSD BF'!$U$8+'TUSD CVA'!$U$8)*1</f>
        <v>0</v>
      </c>
      <c r="U8" s="87">
        <f>('TUSD BE'!$V$8+'TUSD BF'!$V$8+'TUSD CVA'!$V$8)*1</f>
        <v>0</v>
      </c>
      <c r="V8" s="87">
        <f>('TUSD BE'!$W$8+'TUSD BF'!$W$8+'TUSD CVA'!$W$8)*1</f>
        <v>0</v>
      </c>
      <c r="W8" s="87">
        <f>('TUSD BE'!$X$8+'TUSD BF'!$X$8+'TUSD CVA'!$X$8)*1</f>
        <v>0</v>
      </c>
      <c r="X8" s="87">
        <f>('TUSD BE'!$Y$8+'TUSD BF'!$Y$8+'TUSD CVA'!$Y$8)*1</f>
        <v>0</v>
      </c>
      <c r="Y8" s="87">
        <f>('TUSD BE'!$Z$8+'TUSD BF'!$Z$8+'TUSD CVA'!$Z$8)*1</f>
        <v>0</v>
      </c>
      <c r="Z8" s="87">
        <f>('TUSD BE'!$AA$8+'TUSD BF'!$AA$8+'TUSD CVA'!$AA$8)*1</f>
        <v>0</v>
      </c>
      <c r="AA8" s="87">
        <f>('TUSD BE'!$AC$8+'TUSD BF'!$AC$8+'TUSD CVA'!$AC$8)*1</f>
        <v>0</v>
      </c>
      <c r="AB8" s="87">
        <f ca="1">('TUSD BE'!$AE$8+'TUSD BF'!$AE$8+'TUSD CVA'!$AE$8)*1</f>
        <v>0</v>
      </c>
      <c r="AC8" s="87">
        <f ca="1">('TUSD BE'!$AF$8+'TUSD BF'!$AF$8+'TUSD CVA'!$AF$8)*1</f>
        <v>0</v>
      </c>
      <c r="AD8" s="87">
        <f>('TUSD BE'!$AH$8+'TUSD BF'!$AH$8+'TUSD CVA'!$AH$8)*1</f>
        <v>12.853580096131045</v>
      </c>
      <c r="AE8" s="87">
        <f>('TUSD BE'!$AI$8+'TUSD BF'!$AI$8+'TUSD CVA'!$AI$8)*1</f>
        <v>0</v>
      </c>
      <c r="AF8" s="87">
        <f ca="1">('TUSD BE'!$AJ$8+'TUSD BF'!$AJ$8+'TUSD CVA'!$AJ$8)*1</f>
        <v>13.756606743408987</v>
      </c>
      <c r="AG8" s="87">
        <f ca="1">('TUSD BE'!$AK$8+'TUSD BF'!$AK$8+'TUSD CVA'!$AK$8)*1</f>
        <v>0</v>
      </c>
      <c r="AI8" s="87">
        <v>0</v>
      </c>
      <c r="AJ8" s="87">
        <v>1.6851612880184801</v>
      </c>
      <c r="AK8" s="87">
        <v>0</v>
      </c>
      <c r="AL8" s="87">
        <v>0</v>
      </c>
      <c r="AM8" s="87">
        <v>0</v>
      </c>
      <c r="AN8" s="87">
        <v>0</v>
      </c>
      <c r="AO8" s="87">
        <v>0</v>
      </c>
      <c r="AP8" s="87">
        <v>0</v>
      </c>
      <c r="AQ8" s="87">
        <v>0</v>
      </c>
      <c r="AR8" s="87">
        <v>0</v>
      </c>
      <c r="AS8" s="87">
        <v>0</v>
      </c>
      <c r="AT8" s="87">
        <v>0</v>
      </c>
      <c r="AU8" s="87">
        <v>0</v>
      </c>
      <c r="AV8" s="87">
        <v>0</v>
      </c>
      <c r="AW8" s="87">
        <v>0</v>
      </c>
      <c r="AX8" s="87">
        <v>0</v>
      </c>
      <c r="AY8" s="87">
        <v>0.27396627352326702</v>
      </c>
      <c r="AZ8" s="87">
        <v>0</v>
      </c>
      <c r="BA8" s="87">
        <v>15.9276805223876</v>
      </c>
      <c r="BB8" s="87">
        <v>0</v>
      </c>
      <c r="BC8" s="87">
        <v>0</v>
      </c>
      <c r="BD8" s="87">
        <v>0</v>
      </c>
    </row>
    <row r="9" spans="1:56" ht="11.25" customHeight="1" x14ac:dyDescent="0.3">
      <c r="A9" s="120"/>
      <c r="B9" s="89" t="s">
        <v>81</v>
      </c>
      <c r="C9" s="89" t="s">
        <v>25</v>
      </c>
      <c r="D9" s="89" t="s">
        <v>25</v>
      </c>
      <c r="E9" s="89" t="s">
        <v>25</v>
      </c>
      <c r="F9" s="89" t="s">
        <v>25</v>
      </c>
      <c r="G9" s="21" t="s">
        <v>9</v>
      </c>
      <c r="H9" s="21" t="s">
        <v>77</v>
      </c>
      <c r="I9" s="21">
        <f>'MERCADO TUSD'!$U$6</f>
        <v>0</v>
      </c>
      <c r="J9" s="17"/>
      <c r="L9" s="87">
        <f>('TUSD BE'!$L$9+'TUSD BF'!$L$9+'TUSD CVA'!$L$9)*1</f>
        <v>0</v>
      </c>
      <c r="M9" s="87">
        <f>('TUSD BE'!$M$9+'TUSD BF'!$M$9+'TUSD CVA'!$M$9)*1</f>
        <v>2.8682344714401706E-2</v>
      </c>
      <c r="N9" s="87">
        <f ca="1">('TUSD BE'!$N$9+'TUSD BF'!$N$9+'TUSD CVA'!$N$9)*1</f>
        <v>0</v>
      </c>
      <c r="O9" s="87">
        <f>('TUSD BE'!$O$9+'TUSD BF'!$O$9+'TUSD CVA'!$O$9)*1</f>
        <v>0</v>
      </c>
      <c r="P9" s="87">
        <f>('TUSD BE'!$P$9+'TUSD BF'!$P$9+'TUSD CVA'!$P$9)*1</f>
        <v>0</v>
      </c>
      <c r="Q9" s="87">
        <f>('TUSD BE'!$Q$9+'TUSD BF'!$Q$9+'TUSD CVA'!$Q$9)*1</f>
        <v>0</v>
      </c>
      <c r="R9" s="87">
        <f>('TUSD BE'!$R$9+'TUSD BF'!$R$9+'TUSD CVA'!$R$9)*1</f>
        <v>0</v>
      </c>
      <c r="S9" s="87">
        <f>('TUSD BE'!$S$9+'TUSD BF'!$S$9+'TUSD CVA'!$S$9)*1</f>
        <v>0</v>
      </c>
      <c r="T9" s="87">
        <f>('TUSD BE'!$U$9+'TUSD BF'!$U$9+'TUSD CVA'!$U$9)*1</f>
        <v>0</v>
      </c>
      <c r="U9" s="87">
        <f>('TUSD BE'!$V$9+'TUSD BF'!$V$9+'TUSD CVA'!$V$9)*1</f>
        <v>0</v>
      </c>
      <c r="V9" s="87">
        <f>('TUSD BE'!$W$9+'TUSD BF'!$W$9+'TUSD CVA'!$W$9)*1</f>
        <v>0</v>
      </c>
      <c r="W9" s="87">
        <f>('TUSD BE'!$X$9+'TUSD BF'!$X$9+'TUSD CVA'!$X$9)*1</f>
        <v>0</v>
      </c>
      <c r="X9" s="87">
        <f>('TUSD BE'!$Y$9+'TUSD BF'!$Y$9+'TUSD CVA'!$Y$9)*1</f>
        <v>0</v>
      </c>
      <c r="Y9" s="87">
        <f>('TUSD BE'!$Z$9+'TUSD BF'!$Z$9+'TUSD CVA'!$Z$9)*1</f>
        <v>0</v>
      </c>
      <c r="Z9" s="87">
        <f>('TUSD BE'!$AA$9+'TUSD BF'!$AA$9+'TUSD CVA'!$AA$9)*1</f>
        <v>0</v>
      </c>
      <c r="AA9" s="87">
        <f>('TUSD BE'!$AC$9+'TUSD BF'!$AC$9+'TUSD CVA'!$AC$9)*1</f>
        <v>18.434053496667779</v>
      </c>
      <c r="AB9" s="87">
        <f ca="1">('TUSD BE'!$AE$9+'TUSD BF'!$AE$9+'TUSD CVA'!$AE$9)*1</f>
        <v>0</v>
      </c>
      <c r="AC9" s="87">
        <f ca="1">('TUSD BE'!$AF$9+'TUSD BF'!$AF$9+'TUSD CVA'!$AF$9)*1</f>
        <v>0</v>
      </c>
      <c r="AD9" s="87">
        <f>('TUSD BE'!$AH$9+'TUSD BF'!$AH$9+'TUSD CVA'!$AH$9)*1</f>
        <v>0</v>
      </c>
      <c r="AE9" s="87">
        <f>('TUSD BE'!$AI$9+'TUSD BF'!$AI$9+'TUSD CVA'!$AI$9)*1</f>
        <v>0</v>
      </c>
      <c r="AF9" s="87">
        <f ca="1">('TUSD BE'!$AJ$9+'TUSD BF'!$AJ$9+'TUSD CVA'!$AJ$9)*1</f>
        <v>0</v>
      </c>
      <c r="AG9" s="87">
        <f ca="1">('TUSD BE'!$AK$9+'TUSD BF'!$AK$9+'TUSD CVA'!$AK$9)*1</f>
        <v>0</v>
      </c>
      <c r="AI9" s="87">
        <v>0</v>
      </c>
      <c r="AJ9" s="87">
        <v>0</v>
      </c>
      <c r="AK9" s="87">
        <v>0</v>
      </c>
      <c r="AL9" s="87">
        <v>0</v>
      </c>
      <c r="AM9" s="87">
        <v>0</v>
      </c>
      <c r="AN9" s="87">
        <v>0</v>
      </c>
      <c r="AO9" s="87">
        <v>0</v>
      </c>
      <c r="AP9" s="87">
        <v>0</v>
      </c>
      <c r="AQ9" s="87">
        <v>0</v>
      </c>
      <c r="AR9" s="87">
        <v>0</v>
      </c>
      <c r="AS9" s="87">
        <v>0</v>
      </c>
      <c r="AT9" s="87">
        <v>0</v>
      </c>
      <c r="AU9" s="87">
        <v>0</v>
      </c>
      <c r="AV9" s="87">
        <v>0</v>
      </c>
      <c r="AW9" s="87">
        <v>0</v>
      </c>
      <c r="AX9" s="87">
        <v>16.3458639533971</v>
      </c>
      <c r="AY9" s="87">
        <v>0.33850829717520597</v>
      </c>
      <c r="AZ9" s="87">
        <v>0</v>
      </c>
      <c r="BA9" s="87">
        <v>0</v>
      </c>
      <c r="BB9" s="87">
        <v>0</v>
      </c>
      <c r="BC9" s="87">
        <v>0</v>
      </c>
      <c r="BD9" s="87">
        <v>0</v>
      </c>
    </row>
    <row r="10" spans="1:56" ht="11.25" customHeight="1" x14ac:dyDescent="0.3">
      <c r="A10" s="120"/>
      <c r="B10" s="120" t="s">
        <v>38</v>
      </c>
      <c r="C10" s="120" t="s">
        <v>25</v>
      </c>
      <c r="D10" s="120" t="s">
        <v>25</v>
      </c>
      <c r="E10" s="120" t="s">
        <v>25</v>
      </c>
      <c r="F10" s="120" t="s">
        <v>25</v>
      </c>
      <c r="G10" s="21" t="s">
        <v>9</v>
      </c>
      <c r="H10" s="21" t="s">
        <v>77</v>
      </c>
      <c r="I10" s="21">
        <f>'MERCADO TUSD'!$U$7</f>
        <v>19392</v>
      </c>
      <c r="J10" s="17"/>
      <c r="L10" s="87">
        <f>('TUSD BE'!$L$10+'TUSD BF'!$L$10+'TUSD CVA'!$L$10)*1</f>
        <v>0</v>
      </c>
      <c r="M10" s="87">
        <f>('TUSD BE'!$M$10+'TUSD BF'!$M$10+'TUSD CVA'!$M$10)*1</f>
        <v>0</v>
      </c>
      <c r="N10" s="87">
        <f ca="1">('TUSD BE'!$N$10+'TUSD BF'!$N$10+'TUSD CVA'!$N$10)*1</f>
        <v>0</v>
      </c>
      <c r="O10" s="87">
        <f>('TUSD BE'!$O$10+'TUSD BF'!$O$10+'TUSD CVA'!$O$10)*1</f>
        <v>0</v>
      </c>
      <c r="P10" s="87">
        <f>('TUSD BE'!$P$10+'TUSD BF'!$P$10+'TUSD CVA'!$P$10)*1</f>
        <v>0</v>
      </c>
      <c r="Q10" s="87">
        <f>('TUSD BE'!$Q$10+'TUSD BF'!$Q$10+'TUSD CVA'!$Q$10)*1</f>
        <v>0</v>
      </c>
      <c r="R10" s="87">
        <f>('TUSD BE'!$R$10+'TUSD BF'!$R$10+'TUSD CVA'!$R$10)*1</f>
        <v>0</v>
      </c>
      <c r="S10" s="87">
        <f>('TUSD BE'!$S$10+'TUSD BF'!$S$10+'TUSD CVA'!$S$10)*1</f>
        <v>0</v>
      </c>
      <c r="T10" s="87">
        <f>('TUSD BE'!$U$10+'TUSD BF'!$U$10+'TUSD CVA'!$U$10)*1</f>
        <v>0</v>
      </c>
      <c r="U10" s="87">
        <f>('TUSD BE'!$V$10+'TUSD BF'!$V$10+'TUSD CVA'!$V$10)*1</f>
        <v>0</v>
      </c>
      <c r="V10" s="87">
        <f>('TUSD BE'!$W$10+'TUSD BF'!$W$10+'TUSD CVA'!$W$10)*1</f>
        <v>0</v>
      </c>
      <c r="W10" s="87">
        <f>('TUSD BE'!$X$10+'TUSD BF'!$X$10+'TUSD CVA'!$X$10)*1</f>
        <v>0</v>
      </c>
      <c r="X10" s="87">
        <f>('TUSD BE'!$Y$10+'TUSD BF'!$Y$10+'TUSD CVA'!$Y$10)*1</f>
        <v>38.454617838025399</v>
      </c>
      <c r="Y10" s="87">
        <f>('TUSD BE'!$Z$10+'TUSD BF'!$Z$10+'TUSD CVA'!$Z$10)*1</f>
        <v>0</v>
      </c>
      <c r="Z10" s="87">
        <f>('TUSD BE'!$AA$10+'TUSD BF'!$AA$10+'TUSD CVA'!$AA$10)*1</f>
        <v>0</v>
      </c>
      <c r="AA10" s="87">
        <f>('TUSD BE'!$AC$10+'TUSD BF'!$AC$10+'TUSD CVA'!$AC$10)*1</f>
        <v>42.586358501485272</v>
      </c>
      <c r="AB10" s="87">
        <f ca="1">('TUSD BE'!$AE$10+'TUSD BF'!$AE$10+'TUSD CVA'!$AE$10)*1</f>
        <v>0</v>
      </c>
      <c r="AC10" s="87">
        <f ca="1">('TUSD BE'!$AF$10+'TUSD BF'!$AF$10+'TUSD CVA'!$AF$10)*1</f>
        <v>0</v>
      </c>
      <c r="AD10" s="87">
        <f>('TUSD BE'!$AH$10+'TUSD BF'!$AH$10+'TUSD CVA'!$AH$10)*1</f>
        <v>0</v>
      </c>
      <c r="AE10" s="87">
        <f>('TUSD BE'!$AI$10+'TUSD BF'!$AI$10+'TUSD CVA'!$AI$10)*1</f>
        <v>0</v>
      </c>
      <c r="AF10" s="87">
        <f ca="1">('TUSD BE'!$AJ$10+'TUSD BF'!$AJ$10+'TUSD CVA'!$AJ$10)*1</f>
        <v>0</v>
      </c>
      <c r="AG10" s="87">
        <f ca="1">('TUSD BE'!$AK$10+'TUSD BF'!$AK$10+'TUSD CVA'!$AK$10)*1</f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0</v>
      </c>
      <c r="AN10" s="87">
        <v>0</v>
      </c>
      <c r="AO10" s="87">
        <v>0</v>
      </c>
      <c r="AP10" s="87">
        <v>0</v>
      </c>
      <c r="AQ10" s="87">
        <v>0</v>
      </c>
      <c r="AR10" s="87">
        <v>0</v>
      </c>
      <c r="AS10" s="87">
        <v>0</v>
      </c>
      <c r="AT10" s="87">
        <v>0</v>
      </c>
      <c r="AU10" s="87">
        <v>35.3078647728588</v>
      </c>
      <c r="AV10" s="87">
        <v>0</v>
      </c>
      <c r="AW10" s="87">
        <v>0</v>
      </c>
      <c r="AX10" s="87">
        <v>37.808334994915697</v>
      </c>
      <c r="AY10" s="87">
        <v>1.29206443189397</v>
      </c>
      <c r="AZ10" s="87">
        <v>0</v>
      </c>
      <c r="BA10" s="87">
        <v>0</v>
      </c>
      <c r="BB10" s="87">
        <v>0</v>
      </c>
      <c r="BC10" s="87">
        <v>0</v>
      </c>
      <c r="BD10" s="87">
        <v>0</v>
      </c>
    </row>
    <row r="11" spans="1:56" ht="11.25" customHeight="1" x14ac:dyDescent="0.3">
      <c r="A11" s="120"/>
      <c r="B11" s="120"/>
      <c r="C11" s="120"/>
      <c r="D11" s="120"/>
      <c r="E11" s="120"/>
      <c r="F11" s="120"/>
      <c r="G11" s="21" t="s">
        <v>73</v>
      </c>
      <c r="H11" s="21" t="s">
        <v>72</v>
      </c>
      <c r="I11" s="21">
        <f>'MERCADO TUSD'!$U$8</f>
        <v>47.495999999999995</v>
      </c>
      <c r="J11" s="17"/>
      <c r="L11" s="87">
        <f>('TUSD BE'!$L$11+'TUSD BF'!$L$11+'TUSD CVA'!$L$11)*1</f>
        <v>11.725375834933466</v>
      </c>
      <c r="M11" s="87">
        <f>('TUSD BE'!$M$11+'TUSD BF'!$M$11+'TUSD CVA'!$M$11)*1</f>
        <v>2.1296569977403577</v>
      </c>
      <c r="N11" s="87">
        <f ca="1">('TUSD BE'!$N$11+'TUSD BF'!$N$11+'TUSD CVA'!$N$11)*1</f>
        <v>0</v>
      </c>
      <c r="O11" s="87">
        <f>('TUSD BE'!$O$11+'TUSD BF'!$O$11+'TUSD CVA'!$O$11)*1</f>
        <v>0</v>
      </c>
      <c r="P11" s="87">
        <f>('TUSD BE'!$P$11+'TUSD BF'!$P$11+'TUSD CVA'!$P$11)*1</f>
        <v>0</v>
      </c>
      <c r="Q11" s="87">
        <f>('TUSD BE'!$Q$11+'TUSD BF'!$Q$11+'TUSD CVA'!$Q$11)*1</f>
        <v>77.429199575778142</v>
      </c>
      <c r="R11" s="87">
        <f>('TUSD BE'!$R$11+'TUSD BF'!$R$11+'TUSD CVA'!$R$11)*1</f>
        <v>15.281700625331972</v>
      </c>
      <c r="S11" s="87">
        <f>('TUSD BE'!$S$11+'TUSD BF'!$S$11+'TUSD CVA'!$S$11)*1</f>
        <v>0</v>
      </c>
      <c r="T11" s="87">
        <f>('TUSD BE'!$U$11+'TUSD BF'!$U$11+'TUSD CVA'!$U$11)*1</f>
        <v>0</v>
      </c>
      <c r="U11" s="87">
        <f>('TUSD BE'!$V$11+'TUSD BF'!$V$11+'TUSD CVA'!$V$11)*1</f>
        <v>0</v>
      </c>
      <c r="V11" s="87">
        <f>('TUSD BE'!$W$11+'TUSD BF'!$W$11+'TUSD CVA'!$W$11)*1</f>
        <v>0</v>
      </c>
      <c r="W11" s="87">
        <f>('TUSD BE'!$X$11+'TUSD BF'!$X$11+'TUSD CVA'!$X$11)*1</f>
        <v>0</v>
      </c>
      <c r="X11" s="87">
        <f>('TUSD BE'!$Y$11+'TUSD BF'!$Y$11+'TUSD CVA'!$Y$11)*1</f>
        <v>1703.646646884444</v>
      </c>
      <c r="Y11" s="87">
        <f>('TUSD BE'!$Z$11+'TUSD BF'!$Z$11+'TUSD CVA'!$Z$11)*1</f>
        <v>0</v>
      </c>
      <c r="Z11" s="87">
        <f>('TUSD BE'!$AA$11+'TUSD BF'!$AA$11+'TUSD CVA'!$AA$11)*1</f>
        <v>0</v>
      </c>
      <c r="AA11" s="87">
        <f>('TUSD BE'!$AC$11+'TUSD BF'!$AC$11+'TUSD CVA'!$AC$11)*1</f>
        <v>3210.6327725503465</v>
      </c>
      <c r="AB11" s="87">
        <f ca="1">('TUSD BE'!$AE$11+'TUSD BF'!$AE$11+'TUSD CVA'!$AE$11)*1</f>
        <v>0</v>
      </c>
      <c r="AC11" s="87">
        <f ca="1">('TUSD BE'!$AF$11+'TUSD BF'!$AF$11+'TUSD CVA'!$AF$11)*1</f>
        <v>0</v>
      </c>
      <c r="AD11" s="87">
        <f>('TUSD BE'!$AH$11+'TUSD BF'!$AH$11+'TUSD CVA'!$AH$11)*1</f>
        <v>12.853580096131045</v>
      </c>
      <c r="AE11" s="87">
        <f>('TUSD BE'!$AI$11+'TUSD BF'!$AI$11+'TUSD CVA'!$AI$11)*1</f>
        <v>0</v>
      </c>
      <c r="AF11" s="87">
        <f ca="1">('TUSD BE'!$AJ$11+'TUSD BF'!$AJ$11+'TUSD CVA'!$AJ$11)*1</f>
        <v>13.756606743408987</v>
      </c>
      <c r="AG11" s="87">
        <f ca="1">('TUSD BE'!$AK$11+'TUSD BF'!$AK$11+'TUSD CVA'!$AK$11)*1</f>
        <v>0</v>
      </c>
      <c r="AI11" s="87">
        <v>0</v>
      </c>
      <c r="AJ11" s="87">
        <v>1.6851612880184801</v>
      </c>
      <c r="AK11" s="87">
        <v>0</v>
      </c>
      <c r="AL11" s="87">
        <v>0</v>
      </c>
      <c r="AM11" s="87">
        <v>0</v>
      </c>
      <c r="AN11" s="87">
        <v>64.757959170664805</v>
      </c>
      <c r="AO11" s="87">
        <v>9.4560662437895306</v>
      </c>
      <c r="AP11" s="87">
        <v>0</v>
      </c>
      <c r="AQ11" s="87">
        <v>0</v>
      </c>
      <c r="AR11" s="87">
        <v>0</v>
      </c>
      <c r="AS11" s="87">
        <v>0</v>
      </c>
      <c r="AT11" s="87">
        <v>0</v>
      </c>
      <c r="AU11" s="87">
        <v>1564.20741419405</v>
      </c>
      <c r="AV11" s="87">
        <v>0</v>
      </c>
      <c r="AW11" s="87">
        <v>0</v>
      </c>
      <c r="AX11" s="87">
        <v>2850.4146074933501</v>
      </c>
      <c r="AY11" s="87">
        <v>83.232901788711203</v>
      </c>
      <c r="AZ11" s="87">
        <v>0</v>
      </c>
      <c r="BA11" s="87">
        <v>15.9276805223876</v>
      </c>
      <c r="BB11" s="87">
        <v>0</v>
      </c>
      <c r="BC11" s="87">
        <v>0</v>
      </c>
      <c r="BD11" s="87">
        <v>0</v>
      </c>
    </row>
    <row r="12" spans="1:56" ht="11.25" customHeight="1" x14ac:dyDescent="0.3">
      <c r="A12" s="120"/>
      <c r="B12" s="120"/>
      <c r="C12" s="120"/>
      <c r="D12" s="120"/>
      <c r="E12" s="120"/>
      <c r="F12" s="120"/>
      <c r="G12" s="21" t="s">
        <v>74</v>
      </c>
      <c r="H12" s="21" t="s">
        <v>72</v>
      </c>
      <c r="I12" s="21">
        <f>'MERCADO TUSD'!$U$9</f>
        <v>2868.4139999999998</v>
      </c>
      <c r="J12" s="17"/>
      <c r="L12" s="87">
        <f>('TUSD BE'!$L$12+'TUSD BF'!$L$12+'TUSD CVA'!$L$12)*1</f>
        <v>11.725375834933466</v>
      </c>
      <c r="M12" s="87">
        <f>('TUSD BE'!$M$12+'TUSD BF'!$M$12+'TUSD CVA'!$M$12)*1</f>
        <v>2.1296569977403577</v>
      </c>
      <c r="N12" s="87">
        <f ca="1">('TUSD BE'!$N$12+'TUSD BF'!$N$12+'TUSD CVA'!$N$12)*1</f>
        <v>0</v>
      </c>
      <c r="O12" s="87">
        <f>('TUSD BE'!$O$12+'TUSD BF'!$O$12+'TUSD CVA'!$O$12)*1</f>
        <v>0</v>
      </c>
      <c r="P12" s="87">
        <f>('TUSD BE'!$P$12+'TUSD BF'!$P$12+'TUSD CVA'!$P$12)*1</f>
        <v>0</v>
      </c>
      <c r="Q12" s="87">
        <f>('TUSD BE'!$Q$12+'TUSD BF'!$Q$12+'TUSD CVA'!$Q$12)*1</f>
        <v>77.429199575778142</v>
      </c>
      <c r="R12" s="87">
        <f>('TUSD BE'!$R$12+'TUSD BF'!$R$12+'TUSD CVA'!$R$12)*1</f>
        <v>15.281700625331972</v>
      </c>
      <c r="S12" s="87">
        <f>('TUSD BE'!$S$12+'TUSD BF'!$S$12+'TUSD CVA'!$S$12)*1</f>
        <v>0</v>
      </c>
      <c r="T12" s="87">
        <f>('TUSD BE'!$U$12+'TUSD BF'!$U$12+'TUSD CVA'!$U$12)*1</f>
        <v>0</v>
      </c>
      <c r="U12" s="87">
        <f>('TUSD BE'!$V$12+'TUSD BF'!$V$12+'TUSD CVA'!$V$12)*1</f>
        <v>0</v>
      </c>
      <c r="V12" s="87">
        <f>('TUSD BE'!$W$12+'TUSD BF'!$W$12+'TUSD CVA'!$W$12)*1</f>
        <v>0</v>
      </c>
      <c r="W12" s="87">
        <f>('TUSD BE'!$X$12+'TUSD BF'!$X$12+'TUSD CVA'!$X$12)*1</f>
        <v>0</v>
      </c>
      <c r="X12" s="87">
        <f>('TUSD BE'!$Y$12+'TUSD BF'!$Y$12+'TUSD CVA'!$Y$12)*1</f>
        <v>0</v>
      </c>
      <c r="Y12" s="87">
        <f>('TUSD BE'!$Z$12+'TUSD BF'!$Z$12+'TUSD CVA'!$Z$12)*1</f>
        <v>0</v>
      </c>
      <c r="Z12" s="87">
        <f>('TUSD BE'!$AA$12+'TUSD BF'!$AA$12+'TUSD CVA'!$AA$12)*1</f>
        <v>0</v>
      </c>
      <c r="AA12" s="87">
        <f>('TUSD BE'!$AC$12+'TUSD BF'!$AC$12+'TUSD CVA'!$AC$12)*1</f>
        <v>0</v>
      </c>
      <c r="AB12" s="87">
        <f ca="1">('TUSD BE'!$AE$12+'TUSD BF'!$AE$12+'TUSD CVA'!$AE$12)*1</f>
        <v>0</v>
      </c>
      <c r="AC12" s="87">
        <f ca="1">('TUSD BE'!$AF$12+'TUSD BF'!$AF$12+'TUSD CVA'!$AF$12)*1</f>
        <v>0</v>
      </c>
      <c r="AD12" s="87">
        <f>('TUSD BE'!$AH$12+'TUSD BF'!$AH$12+'TUSD CVA'!$AH$12)*1</f>
        <v>12.853580096131045</v>
      </c>
      <c r="AE12" s="87">
        <f>('TUSD BE'!$AI$12+'TUSD BF'!$AI$12+'TUSD CVA'!$AI$12)*1</f>
        <v>0</v>
      </c>
      <c r="AF12" s="87">
        <f ca="1">('TUSD BE'!$AJ$12+'TUSD BF'!$AJ$12+'TUSD CVA'!$AJ$12)*1</f>
        <v>13.756606743408987</v>
      </c>
      <c r="AG12" s="87">
        <f ca="1">('TUSD BE'!$AK$12+'TUSD BF'!$AK$12+'TUSD CVA'!$AK$12)*1</f>
        <v>0</v>
      </c>
      <c r="AI12" s="87">
        <v>0</v>
      </c>
      <c r="AJ12" s="87">
        <v>1.6851612880184801</v>
      </c>
      <c r="AK12" s="87">
        <v>0</v>
      </c>
      <c r="AL12" s="87">
        <v>0</v>
      </c>
      <c r="AM12" s="87">
        <v>0</v>
      </c>
      <c r="AN12" s="87">
        <v>64.757959170664805</v>
      </c>
      <c r="AO12" s="87">
        <v>9.4560662437895306</v>
      </c>
      <c r="AP12" s="87">
        <v>0</v>
      </c>
      <c r="AQ12" s="87">
        <v>0</v>
      </c>
      <c r="AR12" s="87">
        <v>0</v>
      </c>
      <c r="AS12" s="87">
        <v>0</v>
      </c>
      <c r="AT12" s="87">
        <v>0</v>
      </c>
      <c r="AU12" s="87">
        <v>0</v>
      </c>
      <c r="AV12" s="87">
        <v>0</v>
      </c>
      <c r="AW12" s="87">
        <v>0</v>
      </c>
      <c r="AX12" s="87">
        <v>0</v>
      </c>
      <c r="AY12" s="87">
        <v>1.64978237226309</v>
      </c>
      <c r="AZ12" s="87">
        <v>0</v>
      </c>
      <c r="BA12" s="87">
        <v>15.9276805223876</v>
      </c>
      <c r="BB12" s="87">
        <v>0</v>
      </c>
      <c r="BC12" s="87">
        <v>0</v>
      </c>
      <c r="BD12" s="87">
        <v>0</v>
      </c>
    </row>
    <row r="13" spans="1:56" ht="11.25" customHeight="1" x14ac:dyDescent="0.3">
      <c r="A13" s="120"/>
      <c r="B13" s="120"/>
      <c r="C13" s="120"/>
      <c r="D13" s="120"/>
      <c r="E13" s="120" t="s">
        <v>80</v>
      </c>
      <c r="F13" s="120" t="s">
        <v>25</v>
      </c>
      <c r="G13" s="21" t="s">
        <v>73</v>
      </c>
      <c r="H13" s="21" t="s">
        <v>72</v>
      </c>
      <c r="I13" s="21">
        <f>'MERCADO TUSD'!$U$10</f>
        <v>0</v>
      </c>
      <c r="J13" s="17"/>
      <c r="L13" s="87">
        <f>('TUSD BE'!$L$13+'TUSD BF'!$L$13+'TUSD CVA'!$L$13)*1</f>
        <v>0</v>
      </c>
      <c r="M13" s="87">
        <f>('TUSD BE'!$M$13+'TUSD BF'!$M$13+'TUSD CVA'!$M$13)*1</f>
        <v>2.1296569977403577</v>
      </c>
      <c r="N13" s="87">
        <f ca="1">('TUSD BE'!$N$13+'TUSD BF'!$N$13+'TUSD CVA'!$N$13)*1</f>
        <v>0</v>
      </c>
      <c r="O13" s="87">
        <f>('TUSD BE'!$O$13+'TUSD BF'!$O$13+'TUSD CVA'!$O$13)*1</f>
        <v>0</v>
      </c>
      <c r="P13" s="87">
        <f>('TUSD BE'!$P$13+'TUSD BF'!$P$13+'TUSD CVA'!$P$13)*1</f>
        <v>0</v>
      </c>
      <c r="Q13" s="87">
        <f>('TUSD BE'!$Q$13+'TUSD BF'!$Q$13+'TUSD CVA'!$Q$13)*1</f>
        <v>0</v>
      </c>
      <c r="R13" s="87">
        <f>('TUSD BE'!$R$13+'TUSD BF'!$R$13+'TUSD CVA'!$R$13)*1</f>
        <v>0</v>
      </c>
      <c r="S13" s="87">
        <f>('TUSD BE'!$S$13+'TUSD BF'!$S$13+'TUSD CVA'!$S$13)*1</f>
        <v>0</v>
      </c>
      <c r="T13" s="87">
        <f>('TUSD BE'!$U$13+'TUSD BF'!$U$13+'TUSD CVA'!$U$13)*1</f>
        <v>0</v>
      </c>
      <c r="U13" s="87">
        <f>('TUSD BE'!$V$13+'TUSD BF'!$V$13+'TUSD CVA'!$V$13)*1</f>
        <v>0</v>
      </c>
      <c r="V13" s="87">
        <f>('TUSD BE'!$W$13+'TUSD BF'!$W$13+'TUSD CVA'!$W$13)*1</f>
        <v>0</v>
      </c>
      <c r="W13" s="87">
        <f>('TUSD BE'!$X$13+'TUSD BF'!$X$13+'TUSD CVA'!$X$13)*1</f>
        <v>0</v>
      </c>
      <c r="X13" s="87">
        <f>('TUSD BE'!$Y$13+'TUSD BF'!$Y$13+'TUSD CVA'!$Y$13)*1</f>
        <v>1703.646646884444</v>
      </c>
      <c r="Y13" s="87">
        <f>('TUSD BE'!$Z$13+'TUSD BF'!$Z$13+'TUSD CVA'!$Z$13)*1</f>
        <v>0</v>
      </c>
      <c r="Z13" s="87">
        <f>('TUSD BE'!$AA$13+'TUSD BF'!$AA$13+'TUSD CVA'!$AA$13)*1</f>
        <v>0</v>
      </c>
      <c r="AA13" s="87">
        <f>('TUSD BE'!$AC$13+'TUSD BF'!$AC$13+'TUSD CVA'!$AC$13)*1</f>
        <v>3210.6327725503465</v>
      </c>
      <c r="AB13" s="87">
        <f ca="1">('TUSD BE'!$AE$13+'TUSD BF'!$AE$13+'TUSD CVA'!$AE$13)*1</f>
        <v>0</v>
      </c>
      <c r="AC13" s="87">
        <f ca="1">('TUSD BE'!$AF$13+'TUSD BF'!$AF$13+'TUSD CVA'!$AF$13)*1</f>
        <v>0</v>
      </c>
      <c r="AD13" s="87">
        <f>('TUSD BE'!$AH$13+'TUSD BF'!$AH$13+'TUSD CVA'!$AH$13)*1</f>
        <v>12.853580096131045</v>
      </c>
      <c r="AE13" s="87">
        <f>('TUSD BE'!$AI$13+'TUSD BF'!$AI$13+'TUSD CVA'!$AI$13)*1</f>
        <v>0</v>
      </c>
      <c r="AF13" s="87">
        <f ca="1">('TUSD BE'!$AJ$13+'TUSD BF'!$AJ$13+'TUSD CVA'!$AJ$13)*1</f>
        <v>13.756606743408987</v>
      </c>
      <c r="AG13" s="87">
        <f ca="1">('TUSD BE'!$AK$13+'TUSD BF'!$AK$13+'TUSD CVA'!$AK$13)*1</f>
        <v>0</v>
      </c>
      <c r="AI13" s="87">
        <v>0</v>
      </c>
      <c r="AJ13" s="87">
        <v>1.6851612880184801</v>
      </c>
      <c r="AK13" s="87">
        <v>0</v>
      </c>
      <c r="AL13" s="87">
        <v>0</v>
      </c>
      <c r="AM13" s="87">
        <v>0</v>
      </c>
      <c r="AN13" s="87">
        <v>0</v>
      </c>
      <c r="AO13" s="87">
        <v>0</v>
      </c>
      <c r="AP13" s="87">
        <v>0</v>
      </c>
      <c r="AQ13" s="87">
        <v>0</v>
      </c>
      <c r="AR13" s="87">
        <v>0</v>
      </c>
      <c r="AS13" s="87">
        <v>0</v>
      </c>
      <c r="AT13" s="87">
        <v>0</v>
      </c>
      <c r="AU13" s="87">
        <v>1564.20741419405</v>
      </c>
      <c r="AV13" s="87">
        <v>0</v>
      </c>
      <c r="AW13" s="87">
        <v>0</v>
      </c>
      <c r="AX13" s="87">
        <v>2850.4146074933501</v>
      </c>
      <c r="AY13" s="87">
        <v>81.857085689971399</v>
      </c>
      <c r="AZ13" s="87">
        <v>0</v>
      </c>
      <c r="BA13" s="87">
        <v>15.9276805223876</v>
      </c>
      <c r="BB13" s="87">
        <v>0</v>
      </c>
      <c r="BC13" s="87">
        <v>0</v>
      </c>
      <c r="BD13" s="87">
        <v>0</v>
      </c>
    </row>
    <row r="14" spans="1:56" ht="11.25" customHeight="1" x14ac:dyDescent="0.3">
      <c r="A14" s="120"/>
      <c r="B14" s="120"/>
      <c r="C14" s="120"/>
      <c r="D14" s="120"/>
      <c r="E14" s="120"/>
      <c r="F14" s="120"/>
      <c r="G14" s="21" t="s">
        <v>74</v>
      </c>
      <c r="H14" s="21" t="s">
        <v>72</v>
      </c>
      <c r="I14" s="21">
        <f>'MERCADO TUSD'!$U$11</f>
        <v>0</v>
      </c>
      <c r="J14" s="17"/>
      <c r="L14" s="87">
        <f>('TUSD BE'!$L$14+'TUSD BF'!$L$14+'TUSD CVA'!$L$14)*1</f>
        <v>0</v>
      </c>
      <c r="M14" s="87">
        <f>('TUSD BE'!$M$14+'TUSD BF'!$M$14+'TUSD CVA'!$M$14)*1</f>
        <v>2.1296569977403577</v>
      </c>
      <c r="N14" s="87">
        <f ca="1">('TUSD BE'!$N$14+'TUSD BF'!$N$14+'TUSD CVA'!$N$14)*1</f>
        <v>0</v>
      </c>
      <c r="O14" s="87">
        <f>('TUSD BE'!$O$14+'TUSD BF'!$O$14+'TUSD CVA'!$O$14)*1</f>
        <v>0</v>
      </c>
      <c r="P14" s="87">
        <f>('TUSD BE'!$P$14+'TUSD BF'!$P$14+'TUSD CVA'!$P$14)*1</f>
        <v>0</v>
      </c>
      <c r="Q14" s="87">
        <f>('TUSD BE'!$Q$14+'TUSD BF'!$Q$14+'TUSD CVA'!$Q$14)*1</f>
        <v>0</v>
      </c>
      <c r="R14" s="87">
        <f>('TUSD BE'!$R$14+'TUSD BF'!$R$14+'TUSD CVA'!$R$14)*1</f>
        <v>0</v>
      </c>
      <c r="S14" s="87">
        <f>('TUSD BE'!$S$14+'TUSD BF'!$S$14+'TUSD CVA'!$S$14)*1</f>
        <v>0</v>
      </c>
      <c r="T14" s="87">
        <f>('TUSD BE'!$U$14+'TUSD BF'!$U$14+'TUSD CVA'!$U$14)*1</f>
        <v>0</v>
      </c>
      <c r="U14" s="87">
        <f>('TUSD BE'!$V$14+'TUSD BF'!$V$14+'TUSD CVA'!$V$14)*1</f>
        <v>0</v>
      </c>
      <c r="V14" s="87">
        <f>('TUSD BE'!$W$14+'TUSD BF'!$W$14+'TUSD CVA'!$W$14)*1</f>
        <v>0</v>
      </c>
      <c r="W14" s="87">
        <f>('TUSD BE'!$X$14+'TUSD BF'!$X$14+'TUSD CVA'!$X$14)*1</f>
        <v>0</v>
      </c>
      <c r="X14" s="87">
        <f>('TUSD BE'!$Y$14+'TUSD BF'!$Y$14+'TUSD CVA'!$Y$14)*1</f>
        <v>0</v>
      </c>
      <c r="Y14" s="87">
        <f>('TUSD BE'!$Z$14+'TUSD BF'!$Z$14+'TUSD CVA'!$Z$14)*1</f>
        <v>0</v>
      </c>
      <c r="Z14" s="87">
        <f>('TUSD BE'!$AA$14+'TUSD BF'!$AA$14+'TUSD CVA'!$AA$14)*1</f>
        <v>0</v>
      </c>
      <c r="AA14" s="87">
        <f>('TUSD BE'!$AC$14+'TUSD BF'!$AC$14+'TUSD CVA'!$AC$14)*1</f>
        <v>0</v>
      </c>
      <c r="AB14" s="87">
        <f ca="1">('TUSD BE'!$AE$14+'TUSD BF'!$AE$14+'TUSD CVA'!$AE$14)*1</f>
        <v>0</v>
      </c>
      <c r="AC14" s="87">
        <f ca="1">('TUSD BE'!$AF$14+'TUSD BF'!$AF$14+'TUSD CVA'!$AF$14)*1</f>
        <v>0</v>
      </c>
      <c r="AD14" s="87">
        <f>('TUSD BE'!$AH$14+'TUSD BF'!$AH$14+'TUSD CVA'!$AH$14)*1</f>
        <v>12.853580096131045</v>
      </c>
      <c r="AE14" s="87">
        <f>('TUSD BE'!$AI$14+'TUSD BF'!$AI$14+'TUSD CVA'!$AI$14)*1</f>
        <v>0</v>
      </c>
      <c r="AF14" s="87">
        <f ca="1">('TUSD BE'!$AJ$14+'TUSD BF'!$AJ$14+'TUSD CVA'!$AJ$14)*1</f>
        <v>13.756606743408987</v>
      </c>
      <c r="AG14" s="87">
        <f ca="1">('TUSD BE'!$AK$14+'TUSD BF'!$AK$14+'TUSD CVA'!$AK$14)*1</f>
        <v>0</v>
      </c>
      <c r="AI14" s="87">
        <v>0</v>
      </c>
      <c r="AJ14" s="87">
        <v>1.6851612880184801</v>
      </c>
      <c r="AK14" s="87">
        <v>0</v>
      </c>
      <c r="AL14" s="87">
        <v>0</v>
      </c>
      <c r="AM14" s="87">
        <v>0</v>
      </c>
      <c r="AN14" s="87">
        <v>0</v>
      </c>
      <c r="AO14" s="87">
        <v>0</v>
      </c>
      <c r="AP14" s="87">
        <v>0</v>
      </c>
      <c r="AQ14" s="87">
        <v>0</v>
      </c>
      <c r="AR14" s="87">
        <v>0</v>
      </c>
      <c r="AS14" s="87">
        <v>0</v>
      </c>
      <c r="AT14" s="87">
        <v>0</v>
      </c>
      <c r="AU14" s="87">
        <v>0</v>
      </c>
      <c r="AV14" s="87">
        <v>0</v>
      </c>
      <c r="AW14" s="87">
        <v>0</v>
      </c>
      <c r="AX14" s="87">
        <v>0</v>
      </c>
      <c r="AY14" s="87">
        <v>0.27396627352326702</v>
      </c>
      <c r="AZ14" s="87">
        <v>0</v>
      </c>
      <c r="BA14" s="87">
        <v>15.9276805223876</v>
      </c>
      <c r="BB14" s="87">
        <v>0</v>
      </c>
      <c r="BC14" s="87">
        <v>0</v>
      </c>
      <c r="BD14" s="87">
        <v>0</v>
      </c>
    </row>
    <row r="15" spans="1:56" ht="11.25" customHeight="1" x14ac:dyDescent="0.3">
      <c r="A15" s="120" t="s">
        <v>82</v>
      </c>
      <c r="B15" s="120" t="s">
        <v>81</v>
      </c>
      <c r="C15" s="120" t="s">
        <v>25</v>
      </c>
      <c r="D15" s="120" t="s">
        <v>25</v>
      </c>
      <c r="E15" s="89" t="s">
        <v>83</v>
      </c>
      <c r="F15" s="89" t="s">
        <v>25</v>
      </c>
      <c r="G15" s="21" t="s">
        <v>9</v>
      </c>
      <c r="H15" s="21" t="s">
        <v>77</v>
      </c>
      <c r="I15" s="21">
        <f>'MERCADO TUSD'!$U$12+0.00000001</f>
        <v>1E-8</v>
      </c>
      <c r="J15" s="17"/>
      <c r="L15" s="87">
        <f>('TUSD BE'!$L$15+'TUSD BF'!$L$15+'TUSD CVA'!$L$15)*1</f>
        <v>0</v>
      </c>
      <c r="M15" s="87">
        <f>('TUSD BE'!$M$15+'TUSD BF'!$M$15+'TUSD CVA'!$M$15)*1</f>
        <v>1.1429806540325493E-2</v>
      </c>
      <c r="N15" s="87">
        <f ca="1">('TUSD BE'!$N$15+'TUSD BF'!$N$15+'TUSD CVA'!$N$15)*1</f>
        <v>0</v>
      </c>
      <c r="O15" s="87">
        <f>('TUSD BE'!$O$15+'TUSD BF'!$O$15+'TUSD CVA'!$O$15)*1</f>
        <v>0</v>
      </c>
      <c r="P15" s="87">
        <f>('TUSD BE'!$P$15+'TUSD BF'!$P$15+'TUSD CVA'!$P$15)*1</f>
        <v>0</v>
      </c>
      <c r="Q15" s="87">
        <f>('TUSD BE'!$Q$15+'TUSD BF'!$Q$15+'TUSD CVA'!$Q$15)*1</f>
        <v>0</v>
      </c>
      <c r="R15" s="87">
        <f>('TUSD BE'!$R$15+'TUSD BF'!$R$15+'TUSD CVA'!$R$15)*1</f>
        <v>0</v>
      </c>
      <c r="S15" s="87">
        <f>('TUSD BE'!$S$15+'TUSD BF'!$S$15+'TUSD CVA'!$S$15)*1</f>
        <v>0</v>
      </c>
      <c r="T15" s="87">
        <f>('TUSD BE'!$U$15+'TUSD BF'!$U$15+'TUSD CVA'!$U$15)*1</f>
        <v>0</v>
      </c>
      <c r="U15" s="87">
        <f>('TUSD BE'!$V$15+'TUSD BF'!$V$15+'TUSD CVA'!$V$15)*1</f>
        <v>0</v>
      </c>
      <c r="V15" s="87">
        <f>('TUSD BE'!$W$15+'TUSD BF'!$W$15+'TUSD CVA'!$W$15)*1</f>
        <v>0</v>
      </c>
      <c r="W15" s="87">
        <f>('TUSD BE'!$X$15+'TUSD BF'!$X$15+'TUSD CVA'!$X$15)*1</f>
        <v>0</v>
      </c>
      <c r="X15" s="87">
        <f>('TUSD BE'!$Y$15+'TUSD BF'!$Y$15+'TUSD CVA'!$Y$15)*1</f>
        <v>0</v>
      </c>
      <c r="Y15" s="87">
        <f>('TUSD BE'!$Z$15+'TUSD BF'!$Z$15+'TUSD CVA'!$Z$15)*1</f>
        <v>0</v>
      </c>
      <c r="Z15" s="87">
        <f>('TUSD BE'!$AA$15+'TUSD BF'!$AA$15+'TUSD CVA'!$AA$15)*1</f>
        <v>0</v>
      </c>
      <c r="AA15" s="87">
        <f>('TUSD BE'!$AC$15+'TUSD BF'!$AC$15+'TUSD CVA'!$AC$15)*1</f>
        <v>7.2725317815617307</v>
      </c>
      <c r="AB15" s="87">
        <f ca="1">('TUSD BE'!$AE$15+'TUSD BF'!$AE$15+'TUSD CVA'!$AE$15)*1</f>
        <v>0</v>
      </c>
      <c r="AC15" s="87">
        <f ca="1">('TUSD BE'!$AF$15+'TUSD BF'!$AF$15+'TUSD CVA'!$AF$15)*1</f>
        <v>0</v>
      </c>
      <c r="AD15" s="87">
        <f>('TUSD BE'!$AH$15+'TUSD BF'!$AH$15+'TUSD CVA'!$AH$15)*1</f>
        <v>0</v>
      </c>
      <c r="AE15" s="87">
        <f>('TUSD BE'!$AI$15+'TUSD BF'!$AI$15+'TUSD CVA'!$AI$15)*1</f>
        <v>0</v>
      </c>
      <c r="AF15" s="87">
        <f ca="1">('TUSD BE'!$AJ$15+'TUSD BF'!$AJ$15+'TUSD CVA'!$AJ$15)*1</f>
        <v>0</v>
      </c>
      <c r="AG15" s="87">
        <f ca="1">('TUSD BE'!$AK$15+'TUSD BF'!$AK$15+'TUSD CVA'!$AK$15)*1</f>
        <v>0</v>
      </c>
      <c r="AI15" s="87">
        <v>0</v>
      </c>
      <c r="AJ15" s="87">
        <v>1.26628769037816E-2</v>
      </c>
      <c r="AK15" s="87">
        <v>0</v>
      </c>
      <c r="AL15" s="87">
        <v>0</v>
      </c>
      <c r="AM15" s="87">
        <v>0</v>
      </c>
      <c r="AN15" s="87">
        <v>0</v>
      </c>
      <c r="AO15" s="87">
        <v>0</v>
      </c>
      <c r="AP15" s="87">
        <v>0</v>
      </c>
      <c r="AQ15" s="87">
        <v>0</v>
      </c>
      <c r="AR15" s="87">
        <v>0</v>
      </c>
      <c r="AS15" s="87">
        <v>0</v>
      </c>
      <c r="AT15" s="87">
        <v>0</v>
      </c>
      <c r="AU15" s="87">
        <v>0</v>
      </c>
      <c r="AV15" s="87">
        <v>0</v>
      </c>
      <c r="AW15" s="87">
        <v>0</v>
      </c>
      <c r="AX15" s="87">
        <v>6.4566810678854099</v>
      </c>
      <c r="AY15" s="87">
        <v>0.13395031507428301</v>
      </c>
      <c r="AZ15" s="87">
        <v>0</v>
      </c>
      <c r="BA15" s="87">
        <v>0</v>
      </c>
      <c r="BB15" s="87">
        <v>0</v>
      </c>
      <c r="BC15" s="87">
        <v>0</v>
      </c>
      <c r="BD15" s="87">
        <v>0</v>
      </c>
    </row>
    <row r="16" spans="1:56" ht="11.25" customHeight="1" x14ac:dyDescent="0.3">
      <c r="A16" s="120"/>
      <c r="B16" s="120"/>
      <c r="C16" s="120"/>
      <c r="D16" s="120"/>
      <c r="E16" s="89" t="s">
        <v>84</v>
      </c>
      <c r="F16" s="89" t="s">
        <v>25</v>
      </c>
      <c r="G16" s="21" t="s">
        <v>9</v>
      </c>
      <c r="H16" s="21" t="s">
        <v>77</v>
      </c>
      <c r="I16" s="21">
        <f>'MERCADO TUSD'!$U$13+0.00000001</f>
        <v>1E-8</v>
      </c>
      <c r="J16" s="17"/>
      <c r="L16" s="87">
        <f>('TUSD BE'!$L$16+'TUSD BF'!$L$16+'TUSD CVA'!$L$16)*1</f>
        <v>0</v>
      </c>
      <c r="M16" s="87">
        <f>('TUSD BE'!$M$16+'TUSD BF'!$M$16+'TUSD CVA'!$M$16)*1</f>
        <v>1.1429806540325493E-2</v>
      </c>
      <c r="N16" s="87">
        <f ca="1">('TUSD BE'!$N$16+'TUSD BF'!$N$16+'TUSD CVA'!$N$16)*1</f>
        <v>0</v>
      </c>
      <c r="O16" s="87">
        <f>('TUSD BE'!$O$16+'TUSD BF'!$O$16+'TUSD CVA'!$O$16)*1</f>
        <v>0</v>
      </c>
      <c r="P16" s="87">
        <f>('TUSD BE'!$P$16+'TUSD BF'!$P$16+'TUSD CVA'!$P$16)*1</f>
        <v>0</v>
      </c>
      <c r="Q16" s="87">
        <f>('TUSD BE'!$Q$16+'TUSD BF'!$Q$16+'TUSD CVA'!$Q$16)*1</f>
        <v>0</v>
      </c>
      <c r="R16" s="87">
        <f>('TUSD BE'!$R$16+'TUSD BF'!$R$16+'TUSD CVA'!$R$16)*1</f>
        <v>0</v>
      </c>
      <c r="S16" s="87">
        <f>('TUSD BE'!$S$16+'TUSD BF'!$S$16+'TUSD CVA'!$S$16)*1</f>
        <v>0</v>
      </c>
      <c r="T16" s="87">
        <f>('TUSD BE'!$U$16+'TUSD BF'!$U$16+'TUSD CVA'!$U$16)*1</f>
        <v>0</v>
      </c>
      <c r="U16" s="87">
        <f>('TUSD BE'!$V$16+'TUSD BF'!$V$16+'TUSD CVA'!$V$16)*1</f>
        <v>0</v>
      </c>
      <c r="V16" s="87">
        <f>('TUSD BE'!$W$16+'TUSD BF'!$W$16+'TUSD CVA'!$W$16)*1</f>
        <v>0</v>
      </c>
      <c r="W16" s="87">
        <f>('TUSD BE'!$X$16+'TUSD BF'!$X$16+'TUSD CVA'!$X$16)*1</f>
        <v>0</v>
      </c>
      <c r="X16" s="87">
        <f>('TUSD BE'!$Y$16+'TUSD BF'!$Y$16+'TUSD CVA'!$Y$16)*1</f>
        <v>0</v>
      </c>
      <c r="Y16" s="87">
        <f>('TUSD BE'!$Z$16+'TUSD BF'!$Z$16+'TUSD CVA'!$Z$16)*1</f>
        <v>0</v>
      </c>
      <c r="Z16" s="87">
        <f>('TUSD BE'!$AA$16+'TUSD BF'!$AA$16+'TUSD CVA'!$AA$16)*1</f>
        <v>0</v>
      </c>
      <c r="AA16" s="87">
        <f>('TUSD BE'!$AC$16+'TUSD BF'!$AC$16+'TUSD CVA'!$AC$16)*1</f>
        <v>23.439414885056987</v>
      </c>
      <c r="AB16" s="87">
        <f ca="1">('TUSD BE'!$AE$16+'TUSD BF'!$AE$16+'TUSD CVA'!$AE$16)*1</f>
        <v>0</v>
      </c>
      <c r="AC16" s="87">
        <f ca="1">('TUSD BE'!$AF$16+'TUSD BF'!$AF$16+'TUSD CVA'!$AF$16)*1</f>
        <v>0</v>
      </c>
      <c r="AD16" s="87">
        <f>('TUSD BE'!$AH$16+'TUSD BF'!$AH$16+'TUSD CVA'!$AH$16)*1</f>
        <v>0</v>
      </c>
      <c r="AE16" s="87">
        <f>('TUSD BE'!$AI$16+'TUSD BF'!$AI$16+'TUSD CVA'!$AI$16)*1</f>
        <v>0</v>
      </c>
      <c r="AF16" s="87">
        <f ca="1">('TUSD BE'!$AJ$16+'TUSD BF'!$AJ$16+'TUSD CVA'!$AJ$16)*1</f>
        <v>0</v>
      </c>
      <c r="AG16" s="87">
        <f ca="1">('TUSD BE'!$AK$16+'TUSD BF'!$AK$16+'TUSD CVA'!$AK$16)*1</f>
        <v>0</v>
      </c>
      <c r="AI16" s="87">
        <v>0</v>
      </c>
      <c r="AJ16" s="87">
        <v>1.26628769037816E-2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20.809601281713</v>
      </c>
      <c r="AY16" s="87">
        <v>0.43118652081577302</v>
      </c>
      <c r="AZ16" s="87">
        <v>0</v>
      </c>
      <c r="BA16" s="87">
        <v>0</v>
      </c>
      <c r="BB16" s="87">
        <v>0</v>
      </c>
      <c r="BC16" s="87">
        <v>0</v>
      </c>
      <c r="BD16" s="87">
        <v>0</v>
      </c>
    </row>
    <row r="17" spans="1:56" ht="11.25" customHeight="1" x14ac:dyDescent="0.3">
      <c r="A17" s="120" t="s">
        <v>22</v>
      </c>
      <c r="B17" s="120" t="s">
        <v>33</v>
      </c>
      <c r="C17" s="120" t="s">
        <v>24</v>
      </c>
      <c r="D17" s="120" t="s">
        <v>24</v>
      </c>
      <c r="E17" s="120" t="s">
        <v>25</v>
      </c>
      <c r="F17" s="120" t="s">
        <v>25</v>
      </c>
      <c r="G17" s="21" t="s">
        <v>73</v>
      </c>
      <c r="H17" s="21" t="s">
        <v>72</v>
      </c>
      <c r="I17" s="21">
        <f>'MERCADO TUSD'!$U$14</f>
        <v>3.1E-2</v>
      </c>
      <c r="J17" s="17"/>
      <c r="L17" s="87">
        <f>('TUSD BE'!$L$17+'TUSD BF'!$L$17+'TUSD CVA'!$L$17)*1</f>
        <v>13.958780755873175</v>
      </c>
      <c r="M17" s="87">
        <f>('TUSD BE'!$M$17+'TUSD BF'!$M$17+'TUSD CVA'!$M$17)*1</f>
        <v>3.2743212971141831</v>
      </c>
      <c r="N17" s="87">
        <f ca="1">('TUSD BE'!$N$17+'TUSD BF'!$N$17+'TUSD CVA'!$N$17)*1</f>
        <v>0</v>
      </c>
      <c r="O17" s="87">
        <f>('TUSD BE'!$O$17+'TUSD BF'!$O$17+'TUSD CVA'!$O$17)*1</f>
        <v>0</v>
      </c>
      <c r="P17" s="87">
        <f>('TUSD BE'!$P$17+'TUSD BF'!$P$17+'TUSD CVA'!$P$17)*1</f>
        <v>0</v>
      </c>
      <c r="Q17" s="87">
        <f>('TUSD BE'!$Q$17+'TUSD BF'!$Q$17+'TUSD CVA'!$Q$17)*1</f>
        <v>92.177618542593024</v>
      </c>
      <c r="R17" s="87">
        <f>('TUSD BE'!$R$17+'TUSD BF'!$R$17+'TUSD CVA'!$R$17)*1</f>
        <v>15.281700625331972</v>
      </c>
      <c r="S17" s="87">
        <f>('TUSD BE'!$S$17+'TUSD BF'!$S$17+'TUSD CVA'!$S$17)*1</f>
        <v>0</v>
      </c>
      <c r="T17" s="87">
        <f>('TUSD BE'!$U$17+'TUSD BF'!$U$17+'TUSD CVA'!$U$17)*1</f>
        <v>0</v>
      </c>
      <c r="U17" s="87">
        <f>('TUSD BE'!$V$17+'TUSD BF'!$V$17+'TUSD CVA'!$V$17)*1</f>
        <v>0</v>
      </c>
      <c r="V17" s="87">
        <f>('TUSD BE'!$W$17+'TUSD BF'!$W$17+'TUSD CVA'!$W$17)*1</f>
        <v>0</v>
      </c>
      <c r="W17" s="87">
        <f>('TUSD BE'!$X$17+'TUSD BF'!$X$17+'TUSD CVA'!$X$17)*1</f>
        <v>0</v>
      </c>
      <c r="X17" s="87">
        <f>('TUSD BE'!$Y$17+'TUSD BF'!$Y$17+'TUSD CVA'!$Y$17)*1</f>
        <v>713.01208088292583</v>
      </c>
      <c r="Y17" s="87">
        <f>('TUSD BE'!$Z$17+'TUSD BF'!$Z$17+'TUSD CVA'!$Z$17)*1</f>
        <v>0</v>
      </c>
      <c r="Z17" s="87">
        <f>('TUSD BE'!$AA$17+'TUSD BF'!$AA$17+'TUSD CVA'!$AA$17)*1</f>
        <v>0</v>
      </c>
      <c r="AA17" s="87">
        <f>('TUSD BE'!$AC$17+'TUSD BF'!$AC$17+'TUSD CVA'!$AC$17)*1</f>
        <v>1476.0086222223294</v>
      </c>
      <c r="AB17" s="87">
        <f ca="1">('TUSD BE'!$AE$17+'TUSD BF'!$AE$17+'TUSD CVA'!$AE$17)*1</f>
        <v>0</v>
      </c>
      <c r="AC17" s="87">
        <f ca="1">('TUSD BE'!$AF$17+'TUSD BF'!$AF$17+'TUSD CVA'!$AF$17)*1</f>
        <v>0</v>
      </c>
      <c r="AD17" s="87">
        <f>('TUSD BE'!$AH$17+'TUSD BF'!$AH$17+'TUSD CVA'!$AH$17)*1</f>
        <v>30.16273832176805</v>
      </c>
      <c r="AE17" s="87">
        <f>('TUSD BE'!$AI$17+'TUSD BF'!$AI$17+'TUSD CVA'!$AI$17)*1</f>
        <v>0</v>
      </c>
      <c r="AF17" s="87">
        <f ca="1">('TUSD BE'!$AJ$17+'TUSD BF'!$AJ$17+'TUSD CVA'!$AJ$17)*1</f>
        <v>16.453178777209224</v>
      </c>
      <c r="AG17" s="87">
        <f ca="1">('TUSD BE'!$AK$17+'TUSD BF'!$AK$17+'TUSD CVA'!$AK$17)*1</f>
        <v>0</v>
      </c>
      <c r="AI17" s="87">
        <v>0</v>
      </c>
      <c r="AJ17" s="87">
        <v>2.5938147487226599</v>
      </c>
      <c r="AK17" s="87">
        <v>0</v>
      </c>
      <c r="AL17" s="87">
        <v>0</v>
      </c>
      <c r="AM17" s="87">
        <v>0</v>
      </c>
      <c r="AN17" s="87">
        <v>74.434435828350402</v>
      </c>
      <c r="AO17" s="87">
        <v>9.4560662437895306</v>
      </c>
      <c r="AP17" s="87">
        <v>0</v>
      </c>
      <c r="AQ17" s="87">
        <v>0</v>
      </c>
      <c r="AR17" s="87">
        <v>0</v>
      </c>
      <c r="AS17" s="87">
        <v>0</v>
      </c>
      <c r="AT17" s="87">
        <v>0</v>
      </c>
      <c r="AU17" s="87">
        <v>654.65448128609899</v>
      </c>
      <c r="AV17" s="87">
        <v>0</v>
      </c>
      <c r="AW17" s="87">
        <v>0</v>
      </c>
      <c r="AX17" s="87">
        <v>1310.40737530511</v>
      </c>
      <c r="AY17" s="87">
        <v>38.749026907889402</v>
      </c>
      <c r="AZ17" s="87">
        <v>0</v>
      </c>
      <c r="BA17" s="87">
        <v>37.376562189244503</v>
      </c>
      <c r="BB17" s="87">
        <v>0</v>
      </c>
      <c r="BC17" s="87">
        <v>0</v>
      </c>
      <c r="BD17" s="87">
        <v>0</v>
      </c>
    </row>
    <row r="18" spans="1:56" ht="11.25" customHeight="1" x14ac:dyDescent="0.3">
      <c r="A18" s="120"/>
      <c r="B18" s="120"/>
      <c r="C18" s="120"/>
      <c r="D18" s="120"/>
      <c r="E18" s="120"/>
      <c r="F18" s="120"/>
      <c r="G18" s="21" t="s">
        <v>85</v>
      </c>
      <c r="H18" s="21" t="s">
        <v>72</v>
      </c>
      <c r="I18" s="21">
        <f>'MERCADO TUSD'!$U$15</f>
        <v>0</v>
      </c>
      <c r="J18" s="17"/>
      <c r="L18" s="87">
        <f>('TUSD BE'!$L$18+'TUSD BF'!$L$18+'TUSD CVA'!$L$18)*1</f>
        <v>13.958780755873175</v>
      </c>
      <c r="M18" s="87">
        <f>('TUSD BE'!$M$18+'TUSD BF'!$M$18+'TUSD CVA'!$M$18)*1</f>
        <v>3.2743212971141831</v>
      </c>
      <c r="N18" s="87">
        <f ca="1">('TUSD BE'!$N$18+'TUSD BF'!$N$18+'TUSD CVA'!$N$18)*1</f>
        <v>0</v>
      </c>
      <c r="O18" s="87">
        <f>('TUSD BE'!$O$18+'TUSD BF'!$O$18+'TUSD CVA'!$O$18)*1</f>
        <v>0</v>
      </c>
      <c r="P18" s="87">
        <f>('TUSD BE'!$P$18+'TUSD BF'!$P$18+'TUSD CVA'!$P$18)*1</f>
        <v>0</v>
      </c>
      <c r="Q18" s="87">
        <f>('TUSD BE'!$Q$18+'TUSD BF'!$Q$18+'TUSD CVA'!$Q$18)*1</f>
        <v>92.177618542593024</v>
      </c>
      <c r="R18" s="87">
        <f>('TUSD BE'!$R$18+'TUSD BF'!$R$18+'TUSD CVA'!$R$18)*1</f>
        <v>15.281700625331972</v>
      </c>
      <c r="S18" s="87">
        <f>('TUSD BE'!$S$18+'TUSD BF'!$S$18+'TUSD CVA'!$S$18)*1</f>
        <v>0</v>
      </c>
      <c r="T18" s="87">
        <f>('TUSD BE'!$U$18+'TUSD BF'!$U$18+'TUSD CVA'!$U$18)*1</f>
        <v>0</v>
      </c>
      <c r="U18" s="87">
        <f>('TUSD BE'!$V$18+'TUSD BF'!$V$18+'TUSD CVA'!$V$18)*1</f>
        <v>0</v>
      </c>
      <c r="V18" s="87">
        <f>('TUSD BE'!$W$18+'TUSD BF'!$W$18+'TUSD CVA'!$W$18)*1</f>
        <v>0</v>
      </c>
      <c r="W18" s="87">
        <f>('TUSD BE'!$X$18+'TUSD BF'!$X$18+'TUSD CVA'!$X$18)*1</f>
        <v>0</v>
      </c>
      <c r="X18" s="87">
        <f>('TUSD BE'!$Y$18+'TUSD BF'!$Y$18+'TUSD CVA'!$Y$18)*1</f>
        <v>427.80724852975555</v>
      </c>
      <c r="Y18" s="87">
        <f>('TUSD BE'!$Z$18+'TUSD BF'!$Z$18+'TUSD CVA'!$Z$18)*1</f>
        <v>0</v>
      </c>
      <c r="Z18" s="87">
        <f>('TUSD BE'!$AA$18+'TUSD BF'!$AA$18+'TUSD CVA'!$AA$18)*1</f>
        <v>0</v>
      </c>
      <c r="AA18" s="87">
        <f>('TUSD BE'!$AC$18+'TUSD BF'!$AC$18+'TUSD CVA'!$AC$18)*1</f>
        <v>885.60534876006511</v>
      </c>
      <c r="AB18" s="87">
        <f ca="1">('TUSD BE'!$AE$18+'TUSD BF'!$AE$18+'TUSD CVA'!$AE$18)*1</f>
        <v>0</v>
      </c>
      <c r="AC18" s="87">
        <f ca="1">('TUSD BE'!$AF$18+'TUSD BF'!$AF$18+'TUSD CVA'!$AF$18)*1</f>
        <v>0</v>
      </c>
      <c r="AD18" s="87">
        <f>('TUSD BE'!$AH$18+'TUSD BF'!$AH$18+'TUSD CVA'!$AH$18)*1</f>
        <v>30.16273832176805</v>
      </c>
      <c r="AE18" s="87">
        <f>('TUSD BE'!$AI$18+'TUSD BF'!$AI$18+'TUSD CVA'!$AI$18)*1</f>
        <v>0</v>
      </c>
      <c r="AF18" s="87">
        <f ca="1">('TUSD BE'!$AJ$18+'TUSD BF'!$AJ$18+'TUSD CVA'!$AJ$18)*1</f>
        <v>16.453178777209224</v>
      </c>
      <c r="AG18" s="87">
        <f ca="1">('TUSD BE'!$AK$18+'TUSD BF'!$AK$18+'TUSD CVA'!$AK$18)*1</f>
        <v>0</v>
      </c>
      <c r="AI18" s="87">
        <v>0</v>
      </c>
      <c r="AJ18" s="87">
        <v>2.5938147487226599</v>
      </c>
      <c r="AK18" s="87">
        <v>0</v>
      </c>
      <c r="AL18" s="87">
        <v>0</v>
      </c>
      <c r="AM18" s="87">
        <v>0</v>
      </c>
      <c r="AN18" s="87">
        <v>74.434435828350402</v>
      </c>
      <c r="AO18" s="87">
        <v>9.4560662437895306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392.79157249822799</v>
      </c>
      <c r="AV18" s="87">
        <v>0</v>
      </c>
      <c r="AW18" s="87">
        <v>0</v>
      </c>
      <c r="AX18" s="87">
        <v>786.244202009074</v>
      </c>
      <c r="AY18" s="87">
        <v>24.118396175896699</v>
      </c>
      <c r="AZ18" s="87">
        <v>0</v>
      </c>
      <c r="BA18" s="87">
        <v>37.376562189244503</v>
      </c>
      <c r="BB18" s="87">
        <v>0</v>
      </c>
      <c r="BC18" s="87">
        <v>0</v>
      </c>
      <c r="BD18" s="87">
        <v>0</v>
      </c>
    </row>
    <row r="19" spans="1:56" ht="11.25" customHeight="1" x14ac:dyDescent="0.3">
      <c r="A19" s="120"/>
      <c r="B19" s="120"/>
      <c r="C19" s="120"/>
      <c r="D19" s="120"/>
      <c r="E19" s="120"/>
      <c r="F19" s="120"/>
      <c r="G19" s="21" t="s">
        <v>74</v>
      </c>
      <c r="H19" s="21" t="s">
        <v>72</v>
      </c>
      <c r="I19" s="21">
        <f>'MERCADO TUSD'!$U$16</f>
        <v>0.71099999999999985</v>
      </c>
      <c r="J19" s="17"/>
      <c r="L19" s="87">
        <f>('TUSD BE'!$L$19+'TUSD BF'!$L$19+'TUSD CVA'!$L$19)*1</f>
        <v>13.958780755873175</v>
      </c>
      <c r="M19" s="87">
        <f>('TUSD BE'!$M$19+'TUSD BF'!$M$19+'TUSD CVA'!$M$19)*1</f>
        <v>3.2743212971141831</v>
      </c>
      <c r="N19" s="87">
        <f ca="1">('TUSD BE'!$N$19+'TUSD BF'!$N$19+'TUSD CVA'!$N$19)*1</f>
        <v>0</v>
      </c>
      <c r="O19" s="87">
        <f>('TUSD BE'!$O$19+'TUSD BF'!$O$19+'TUSD CVA'!$O$19)*1</f>
        <v>0</v>
      </c>
      <c r="P19" s="87">
        <f>('TUSD BE'!$P$19+'TUSD BF'!$P$19+'TUSD CVA'!$P$19)*1</f>
        <v>0</v>
      </c>
      <c r="Q19" s="87">
        <f>('TUSD BE'!$Q$19+'TUSD BF'!$Q$19+'TUSD CVA'!$Q$19)*1</f>
        <v>92.177618542593024</v>
      </c>
      <c r="R19" s="87">
        <f>('TUSD BE'!$R$19+'TUSD BF'!$R$19+'TUSD CVA'!$R$19)*1</f>
        <v>15.281700625331972</v>
      </c>
      <c r="S19" s="87">
        <f>('TUSD BE'!$S$19+'TUSD BF'!$S$19+'TUSD CVA'!$S$19)*1</f>
        <v>0</v>
      </c>
      <c r="T19" s="87">
        <f>('TUSD BE'!$U$19+'TUSD BF'!$U$19+'TUSD CVA'!$U$19)*1</f>
        <v>0</v>
      </c>
      <c r="U19" s="87">
        <f>('TUSD BE'!$V$19+'TUSD BF'!$V$19+'TUSD CVA'!$V$19)*1</f>
        <v>0</v>
      </c>
      <c r="V19" s="87">
        <f>('TUSD BE'!$W$19+'TUSD BF'!$W$19+'TUSD CVA'!$W$19)*1</f>
        <v>0</v>
      </c>
      <c r="W19" s="87">
        <f>('TUSD BE'!$X$19+'TUSD BF'!$X$19+'TUSD CVA'!$X$19)*1</f>
        <v>0</v>
      </c>
      <c r="X19" s="87">
        <f>('TUSD BE'!$Y$19+'TUSD BF'!$Y$19+'TUSD CVA'!$Y$19)*1</f>
        <v>142.60391584969329</v>
      </c>
      <c r="Y19" s="87">
        <f>('TUSD BE'!$Z$19+'TUSD BF'!$Z$19+'TUSD CVA'!$Z$19)*1</f>
        <v>0</v>
      </c>
      <c r="Z19" s="87">
        <f>('TUSD BE'!$AA$19+'TUSD BF'!$AA$19+'TUSD CVA'!$AA$19)*1</f>
        <v>0</v>
      </c>
      <c r="AA19" s="87">
        <f>('TUSD BE'!$AC$19+'TUSD BF'!$AC$19+'TUSD CVA'!$AC$19)*1</f>
        <v>295.20163673113223</v>
      </c>
      <c r="AB19" s="87">
        <f ca="1">('TUSD BE'!$AE$19+'TUSD BF'!$AE$19+'TUSD CVA'!$AE$19)*1</f>
        <v>0</v>
      </c>
      <c r="AC19" s="87">
        <f ca="1">('TUSD BE'!$AF$19+'TUSD BF'!$AF$19+'TUSD CVA'!$AF$19)*1</f>
        <v>0</v>
      </c>
      <c r="AD19" s="87">
        <f>('TUSD BE'!$AH$19+'TUSD BF'!$AH$19+'TUSD CVA'!$AH$19)*1</f>
        <v>30.16273832176805</v>
      </c>
      <c r="AE19" s="87">
        <f>('TUSD BE'!$AI$19+'TUSD BF'!$AI$19+'TUSD CVA'!$AI$19)*1</f>
        <v>0</v>
      </c>
      <c r="AF19" s="87">
        <f ca="1">('TUSD BE'!$AJ$19+'TUSD BF'!$AJ$19+'TUSD CVA'!$AJ$19)*1</f>
        <v>16.453178777209224</v>
      </c>
      <c r="AG19" s="87">
        <f ca="1">('TUSD BE'!$AK$19+'TUSD BF'!$AK$19+'TUSD CVA'!$AK$19)*1</f>
        <v>0</v>
      </c>
      <c r="AI19" s="87">
        <v>0</v>
      </c>
      <c r="AJ19" s="87">
        <v>2.5938147487226599</v>
      </c>
      <c r="AK19" s="87">
        <v>0</v>
      </c>
      <c r="AL19" s="87">
        <v>0</v>
      </c>
      <c r="AM19" s="87">
        <v>0</v>
      </c>
      <c r="AN19" s="87">
        <v>74.434435828350402</v>
      </c>
      <c r="AO19" s="87">
        <v>9.4560662437895306</v>
      </c>
      <c r="AP19" s="87">
        <v>0</v>
      </c>
      <c r="AQ19" s="87">
        <v>0</v>
      </c>
      <c r="AR19" s="87">
        <v>0</v>
      </c>
      <c r="AS19" s="87">
        <v>0</v>
      </c>
      <c r="AT19" s="87">
        <v>0</v>
      </c>
      <c r="AU19" s="87">
        <v>130.930433412138</v>
      </c>
      <c r="AV19" s="87">
        <v>0</v>
      </c>
      <c r="AW19" s="87">
        <v>0</v>
      </c>
      <c r="AX19" s="87">
        <v>262.08137205764098</v>
      </c>
      <c r="AY19" s="87">
        <v>9.4877980707608494</v>
      </c>
      <c r="AZ19" s="87">
        <v>0</v>
      </c>
      <c r="BA19" s="87">
        <v>37.376562189244503</v>
      </c>
      <c r="BB19" s="87">
        <v>0</v>
      </c>
      <c r="BC19" s="87">
        <v>0</v>
      </c>
      <c r="BD19" s="87">
        <v>0</v>
      </c>
    </row>
    <row r="20" spans="1:56" ht="11.25" customHeight="1" x14ac:dyDescent="0.3">
      <c r="A20" s="120"/>
      <c r="B20" s="120" t="s">
        <v>23</v>
      </c>
      <c r="C20" s="120" t="s">
        <v>24</v>
      </c>
      <c r="D20" s="89" t="s">
        <v>24</v>
      </c>
      <c r="E20" s="89" t="s">
        <v>25</v>
      </c>
      <c r="F20" s="89" t="s">
        <v>25</v>
      </c>
      <c r="G20" s="21" t="s">
        <v>76</v>
      </c>
      <c r="H20" s="21" t="s">
        <v>72</v>
      </c>
      <c r="I20" s="21">
        <f>'MERCADO TUSD'!$U$17</f>
        <v>9876.3909999999996</v>
      </c>
      <c r="J20" s="17"/>
      <c r="L20" s="87">
        <f>('TUSD BE'!$L$20+'TUSD BF'!$L$20+'TUSD CVA'!$L$20)*1</f>
        <v>13.958780755873175</v>
      </c>
      <c r="M20" s="87">
        <f>('TUSD BE'!$M$20+'TUSD BF'!$M$20+'TUSD CVA'!$M$20)*1</f>
        <v>3.2743212971141831</v>
      </c>
      <c r="N20" s="87">
        <f ca="1">('TUSD BE'!$N$20+'TUSD BF'!$N$20+'TUSD CVA'!$N$20)*1</f>
        <v>0</v>
      </c>
      <c r="O20" s="87">
        <f>('TUSD BE'!$O$20+'TUSD BF'!$O$20+'TUSD CVA'!$O$20)*1</f>
        <v>0</v>
      </c>
      <c r="P20" s="87">
        <f>('TUSD BE'!$P$20+'TUSD BF'!$P$20+'TUSD CVA'!$P$20)*1</f>
        <v>0</v>
      </c>
      <c r="Q20" s="87">
        <f>('TUSD BE'!$Q$20+'TUSD BF'!$Q$20+'TUSD CVA'!$Q$20)*1</f>
        <v>92.177618542593024</v>
      </c>
      <c r="R20" s="87">
        <f>('TUSD BE'!$R$20+'TUSD BF'!$R$20+'TUSD CVA'!$R$20)*1</f>
        <v>15.281700625331972</v>
      </c>
      <c r="S20" s="87">
        <f>('TUSD BE'!$S$20+'TUSD BF'!$S$20+'TUSD CVA'!$S$20)*1</f>
        <v>0</v>
      </c>
      <c r="T20" s="87">
        <f>('TUSD BE'!$U$20+'TUSD BF'!$U$20+'TUSD CVA'!$U$20)*1</f>
        <v>0</v>
      </c>
      <c r="U20" s="87">
        <f>('TUSD BE'!$V$20+'TUSD BF'!$V$20+'TUSD CVA'!$V$20)*1</f>
        <v>0</v>
      </c>
      <c r="V20" s="87">
        <f>('TUSD BE'!$W$20+'TUSD BF'!$W$20+'TUSD CVA'!$W$20)*1</f>
        <v>0</v>
      </c>
      <c r="W20" s="87">
        <f>('TUSD BE'!$X$20+'TUSD BF'!$X$20+'TUSD CVA'!$X$20)*1</f>
        <v>0</v>
      </c>
      <c r="X20" s="87">
        <f>('TUSD BE'!$Y$20+'TUSD BF'!$Y$20+'TUSD CVA'!$Y$20)*1</f>
        <v>264.07893727929684</v>
      </c>
      <c r="Y20" s="87">
        <f>('TUSD BE'!$Z$20+'TUSD BF'!$Z$20+'TUSD CVA'!$Z$20)*1</f>
        <v>0</v>
      </c>
      <c r="Z20" s="87">
        <f>('TUSD BE'!$AA$20+'TUSD BF'!$AA$20+'TUSD CVA'!$AA$20)*1</f>
        <v>0</v>
      </c>
      <c r="AA20" s="87">
        <f>('TUSD BE'!$AC$20+'TUSD BF'!$AC$20+'TUSD CVA'!$AC$20)*1</f>
        <v>546.6700631224686</v>
      </c>
      <c r="AB20" s="87">
        <f ca="1">('TUSD BE'!$AE$20+'TUSD BF'!$AE$20+'TUSD CVA'!$AE$20)*1</f>
        <v>0</v>
      </c>
      <c r="AC20" s="87">
        <f ca="1">('TUSD BE'!$AF$20+'TUSD BF'!$AF$20+'TUSD CVA'!$AF$20)*1</f>
        <v>0</v>
      </c>
      <c r="AD20" s="87">
        <f>('TUSD BE'!$AH$20+'TUSD BF'!$AH$20+'TUSD CVA'!$AH$20)*1</f>
        <v>30.16273832176805</v>
      </c>
      <c r="AE20" s="87">
        <f>('TUSD BE'!$AI$20+'TUSD BF'!$AI$20+'TUSD CVA'!$AI$20)*1</f>
        <v>0</v>
      </c>
      <c r="AF20" s="87">
        <f ca="1">('TUSD BE'!$AJ$20+'TUSD BF'!$AJ$20+'TUSD CVA'!$AJ$20)*1</f>
        <v>16.453178777209224</v>
      </c>
      <c r="AG20" s="87">
        <f ca="1">('TUSD BE'!$AK$20+'TUSD BF'!$AK$20+'TUSD CVA'!$AK$20)*1</f>
        <v>0</v>
      </c>
      <c r="AI20" s="87">
        <v>0</v>
      </c>
      <c r="AJ20" s="87">
        <v>2.5938147487226599</v>
      </c>
      <c r="AK20" s="87">
        <v>0</v>
      </c>
      <c r="AL20" s="87">
        <v>0</v>
      </c>
      <c r="AM20" s="87">
        <v>0</v>
      </c>
      <c r="AN20" s="87">
        <v>74.434435828350402</v>
      </c>
      <c r="AO20" s="87">
        <v>9.4560662437895306</v>
      </c>
      <c r="AP20" s="87">
        <v>0</v>
      </c>
      <c r="AQ20" s="87">
        <v>0</v>
      </c>
      <c r="AR20" s="87">
        <v>0</v>
      </c>
      <c r="AS20" s="87">
        <v>0</v>
      </c>
      <c r="AT20" s="87">
        <v>0</v>
      </c>
      <c r="AU20" s="87">
        <v>242.46411851001301</v>
      </c>
      <c r="AV20" s="87">
        <v>0</v>
      </c>
      <c r="AW20" s="87">
        <v>0</v>
      </c>
      <c r="AX20" s="87">
        <v>485.33622070453498</v>
      </c>
      <c r="AY20" s="87">
        <v>15.7193589513557</v>
      </c>
      <c r="AZ20" s="87">
        <v>0</v>
      </c>
      <c r="BA20" s="87">
        <v>37.376562189244503</v>
      </c>
      <c r="BB20" s="87">
        <v>0</v>
      </c>
      <c r="BC20" s="87">
        <v>0</v>
      </c>
      <c r="BD20" s="87">
        <v>0</v>
      </c>
    </row>
    <row r="21" spans="1:56" ht="11.25" customHeight="1" x14ac:dyDescent="0.3">
      <c r="A21" s="120"/>
      <c r="B21" s="120"/>
      <c r="C21" s="120"/>
      <c r="D21" s="89" t="s">
        <v>29</v>
      </c>
      <c r="E21" s="89" t="s">
        <v>25</v>
      </c>
      <c r="F21" s="89" t="s">
        <v>25</v>
      </c>
      <c r="G21" s="21" t="s">
        <v>76</v>
      </c>
      <c r="H21" s="21" t="s">
        <v>72</v>
      </c>
      <c r="I21" s="21">
        <f>'MERCADO TUSD'!$U$18</f>
        <v>38.58</v>
      </c>
      <c r="J21" s="17"/>
      <c r="L21" s="87">
        <f>('TUSD BE'!$L$21+'TUSD BF'!$L$21+'TUSD CVA'!$L$21)*(1 - 0.65)</f>
        <v>0</v>
      </c>
      <c r="M21" s="87">
        <f>('TUSD BE'!$M$21+'TUSD BF'!$M$21+'TUSD CVA'!$M$21)*(1 - 0.65)</f>
        <v>1.1460124539899641</v>
      </c>
      <c r="N21" s="87">
        <f ca="1">('TUSD BE'!$N$21+'TUSD BF'!$N$21+'TUSD CVA'!$N$21)*(1 - 0.65)</f>
        <v>0</v>
      </c>
      <c r="O21" s="87">
        <f>('TUSD BE'!$O$21+'TUSD BF'!$O$21+'TUSD CVA'!$O$21)*(1 - 0.65)</f>
        <v>0</v>
      </c>
      <c r="P21" s="87">
        <v>0</v>
      </c>
      <c r="Q21" s="87">
        <f>('TUSD BE'!$Q$21+'TUSD BF'!$Q$21+'TUSD CVA'!$Q$21)*(1 - 0.65)</f>
        <v>0</v>
      </c>
      <c r="R21" s="87">
        <v>0</v>
      </c>
      <c r="S21" s="87">
        <f>('TUSD BE'!$S$21+'TUSD BF'!$S$21+'TUSD CVA'!$S$21)*(1 - 0.65)</f>
        <v>0</v>
      </c>
      <c r="T21" s="87">
        <f>('TUSD BE'!$U$21+'TUSD BF'!$U$21+'TUSD CVA'!$U$21)*(1 - 0.65)</f>
        <v>0</v>
      </c>
      <c r="U21" s="87">
        <f>('TUSD BE'!$V$21+'TUSD BF'!$V$21+'TUSD CVA'!$V$21)*(1 - 0.65)</f>
        <v>0</v>
      </c>
      <c r="V21" s="87">
        <f>('TUSD BE'!$W$21+'TUSD BF'!$W$21+'TUSD CVA'!$W$21)*(1 - 0.65)</f>
        <v>0</v>
      </c>
      <c r="W21" s="87">
        <f>('TUSD BE'!$X$21+'TUSD BF'!$X$21+'TUSD CVA'!$X$21)*(1 - 0.65)</f>
        <v>0</v>
      </c>
      <c r="X21" s="87">
        <f>('TUSD BE'!$Y$21+'TUSD BF'!$Y$21+'TUSD CVA'!$Y$21)*(1 - 0.65)</f>
        <v>92.427628047753885</v>
      </c>
      <c r="Y21" s="87">
        <f>('TUSD BE'!$Z$21+'TUSD BF'!$Z$21+'TUSD CVA'!$Z$21)*(1 - 0.65)</f>
        <v>0</v>
      </c>
      <c r="Z21" s="87">
        <f>('TUSD BE'!$AA$21+'TUSD BF'!$AA$21+'TUSD CVA'!$AA$21)*(1 - 0.65)</f>
        <v>0</v>
      </c>
      <c r="AA21" s="87">
        <f>('TUSD BE'!$AC$21+'TUSD BF'!$AC$21+'TUSD CVA'!$AC$21)*(1 - 0.65)</f>
        <v>191.33452209286401</v>
      </c>
      <c r="AB21" s="87">
        <f ca="1">('TUSD BE'!$AE$21+'TUSD BF'!$AE$21+'TUSD CVA'!$AE$21)*(1 - 0.65)</f>
        <v>0</v>
      </c>
      <c r="AC21" s="87">
        <f ca="1">('TUSD BE'!$AF$21+'TUSD BF'!$AF$21+'TUSD CVA'!$AF$21)*(1 - 0.65)</f>
        <v>0</v>
      </c>
      <c r="AD21" s="87">
        <f>('TUSD BE'!$AH$21+'TUSD BF'!$AH$21+'TUSD CVA'!$AH$21)*(1 - 0.65)</f>
        <v>10.556958412618817</v>
      </c>
      <c r="AE21" s="87">
        <f>('TUSD BE'!$AI$21+'TUSD BF'!$AI$21+'TUSD CVA'!$AI$21)*(1 - 0.65)</f>
        <v>0</v>
      </c>
      <c r="AF21" s="87">
        <f ca="1">('TUSD BE'!$AJ$21+'TUSD BF'!$AJ$21+'TUSD CVA'!$AJ$21)*(1 - 0.65)</f>
        <v>5.7586125720232282</v>
      </c>
      <c r="AG21" s="87">
        <f ca="1">('TUSD BE'!$AK$21+'TUSD BF'!$AK$21+'TUSD CVA'!$AK$21)*(1 - 0.65)</f>
        <v>0</v>
      </c>
      <c r="AI21" s="87">
        <v>0</v>
      </c>
      <c r="AJ21" s="87">
        <v>0.90783516205293202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  <c r="AU21" s="87">
        <v>84.862441478504607</v>
      </c>
      <c r="AV21" s="87">
        <v>0</v>
      </c>
      <c r="AW21" s="87">
        <v>0</v>
      </c>
      <c r="AX21" s="87">
        <v>169.86767724658699</v>
      </c>
      <c r="AY21" s="87">
        <v>4.9574571010804203</v>
      </c>
      <c r="AZ21" s="87">
        <v>0</v>
      </c>
      <c r="BA21" s="87">
        <v>13.0817967662356</v>
      </c>
      <c r="BB21" s="87">
        <v>0</v>
      </c>
      <c r="BC21" s="87">
        <v>0</v>
      </c>
      <c r="BD21" s="87">
        <v>0</v>
      </c>
    </row>
    <row r="22" spans="1:56" ht="11.25" customHeight="1" x14ac:dyDescent="0.3">
      <c r="A22" s="120"/>
      <c r="B22" s="120"/>
      <c r="C22" s="120"/>
      <c r="D22" s="89" t="s">
        <v>30</v>
      </c>
      <c r="E22" s="89" t="s">
        <v>25</v>
      </c>
      <c r="F22" s="89" t="s">
        <v>25</v>
      </c>
      <c r="G22" s="21" t="s">
        <v>76</v>
      </c>
      <c r="H22" s="21" t="s">
        <v>72</v>
      </c>
      <c r="I22" s="21">
        <f>'MERCADO TUSD'!$U$19</f>
        <v>77.120999999999995</v>
      </c>
      <c r="J22" s="17"/>
      <c r="L22" s="87">
        <f>('TUSD BE'!$L$22+'TUSD BF'!$L$22+'TUSD CVA'!$L$22)*(1 - 0.4)</f>
        <v>0</v>
      </c>
      <c r="M22" s="87">
        <f>('TUSD BE'!$M$22+'TUSD BF'!$M$22+'TUSD CVA'!$M$22)*(1 - 0.4)</f>
        <v>1.9645927782685098</v>
      </c>
      <c r="N22" s="87">
        <f ca="1">('TUSD BE'!$N$22+'TUSD BF'!$N$22+'TUSD CVA'!$N$22)*(1 - 0.4)</f>
        <v>0</v>
      </c>
      <c r="O22" s="87">
        <f>('TUSD BE'!$O$22+'TUSD BF'!$O$22+'TUSD CVA'!$O$22)*(1 - 0.4)</f>
        <v>0</v>
      </c>
      <c r="P22" s="87">
        <v>0</v>
      </c>
      <c r="Q22" s="87">
        <f>('TUSD BE'!$Q$22+'TUSD BF'!$Q$22+'TUSD CVA'!$Q$22)*(1 - 0.4)</f>
        <v>0</v>
      </c>
      <c r="R22" s="87">
        <v>0</v>
      </c>
      <c r="S22" s="87">
        <f>('TUSD BE'!$S$22+'TUSD BF'!$S$22+'TUSD CVA'!$S$22)*(1 - 0.4)</f>
        <v>0</v>
      </c>
      <c r="T22" s="87">
        <f>('TUSD BE'!$U$22+'TUSD BF'!$U$22+'TUSD CVA'!$U$22)*(1 - 0.4)</f>
        <v>0</v>
      </c>
      <c r="U22" s="87">
        <f>('TUSD BE'!$V$22+'TUSD BF'!$V$22+'TUSD CVA'!$V$22)*(1 - 0.4)</f>
        <v>0</v>
      </c>
      <c r="V22" s="87">
        <f>('TUSD BE'!$W$22+'TUSD BF'!$W$22+'TUSD CVA'!$W$22)*(1 - 0.4)</f>
        <v>0</v>
      </c>
      <c r="W22" s="87">
        <f>('TUSD BE'!$X$22+'TUSD BF'!$X$22+'TUSD CVA'!$X$22)*(1 - 0.4)</f>
        <v>0</v>
      </c>
      <c r="X22" s="87">
        <f>('TUSD BE'!$Y$22+'TUSD BF'!$Y$22+'TUSD CVA'!$Y$22)*(1 - 0.4)</f>
        <v>158.44736236757811</v>
      </c>
      <c r="Y22" s="87">
        <f>('TUSD BE'!$Z$22+'TUSD BF'!$Z$22+'TUSD CVA'!$Z$22)*(1 - 0.4)</f>
        <v>0</v>
      </c>
      <c r="Z22" s="87">
        <f>('TUSD BE'!$AA$22+'TUSD BF'!$AA$22+'TUSD CVA'!$AA$22)*(1 - 0.4)</f>
        <v>0</v>
      </c>
      <c r="AA22" s="87">
        <f>('TUSD BE'!$AC$22+'TUSD BF'!$AC$22+'TUSD CVA'!$AC$22)*(1 - 0.4)</f>
        <v>328.00203787348113</v>
      </c>
      <c r="AB22" s="87">
        <f ca="1">('TUSD BE'!$AE$22+'TUSD BF'!$AE$22+'TUSD CVA'!$AE$22)*(1 - 0.4)</f>
        <v>0</v>
      </c>
      <c r="AC22" s="87">
        <f ca="1">('TUSD BE'!$AF$22+'TUSD BF'!$AF$22+'TUSD CVA'!$AF$22)*(1 - 0.4)</f>
        <v>0</v>
      </c>
      <c r="AD22" s="87">
        <f>('TUSD BE'!$AH$22+'TUSD BF'!$AH$22+'TUSD CVA'!$AH$22)*(1 - 0.4)</f>
        <v>18.09764299306083</v>
      </c>
      <c r="AE22" s="87">
        <f>('TUSD BE'!$AI$22+'TUSD BF'!$AI$22+'TUSD CVA'!$AI$22)*(1 - 0.4)</f>
        <v>0</v>
      </c>
      <c r="AF22" s="87">
        <f ca="1">('TUSD BE'!$AJ$22+'TUSD BF'!$AJ$22+'TUSD CVA'!$AJ$22)*(1 - 0.4)</f>
        <v>9.8719072663255343</v>
      </c>
      <c r="AG22" s="87">
        <f ca="1">('TUSD BE'!$AK$22+'TUSD BF'!$AK$22+'TUSD CVA'!$AK$22)*(1 - 0.4)</f>
        <v>0</v>
      </c>
      <c r="AI22" s="87">
        <v>0</v>
      </c>
      <c r="AJ22" s="87">
        <v>1.5562888492336</v>
      </c>
      <c r="AK22" s="87">
        <v>0</v>
      </c>
      <c r="AL22" s="87">
        <v>0</v>
      </c>
      <c r="AM22" s="87">
        <v>0</v>
      </c>
      <c r="AN22" s="87">
        <v>0</v>
      </c>
      <c r="AO22" s="87">
        <v>0</v>
      </c>
      <c r="AP22" s="87">
        <v>0</v>
      </c>
      <c r="AQ22" s="87">
        <v>0</v>
      </c>
      <c r="AR22" s="87">
        <v>0</v>
      </c>
      <c r="AS22" s="87">
        <v>0</v>
      </c>
      <c r="AT22" s="87">
        <v>0</v>
      </c>
      <c r="AU22" s="87">
        <v>145.47847110600799</v>
      </c>
      <c r="AV22" s="87">
        <v>0</v>
      </c>
      <c r="AW22" s="87">
        <v>0</v>
      </c>
      <c r="AX22" s="87">
        <v>291.20173242272102</v>
      </c>
      <c r="AY22" s="87">
        <v>8.4984978875664297</v>
      </c>
      <c r="AZ22" s="87">
        <v>0</v>
      </c>
      <c r="BA22" s="87">
        <v>22.425937313546701</v>
      </c>
      <c r="BB22" s="87">
        <v>0</v>
      </c>
      <c r="BC22" s="87">
        <v>0</v>
      </c>
      <c r="BD22" s="87">
        <v>0</v>
      </c>
    </row>
    <row r="23" spans="1:56" ht="11.25" customHeight="1" x14ac:dyDescent="0.3">
      <c r="A23" s="120"/>
      <c r="B23" s="120"/>
      <c r="C23" s="120"/>
      <c r="D23" s="89" t="s">
        <v>31</v>
      </c>
      <c r="E23" s="89" t="s">
        <v>25</v>
      </c>
      <c r="F23" s="89" t="s">
        <v>25</v>
      </c>
      <c r="G23" s="21" t="s">
        <v>76</v>
      </c>
      <c r="H23" s="21" t="s">
        <v>72</v>
      </c>
      <c r="I23" s="21">
        <f>'MERCADO TUSD'!$U$20</f>
        <v>54.47</v>
      </c>
      <c r="J23" s="17"/>
      <c r="L23" s="87">
        <f>('TUSD BE'!$L$23+'TUSD BF'!$L$23+'TUSD CVA'!$L$23)*(1 - 0.1)</f>
        <v>0</v>
      </c>
      <c r="M23" s="87">
        <f>('TUSD BE'!$M$23+'TUSD BF'!$M$23+'TUSD CVA'!$M$23)*(1 - 0.1)</f>
        <v>2.9468891674027646</v>
      </c>
      <c r="N23" s="87">
        <f ca="1">('TUSD BE'!$N$23+'TUSD BF'!$N$23+'TUSD CVA'!$N$23)*(1 - 0.1)</f>
        <v>0</v>
      </c>
      <c r="O23" s="87">
        <f>('TUSD BE'!$O$23+'TUSD BF'!$O$23+'TUSD CVA'!$O$23)*(1 - 0.1)</f>
        <v>0</v>
      </c>
      <c r="P23" s="87">
        <v>0</v>
      </c>
      <c r="Q23" s="87">
        <f>('TUSD BE'!$Q$23+'TUSD BF'!$Q$23+'TUSD CVA'!$Q$23)*(1 - 0.1)</f>
        <v>0</v>
      </c>
      <c r="R23" s="87">
        <v>0</v>
      </c>
      <c r="S23" s="87">
        <f>('TUSD BE'!$S$23+'TUSD BF'!$S$23+'TUSD CVA'!$S$23)*(1 - 0.1)</f>
        <v>0</v>
      </c>
      <c r="T23" s="87">
        <f>('TUSD BE'!$U$23+'TUSD BF'!$U$23+'TUSD CVA'!$U$23)*(1 - 0.1)</f>
        <v>0</v>
      </c>
      <c r="U23" s="87">
        <f>('TUSD BE'!$V$23+'TUSD BF'!$V$23+'TUSD CVA'!$V$23)*(1 - 0.1)</f>
        <v>0</v>
      </c>
      <c r="V23" s="87">
        <f>('TUSD BE'!$W$23+'TUSD BF'!$W$23+'TUSD CVA'!$W$23)*(1 - 0.1)</f>
        <v>0</v>
      </c>
      <c r="W23" s="87">
        <f>('TUSD BE'!$X$23+'TUSD BF'!$X$23+'TUSD CVA'!$X$23)*(1 - 0.1)</f>
        <v>0</v>
      </c>
      <c r="X23" s="87">
        <f>('TUSD BE'!$Y$23+'TUSD BF'!$Y$23+'TUSD CVA'!$Y$23)*(1 - 0.1)</f>
        <v>237.67104355136715</v>
      </c>
      <c r="Y23" s="87">
        <f>('TUSD BE'!$Z$23+'TUSD BF'!$Z$23+'TUSD CVA'!$Z$23)*(1 - 0.1)</f>
        <v>0</v>
      </c>
      <c r="Z23" s="87">
        <f>('TUSD BE'!$AA$23+'TUSD BF'!$AA$23+'TUSD CVA'!$AA$23)*(1 - 0.1)</f>
        <v>0</v>
      </c>
      <c r="AA23" s="87">
        <f>('TUSD BE'!$AC$23+'TUSD BF'!$AC$23+'TUSD CVA'!$AC$23)*(1 - 0.1)</f>
        <v>492.00305681022178</v>
      </c>
      <c r="AB23" s="87">
        <f ca="1">('TUSD BE'!$AE$23+'TUSD BF'!$AE$23+'TUSD CVA'!$AE$23)*(1 - 0.1)</f>
        <v>0</v>
      </c>
      <c r="AC23" s="87">
        <f ca="1">('TUSD BE'!$AF$23+'TUSD BF'!$AF$23+'TUSD CVA'!$AF$23)*(1 - 0.1)</f>
        <v>0</v>
      </c>
      <c r="AD23" s="87">
        <f>('TUSD BE'!$AH$23+'TUSD BF'!$AH$23+'TUSD CVA'!$AH$23)*(1 - 0.1)</f>
        <v>27.146464489591246</v>
      </c>
      <c r="AE23" s="87">
        <f>('TUSD BE'!$AI$23+'TUSD BF'!$AI$23+'TUSD CVA'!$AI$23)*(1 - 0.1)</f>
        <v>0</v>
      </c>
      <c r="AF23" s="87">
        <f ca="1">('TUSD BE'!$AJ$23+'TUSD BF'!$AJ$23+'TUSD CVA'!$AJ$23)*(1 - 0.1)</f>
        <v>14.807860899488302</v>
      </c>
      <c r="AG23" s="87">
        <f ca="1">('TUSD BE'!$AK$23+'TUSD BF'!$AK$23+'TUSD CVA'!$AK$23)*(1 - 0.1)</f>
        <v>0</v>
      </c>
      <c r="AI23" s="87">
        <v>0</v>
      </c>
      <c r="AJ23" s="87">
        <v>2.3344332738503999</v>
      </c>
      <c r="AK23" s="87">
        <v>0</v>
      </c>
      <c r="AL23" s="87">
        <v>0</v>
      </c>
      <c r="AM23" s="87">
        <v>0</v>
      </c>
      <c r="AN23" s="87">
        <v>0</v>
      </c>
      <c r="AO23" s="87">
        <v>0</v>
      </c>
      <c r="AP23" s="87">
        <v>0</v>
      </c>
      <c r="AQ23" s="87">
        <v>0</v>
      </c>
      <c r="AR23" s="87">
        <v>0</v>
      </c>
      <c r="AS23" s="87">
        <v>0</v>
      </c>
      <c r="AT23" s="87">
        <v>0</v>
      </c>
      <c r="AU23" s="87">
        <v>218.21770665901201</v>
      </c>
      <c r="AV23" s="87">
        <v>0</v>
      </c>
      <c r="AW23" s="87">
        <v>0</v>
      </c>
      <c r="AX23" s="87">
        <v>436.80259863408202</v>
      </c>
      <c r="AY23" s="87">
        <v>12.7477468313496</v>
      </c>
      <c r="AZ23" s="87">
        <v>0</v>
      </c>
      <c r="BA23" s="87">
        <v>33.638905970320103</v>
      </c>
      <c r="BB23" s="87">
        <v>0</v>
      </c>
      <c r="BC23" s="87">
        <v>0</v>
      </c>
      <c r="BD23" s="87">
        <v>0</v>
      </c>
    </row>
    <row r="24" spans="1:56" ht="11.25" customHeight="1" x14ac:dyDescent="0.3">
      <c r="A24" s="120"/>
      <c r="B24" s="120"/>
      <c r="C24" s="120"/>
      <c r="D24" s="89" t="s">
        <v>32</v>
      </c>
      <c r="E24" s="89" t="s">
        <v>25</v>
      </c>
      <c r="F24" s="89" t="s">
        <v>25</v>
      </c>
      <c r="G24" s="21" t="s">
        <v>76</v>
      </c>
      <c r="H24" s="21" t="s">
        <v>72</v>
      </c>
      <c r="I24" s="21">
        <f>'MERCADO TUSD'!$U$21</f>
        <v>9.1170000000000009</v>
      </c>
      <c r="J24" s="17"/>
      <c r="L24" s="87">
        <f>('TUSD BE'!$L$24+'TUSD BF'!$L$24+'TUSD CVA'!$L$24)*1</f>
        <v>0</v>
      </c>
      <c r="M24" s="87">
        <f>('TUSD BE'!$M$24+'TUSD BF'!$M$24+'TUSD CVA'!$M$24)*1</f>
        <v>3.2743212971141831</v>
      </c>
      <c r="N24" s="87">
        <f ca="1">('TUSD BE'!$N$24+'TUSD BF'!$N$24+'TUSD CVA'!$N$24)*1</f>
        <v>0</v>
      </c>
      <c r="O24" s="87">
        <f>('TUSD BE'!$O$24+'TUSD BF'!$O$24+'TUSD CVA'!$O$24)*1</f>
        <v>0</v>
      </c>
      <c r="P24" s="87">
        <v>0</v>
      </c>
      <c r="Q24" s="87">
        <f>('TUSD BE'!$Q$24+'TUSD BF'!$Q$24+'TUSD CVA'!$Q$24)*1</f>
        <v>0</v>
      </c>
      <c r="R24" s="87">
        <v>0</v>
      </c>
      <c r="S24" s="87">
        <f>('TUSD BE'!$S$24+'TUSD BF'!$S$24+'TUSD CVA'!$S$24)*1</f>
        <v>0</v>
      </c>
      <c r="T24" s="87">
        <f>('TUSD BE'!$U$24+'TUSD BF'!$U$24+'TUSD CVA'!$U$24)*1</f>
        <v>0</v>
      </c>
      <c r="U24" s="87">
        <f>('TUSD BE'!$V$24+'TUSD BF'!$V$24+'TUSD CVA'!$V$24)*1</f>
        <v>0</v>
      </c>
      <c r="V24" s="87">
        <f>('TUSD BE'!$W$24+'TUSD BF'!$W$24+'TUSD CVA'!$W$24)*1</f>
        <v>0</v>
      </c>
      <c r="W24" s="87">
        <f>('TUSD BE'!$X$24+'TUSD BF'!$X$24+'TUSD CVA'!$X$24)*1</f>
        <v>0</v>
      </c>
      <c r="X24" s="87">
        <f>('TUSD BE'!$Y$24+'TUSD BF'!$Y$24+'TUSD CVA'!$Y$24)*1</f>
        <v>264.07893727929684</v>
      </c>
      <c r="Y24" s="87">
        <f>('TUSD BE'!$Z$24+'TUSD BF'!$Z$24+'TUSD CVA'!$Z$24)*1</f>
        <v>0</v>
      </c>
      <c r="Z24" s="87">
        <f>('TUSD BE'!$AA$24+'TUSD BF'!$AA$24+'TUSD CVA'!$AA$24)*1</f>
        <v>0</v>
      </c>
      <c r="AA24" s="87">
        <f>('TUSD BE'!$AC$24+'TUSD BF'!$AC$24+'TUSD CVA'!$AC$24)*1</f>
        <v>546.6700631224686</v>
      </c>
      <c r="AB24" s="87">
        <f ca="1">('TUSD BE'!$AE$24+'TUSD BF'!$AE$24+'TUSD CVA'!$AE$24)*1</f>
        <v>0</v>
      </c>
      <c r="AC24" s="87">
        <f ca="1">('TUSD BE'!$AF$24+'TUSD BF'!$AF$24+'TUSD CVA'!$AF$24)*1</f>
        <v>0</v>
      </c>
      <c r="AD24" s="87">
        <f>('TUSD BE'!$AH$24+'TUSD BF'!$AH$24+'TUSD CVA'!$AH$24)*1</f>
        <v>30.16273832176805</v>
      </c>
      <c r="AE24" s="87">
        <f>('TUSD BE'!$AI$24+'TUSD BF'!$AI$24+'TUSD CVA'!$AI$24)*1</f>
        <v>0</v>
      </c>
      <c r="AF24" s="87">
        <f ca="1">('TUSD BE'!$AJ$24+'TUSD BF'!$AJ$24+'TUSD CVA'!$AJ$24)*1</f>
        <v>16.453178777209224</v>
      </c>
      <c r="AG24" s="87">
        <f ca="1">('TUSD BE'!$AK$24+'TUSD BF'!$AK$24+'TUSD CVA'!$AK$24)*1</f>
        <v>0</v>
      </c>
      <c r="AI24" s="87">
        <v>0</v>
      </c>
      <c r="AJ24" s="87">
        <v>2.5938147487226599</v>
      </c>
      <c r="AK24" s="87">
        <v>0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</v>
      </c>
      <c r="AR24" s="87">
        <v>0</v>
      </c>
      <c r="AS24" s="87">
        <v>0</v>
      </c>
      <c r="AT24" s="87">
        <v>0</v>
      </c>
      <c r="AU24" s="87">
        <v>242.46411851001301</v>
      </c>
      <c r="AV24" s="87">
        <v>0</v>
      </c>
      <c r="AW24" s="87">
        <v>0</v>
      </c>
      <c r="AX24" s="87">
        <v>485.33622070453498</v>
      </c>
      <c r="AY24" s="87">
        <v>14.1641631459441</v>
      </c>
      <c r="AZ24" s="87">
        <v>0</v>
      </c>
      <c r="BA24" s="87">
        <v>37.376562189244503</v>
      </c>
      <c r="BB24" s="87">
        <v>0</v>
      </c>
      <c r="BC24" s="87">
        <v>0</v>
      </c>
      <c r="BD24" s="87">
        <v>0</v>
      </c>
    </row>
    <row r="25" spans="1:56" ht="11.25" customHeight="1" x14ac:dyDescent="0.3">
      <c r="A25" s="120"/>
      <c r="B25" s="120" t="s">
        <v>87</v>
      </c>
      <c r="C25" s="120" t="s">
        <v>24</v>
      </c>
      <c r="D25" s="89" t="s">
        <v>24</v>
      </c>
      <c r="E25" s="89" t="s">
        <v>25</v>
      </c>
      <c r="F25" s="89" t="s">
        <v>25</v>
      </c>
      <c r="G25" s="21" t="s">
        <v>76</v>
      </c>
      <c r="H25" s="21" t="s">
        <v>72</v>
      </c>
      <c r="I25" s="21">
        <f>'MERCADO TUSD'!$U$22</f>
        <v>0</v>
      </c>
      <c r="J25" s="17"/>
      <c r="L25" s="87">
        <f>('TUSD BE'!$L$25+'TUSD BF'!$L$25+'TUSD CVA'!$L$25)*1</f>
        <v>13.958780755873175</v>
      </c>
      <c r="M25" s="87">
        <f>('TUSD BE'!$M$25+'TUSD BF'!$M$25+'TUSD CVA'!$M$25)*1</f>
        <v>3.2743212971141831</v>
      </c>
      <c r="N25" s="87">
        <f ca="1">('TUSD BE'!$N$25+'TUSD BF'!$N$25+'TUSD CVA'!$N$25)*1</f>
        <v>0</v>
      </c>
      <c r="O25" s="87">
        <f>('TUSD BE'!$O$25+'TUSD BF'!$O$25+'TUSD CVA'!$O$25)*1</f>
        <v>0</v>
      </c>
      <c r="P25" s="87">
        <f>('TUSD BE'!$P$25+'TUSD BF'!$P$25+'TUSD CVA'!$P$25)*1</f>
        <v>0</v>
      </c>
      <c r="Q25" s="87">
        <f>('TUSD BE'!$Q$25+'TUSD BF'!$Q$25+'TUSD CVA'!$Q$25)*1</f>
        <v>92.177618542593024</v>
      </c>
      <c r="R25" s="87">
        <f>('TUSD BE'!$R$25+'TUSD BF'!$R$25+'TUSD CVA'!$R$25)*1</f>
        <v>15.281700625331972</v>
      </c>
      <c r="S25" s="87">
        <f>('TUSD BE'!$S$25+'TUSD BF'!$S$25+'TUSD CVA'!$S$25)*1</f>
        <v>0</v>
      </c>
      <c r="T25" s="87">
        <f>('TUSD BE'!$U$25+'TUSD BF'!$U$25+'TUSD CVA'!$U$25)*1</f>
        <v>0</v>
      </c>
      <c r="U25" s="87">
        <f>('TUSD BE'!$V$25+'TUSD BF'!$V$25+'TUSD CVA'!$V$25)*1</f>
        <v>0</v>
      </c>
      <c r="V25" s="87">
        <f>('TUSD BE'!$W$25+'TUSD BF'!$W$25+'TUSD CVA'!$W$25)*1</f>
        <v>0</v>
      </c>
      <c r="W25" s="87">
        <f>('TUSD BE'!$X$25+'TUSD BF'!$X$25+'TUSD CVA'!$X$25)*1</f>
        <v>0</v>
      </c>
      <c r="X25" s="87">
        <f>('TUSD BE'!$Y$25+'TUSD BF'!$Y$25+'TUSD CVA'!$Y$25)*1</f>
        <v>264.07893727929684</v>
      </c>
      <c r="Y25" s="87">
        <f>('TUSD BE'!$Z$25+'TUSD BF'!$Z$25+'TUSD CVA'!$Z$25)*1</f>
        <v>0</v>
      </c>
      <c r="Z25" s="87">
        <f>('TUSD BE'!$AA$25+'TUSD BF'!$AA$25+'TUSD CVA'!$AA$25)*1</f>
        <v>0</v>
      </c>
      <c r="AA25" s="87">
        <f>('TUSD BE'!$AC$25+'TUSD BF'!$AC$25+'TUSD CVA'!$AC$25)*1</f>
        <v>546.6700631224686</v>
      </c>
      <c r="AB25" s="87">
        <f ca="1">('TUSD BE'!$AE$25+'TUSD BF'!$AE$25+'TUSD CVA'!$AE$25)*1</f>
        <v>0</v>
      </c>
      <c r="AC25" s="87">
        <f ca="1">('TUSD BE'!$AF$25+'TUSD BF'!$AF$25+'TUSD CVA'!$AF$25)*1</f>
        <v>0</v>
      </c>
      <c r="AD25" s="87">
        <f>('TUSD BE'!$AH$25+'TUSD BF'!$AH$25+'TUSD CVA'!$AH$25)*1</f>
        <v>30.16273832176805</v>
      </c>
      <c r="AE25" s="87">
        <f>('TUSD BE'!$AI$25+'TUSD BF'!$AI$25+'TUSD CVA'!$AI$25)*1</f>
        <v>0</v>
      </c>
      <c r="AF25" s="87">
        <f ca="1">('TUSD BE'!$AJ$25+'TUSD BF'!$AJ$25+'TUSD CVA'!$AJ$25)*1</f>
        <v>16.453178777209224</v>
      </c>
      <c r="AG25" s="87">
        <f ca="1">('TUSD BE'!$AK$25+'TUSD BF'!$AK$25+'TUSD CVA'!$AK$25)*1</f>
        <v>0</v>
      </c>
      <c r="AI25" s="87">
        <v>0</v>
      </c>
      <c r="AJ25" s="87">
        <v>2.5938147487226599</v>
      </c>
      <c r="AK25" s="87">
        <v>0</v>
      </c>
      <c r="AL25" s="87">
        <v>0</v>
      </c>
      <c r="AM25" s="87">
        <v>0</v>
      </c>
      <c r="AN25" s="87">
        <v>74.434435828350402</v>
      </c>
      <c r="AO25" s="87">
        <v>9.4560662437895306</v>
      </c>
      <c r="AP25" s="87">
        <v>0</v>
      </c>
      <c r="AQ25" s="87">
        <v>0</v>
      </c>
      <c r="AR25" s="87">
        <v>0</v>
      </c>
      <c r="AS25" s="87">
        <v>0</v>
      </c>
      <c r="AT25" s="87">
        <v>0</v>
      </c>
      <c r="AU25" s="87">
        <v>242.46411851001301</v>
      </c>
      <c r="AV25" s="87">
        <v>0</v>
      </c>
      <c r="AW25" s="87">
        <v>0</v>
      </c>
      <c r="AX25" s="87">
        <v>485.33622070453498</v>
      </c>
      <c r="AY25" s="87">
        <v>15.7193589513557</v>
      </c>
      <c r="AZ25" s="87">
        <v>0</v>
      </c>
      <c r="BA25" s="87">
        <v>37.376562189244503</v>
      </c>
      <c r="BB25" s="87">
        <v>0</v>
      </c>
      <c r="BC25" s="87">
        <v>0</v>
      </c>
      <c r="BD25" s="87">
        <v>0</v>
      </c>
    </row>
    <row r="26" spans="1:56" ht="11.25" customHeight="1" x14ac:dyDescent="0.3">
      <c r="A26" s="120"/>
      <c r="B26" s="120"/>
      <c r="C26" s="120"/>
      <c r="D26" s="89" t="s">
        <v>29</v>
      </c>
      <c r="E26" s="89" t="s">
        <v>25</v>
      </c>
      <c r="F26" s="89" t="s">
        <v>25</v>
      </c>
      <c r="G26" s="21" t="s">
        <v>76</v>
      </c>
      <c r="H26" s="21" t="s">
        <v>72</v>
      </c>
      <c r="I26" s="21">
        <f>'MERCADO TUSD'!$U$23</f>
        <v>0</v>
      </c>
      <c r="J26" s="17"/>
      <c r="L26" s="87">
        <f>('TUSD BE'!$L$26+'TUSD BF'!$L$26+'TUSD CVA'!$L$26)*(1 - 0.65)</f>
        <v>0</v>
      </c>
      <c r="M26" s="87">
        <f>('TUSD BE'!$M$26+'TUSD BF'!$M$26+'TUSD CVA'!$M$26)*(1 - 0.65)</f>
        <v>1.1460124539899641</v>
      </c>
      <c r="N26" s="87">
        <f ca="1">('TUSD BE'!$N$26+'TUSD BF'!$N$26+'TUSD CVA'!$N$26)*(1 - 0.65)</f>
        <v>0</v>
      </c>
      <c r="O26" s="87">
        <f>('TUSD BE'!$O$26+'TUSD BF'!$O$26+'TUSD CVA'!$O$26)*(1 - 0.65)</f>
        <v>0</v>
      </c>
      <c r="P26" s="87">
        <v>0</v>
      </c>
      <c r="Q26" s="87">
        <f>('TUSD BE'!$Q$26+'TUSD BF'!$Q$26+'TUSD CVA'!$Q$26)*(1 - 0.65)</f>
        <v>0</v>
      </c>
      <c r="R26" s="87">
        <v>0</v>
      </c>
      <c r="S26" s="87">
        <f>('TUSD BE'!$S$26+'TUSD BF'!$S$26+'TUSD CVA'!$S$26)*(1 - 0.65)</f>
        <v>0</v>
      </c>
      <c r="T26" s="87">
        <f>('TUSD BE'!$U$26+'TUSD BF'!$U$26+'TUSD CVA'!$U$26)*(1 - 0.65)</f>
        <v>0</v>
      </c>
      <c r="U26" s="87">
        <f>('TUSD BE'!$V$26+'TUSD BF'!$V$26+'TUSD CVA'!$V$26)*(1 - 0.65)</f>
        <v>0</v>
      </c>
      <c r="V26" s="87">
        <f>('TUSD BE'!$W$26+'TUSD BF'!$W$26+'TUSD CVA'!$W$26)*(1 - 0.65)</f>
        <v>0</v>
      </c>
      <c r="W26" s="87">
        <f>('TUSD BE'!$X$26+'TUSD BF'!$X$26+'TUSD CVA'!$X$26)*(1 - 0.65)</f>
        <v>0</v>
      </c>
      <c r="X26" s="87">
        <f>('TUSD BE'!$Y$26+'TUSD BF'!$Y$26+'TUSD CVA'!$Y$26)*(1 - 0.65)</f>
        <v>92.427628047753885</v>
      </c>
      <c r="Y26" s="87">
        <f>('TUSD BE'!$Z$26+'TUSD BF'!$Z$26+'TUSD CVA'!$Z$26)*(1 - 0.65)</f>
        <v>0</v>
      </c>
      <c r="Z26" s="87">
        <f>('TUSD BE'!$AA$26+'TUSD BF'!$AA$26+'TUSD CVA'!$AA$26)*(1 - 0.65)</f>
        <v>0</v>
      </c>
      <c r="AA26" s="87">
        <f>('TUSD BE'!$AC$26+'TUSD BF'!$AC$26+'TUSD CVA'!$AC$26)*(1 - 0.65)</f>
        <v>191.33452209286401</v>
      </c>
      <c r="AB26" s="87">
        <f ca="1">('TUSD BE'!$AE$26+'TUSD BF'!$AE$26+'TUSD CVA'!$AE$26)*(1 - 0.65)</f>
        <v>0</v>
      </c>
      <c r="AC26" s="87">
        <f ca="1">('TUSD BE'!$AF$26+'TUSD BF'!$AF$26+'TUSD CVA'!$AF$26)*(1 - 0.65)</f>
        <v>0</v>
      </c>
      <c r="AD26" s="87">
        <f>('TUSD BE'!$AH$26+'TUSD BF'!$AH$26+'TUSD CVA'!$AH$26)*(1 - 0.65)</f>
        <v>10.556958412618817</v>
      </c>
      <c r="AE26" s="87">
        <f>('TUSD BE'!$AI$26+'TUSD BF'!$AI$26+'TUSD CVA'!$AI$26)*(1 - 0.65)</f>
        <v>0</v>
      </c>
      <c r="AF26" s="87">
        <f ca="1">('TUSD BE'!$AJ$26+'TUSD BF'!$AJ$26+'TUSD CVA'!$AJ$26)*(1 - 0.65)</f>
        <v>5.7586125720232282</v>
      </c>
      <c r="AG26" s="87">
        <f ca="1">('TUSD BE'!$AK$26+'TUSD BF'!$AK$26+'TUSD CVA'!$AK$26)*(1 - 0.65)</f>
        <v>0</v>
      </c>
      <c r="AI26" s="87">
        <v>0</v>
      </c>
      <c r="AJ26" s="87">
        <v>0.90783516205293202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7">
        <v>0</v>
      </c>
      <c r="AS26" s="87">
        <v>0</v>
      </c>
      <c r="AT26" s="87">
        <v>0</v>
      </c>
      <c r="AU26" s="87">
        <v>84.862441478504607</v>
      </c>
      <c r="AV26" s="87">
        <v>0</v>
      </c>
      <c r="AW26" s="87">
        <v>0</v>
      </c>
      <c r="AX26" s="87">
        <v>169.86767724658699</v>
      </c>
      <c r="AY26" s="87">
        <v>4.9574571010804203</v>
      </c>
      <c r="AZ26" s="87">
        <v>0</v>
      </c>
      <c r="BA26" s="87">
        <v>13.0817967662356</v>
      </c>
      <c r="BB26" s="87">
        <v>0</v>
      </c>
      <c r="BC26" s="87">
        <v>0</v>
      </c>
      <c r="BD26" s="87">
        <v>0</v>
      </c>
    </row>
    <row r="27" spans="1:56" ht="11.25" customHeight="1" x14ac:dyDescent="0.3">
      <c r="A27" s="120"/>
      <c r="B27" s="120"/>
      <c r="C27" s="120"/>
      <c r="D27" s="89" t="s">
        <v>30</v>
      </c>
      <c r="E27" s="89" t="s">
        <v>25</v>
      </c>
      <c r="F27" s="89" t="s">
        <v>25</v>
      </c>
      <c r="G27" s="21" t="s">
        <v>76</v>
      </c>
      <c r="H27" s="21" t="s">
        <v>72</v>
      </c>
      <c r="I27" s="21">
        <f>'MERCADO TUSD'!$U$24</f>
        <v>0</v>
      </c>
      <c r="J27" s="17"/>
      <c r="L27" s="87">
        <f>('TUSD BE'!$L$27+'TUSD BF'!$L$27+'TUSD CVA'!$L$27)*(1 - 0.4)</f>
        <v>0</v>
      </c>
      <c r="M27" s="87">
        <f>('TUSD BE'!$M$27+'TUSD BF'!$M$27+'TUSD CVA'!$M$27)*(1 - 0.4)</f>
        <v>1.9645927782685098</v>
      </c>
      <c r="N27" s="87">
        <f ca="1">('TUSD BE'!$N$27+'TUSD BF'!$N$27+'TUSD CVA'!$N$27)*(1 - 0.4)</f>
        <v>0</v>
      </c>
      <c r="O27" s="87">
        <f>('TUSD BE'!$O$27+'TUSD BF'!$O$27+'TUSD CVA'!$O$27)*(1 - 0.4)</f>
        <v>0</v>
      </c>
      <c r="P27" s="87">
        <v>0</v>
      </c>
      <c r="Q27" s="87">
        <f>('TUSD BE'!$Q$27+'TUSD BF'!$Q$27+'TUSD CVA'!$Q$27)*(1 - 0.4)</f>
        <v>0</v>
      </c>
      <c r="R27" s="87">
        <v>0</v>
      </c>
      <c r="S27" s="87">
        <f>('TUSD BE'!$S$27+'TUSD BF'!$S$27+'TUSD CVA'!$S$27)*(1 - 0.4)</f>
        <v>0</v>
      </c>
      <c r="T27" s="87">
        <f>('TUSD BE'!$U$27+'TUSD BF'!$U$27+'TUSD CVA'!$U$27)*(1 - 0.4)</f>
        <v>0</v>
      </c>
      <c r="U27" s="87">
        <f>('TUSD BE'!$V$27+'TUSD BF'!$V$27+'TUSD CVA'!$V$27)*(1 - 0.4)</f>
        <v>0</v>
      </c>
      <c r="V27" s="87">
        <f>('TUSD BE'!$W$27+'TUSD BF'!$W$27+'TUSD CVA'!$W$27)*(1 - 0.4)</f>
        <v>0</v>
      </c>
      <c r="W27" s="87">
        <f>('TUSD BE'!$X$27+'TUSD BF'!$X$27+'TUSD CVA'!$X$27)*(1 - 0.4)</f>
        <v>0</v>
      </c>
      <c r="X27" s="87">
        <f>('TUSD BE'!$Y$27+'TUSD BF'!$Y$27+'TUSD CVA'!$Y$27)*(1 - 0.4)</f>
        <v>158.44736236757811</v>
      </c>
      <c r="Y27" s="87">
        <f>('TUSD BE'!$Z$27+'TUSD BF'!$Z$27+'TUSD CVA'!$Z$27)*(1 - 0.4)</f>
        <v>0</v>
      </c>
      <c r="Z27" s="87">
        <f>('TUSD BE'!$AA$27+'TUSD BF'!$AA$27+'TUSD CVA'!$AA$27)*(1 - 0.4)</f>
        <v>0</v>
      </c>
      <c r="AA27" s="87">
        <f>('TUSD BE'!$AC$27+'TUSD BF'!$AC$27+'TUSD CVA'!$AC$27)*(1 - 0.4)</f>
        <v>328.00203787348113</v>
      </c>
      <c r="AB27" s="87">
        <f ca="1">('TUSD BE'!$AE$27+'TUSD BF'!$AE$27+'TUSD CVA'!$AE$27)*(1 - 0.4)</f>
        <v>0</v>
      </c>
      <c r="AC27" s="87">
        <f ca="1">('TUSD BE'!$AF$27+'TUSD BF'!$AF$27+'TUSD CVA'!$AF$27)*(1 - 0.4)</f>
        <v>0</v>
      </c>
      <c r="AD27" s="87">
        <f>('TUSD BE'!$AH$27+'TUSD BF'!$AH$27+'TUSD CVA'!$AH$27)*(1 - 0.4)</f>
        <v>18.09764299306083</v>
      </c>
      <c r="AE27" s="87">
        <f>('TUSD BE'!$AI$27+'TUSD BF'!$AI$27+'TUSD CVA'!$AI$27)*(1 - 0.4)</f>
        <v>0</v>
      </c>
      <c r="AF27" s="87">
        <f ca="1">('TUSD BE'!$AJ$27+'TUSD BF'!$AJ$27+'TUSD CVA'!$AJ$27)*(1 - 0.4)</f>
        <v>9.8719072663255343</v>
      </c>
      <c r="AG27" s="87">
        <f ca="1">('TUSD BE'!$AK$27+'TUSD BF'!$AK$27+'TUSD CVA'!$AK$27)*(1 - 0.4)</f>
        <v>0</v>
      </c>
      <c r="AI27" s="87">
        <v>0</v>
      </c>
      <c r="AJ27" s="87">
        <v>1.5562888492336</v>
      </c>
      <c r="AK27" s="87">
        <v>0</v>
      </c>
      <c r="AL27" s="87">
        <v>0</v>
      </c>
      <c r="AM27" s="87">
        <v>0</v>
      </c>
      <c r="AN27" s="87">
        <v>0</v>
      </c>
      <c r="AO27" s="87">
        <v>0</v>
      </c>
      <c r="AP27" s="87">
        <v>0</v>
      </c>
      <c r="AQ27" s="87">
        <v>0</v>
      </c>
      <c r="AR27" s="87">
        <v>0</v>
      </c>
      <c r="AS27" s="87">
        <v>0</v>
      </c>
      <c r="AT27" s="87">
        <v>0</v>
      </c>
      <c r="AU27" s="87">
        <v>145.47847110600799</v>
      </c>
      <c r="AV27" s="87">
        <v>0</v>
      </c>
      <c r="AW27" s="87">
        <v>0</v>
      </c>
      <c r="AX27" s="87">
        <v>291.20173242272102</v>
      </c>
      <c r="AY27" s="87">
        <v>8.4984978875664297</v>
      </c>
      <c r="AZ27" s="87">
        <v>0</v>
      </c>
      <c r="BA27" s="87">
        <v>22.425937313546701</v>
      </c>
      <c r="BB27" s="87">
        <v>0</v>
      </c>
      <c r="BC27" s="87">
        <v>0</v>
      </c>
      <c r="BD27" s="87">
        <v>0</v>
      </c>
    </row>
    <row r="28" spans="1:56" ht="11.25" customHeight="1" x14ac:dyDescent="0.3">
      <c r="A28" s="120"/>
      <c r="B28" s="120"/>
      <c r="C28" s="120"/>
      <c r="D28" s="89" t="s">
        <v>31</v>
      </c>
      <c r="E28" s="89" t="s">
        <v>25</v>
      </c>
      <c r="F28" s="89" t="s">
        <v>25</v>
      </c>
      <c r="G28" s="21" t="s">
        <v>76</v>
      </c>
      <c r="H28" s="21" t="s">
        <v>72</v>
      </c>
      <c r="I28" s="21">
        <f>'MERCADO TUSD'!$U$25</f>
        <v>0</v>
      </c>
      <c r="J28" s="17"/>
      <c r="L28" s="87">
        <f>('TUSD BE'!$L$28+'TUSD BF'!$L$28+'TUSD CVA'!$L$28)*(1 - 0.1)</f>
        <v>0</v>
      </c>
      <c r="M28" s="87">
        <f>('TUSD BE'!$M$28+'TUSD BF'!$M$28+'TUSD CVA'!$M$28)*(1 - 0.1)</f>
        <v>2.9468891674027646</v>
      </c>
      <c r="N28" s="87">
        <f ca="1">('TUSD BE'!$N$28+'TUSD BF'!$N$28+'TUSD CVA'!$N$28)*(1 - 0.1)</f>
        <v>0</v>
      </c>
      <c r="O28" s="87">
        <f>('TUSD BE'!$O$28+'TUSD BF'!$O$28+'TUSD CVA'!$O$28)*(1 - 0.1)</f>
        <v>0</v>
      </c>
      <c r="P28" s="87">
        <v>0</v>
      </c>
      <c r="Q28" s="87">
        <f>('TUSD BE'!$Q$28+'TUSD BF'!$Q$28+'TUSD CVA'!$Q$28)*(1 - 0.1)</f>
        <v>0</v>
      </c>
      <c r="R28" s="87">
        <v>0</v>
      </c>
      <c r="S28" s="87">
        <f>('TUSD BE'!$S$28+'TUSD BF'!$S$28+'TUSD CVA'!$S$28)*(1 - 0.1)</f>
        <v>0</v>
      </c>
      <c r="T28" s="87">
        <f>('TUSD BE'!$U$28+'TUSD BF'!$U$28+'TUSD CVA'!$U$28)*(1 - 0.1)</f>
        <v>0</v>
      </c>
      <c r="U28" s="87">
        <f>('TUSD BE'!$V$28+'TUSD BF'!$V$28+'TUSD CVA'!$V$28)*(1 - 0.1)</f>
        <v>0</v>
      </c>
      <c r="V28" s="87">
        <f>('TUSD BE'!$W$28+'TUSD BF'!$W$28+'TUSD CVA'!$W$28)*(1 - 0.1)</f>
        <v>0</v>
      </c>
      <c r="W28" s="87">
        <f>('TUSD BE'!$X$28+'TUSD BF'!$X$28+'TUSD CVA'!$X$28)*(1 - 0.1)</f>
        <v>0</v>
      </c>
      <c r="X28" s="87">
        <f>('TUSD BE'!$Y$28+'TUSD BF'!$Y$28+'TUSD CVA'!$Y$28)*(1 - 0.1)</f>
        <v>237.67104355136715</v>
      </c>
      <c r="Y28" s="87">
        <f>('TUSD BE'!$Z$28+'TUSD BF'!$Z$28+'TUSD CVA'!$Z$28)*(1 - 0.1)</f>
        <v>0</v>
      </c>
      <c r="Z28" s="87">
        <f>('TUSD BE'!$AA$28+'TUSD BF'!$AA$28+'TUSD CVA'!$AA$28)*(1 - 0.1)</f>
        <v>0</v>
      </c>
      <c r="AA28" s="87">
        <f>('TUSD BE'!$AC$28+'TUSD BF'!$AC$28+'TUSD CVA'!$AC$28)*(1 - 0.1)</f>
        <v>492.00305681022178</v>
      </c>
      <c r="AB28" s="87">
        <f ca="1">('TUSD BE'!$AE$28+'TUSD BF'!$AE$28+'TUSD CVA'!$AE$28)*(1 - 0.1)</f>
        <v>0</v>
      </c>
      <c r="AC28" s="87">
        <f ca="1">('TUSD BE'!$AF$28+'TUSD BF'!$AF$28+'TUSD CVA'!$AF$28)*(1 - 0.1)</f>
        <v>0</v>
      </c>
      <c r="AD28" s="87">
        <f>('TUSD BE'!$AH$28+'TUSD BF'!$AH$28+'TUSD CVA'!$AH$28)*(1 - 0.1)</f>
        <v>27.146464489591246</v>
      </c>
      <c r="AE28" s="87">
        <f>('TUSD BE'!$AI$28+'TUSD BF'!$AI$28+'TUSD CVA'!$AI$28)*(1 - 0.1)</f>
        <v>0</v>
      </c>
      <c r="AF28" s="87">
        <f ca="1">('TUSD BE'!$AJ$28+'TUSD BF'!$AJ$28+'TUSD CVA'!$AJ$28)*(1 - 0.1)</f>
        <v>14.807860899488302</v>
      </c>
      <c r="AG28" s="87">
        <f ca="1">('TUSD BE'!$AK$28+'TUSD BF'!$AK$28+'TUSD CVA'!$AK$28)*(1 - 0.1)</f>
        <v>0</v>
      </c>
      <c r="AI28" s="87">
        <v>0</v>
      </c>
      <c r="AJ28" s="87">
        <v>2.3344332738503999</v>
      </c>
      <c r="AK28" s="87">
        <v>0</v>
      </c>
      <c r="AL28" s="87">
        <v>0</v>
      </c>
      <c r="AM28" s="87">
        <v>0</v>
      </c>
      <c r="AN28" s="87">
        <v>0</v>
      </c>
      <c r="AO28" s="87">
        <v>0</v>
      </c>
      <c r="AP28" s="87">
        <v>0</v>
      </c>
      <c r="AQ28" s="87">
        <v>0</v>
      </c>
      <c r="AR28" s="87">
        <v>0</v>
      </c>
      <c r="AS28" s="87">
        <v>0</v>
      </c>
      <c r="AT28" s="87">
        <v>0</v>
      </c>
      <c r="AU28" s="87">
        <v>218.21770665901201</v>
      </c>
      <c r="AV28" s="87">
        <v>0</v>
      </c>
      <c r="AW28" s="87">
        <v>0</v>
      </c>
      <c r="AX28" s="87">
        <v>436.80259863408202</v>
      </c>
      <c r="AY28" s="87">
        <v>12.7477468313496</v>
      </c>
      <c r="AZ28" s="87">
        <v>0</v>
      </c>
      <c r="BA28" s="87">
        <v>33.638905970320103</v>
      </c>
      <c r="BB28" s="87">
        <v>0</v>
      </c>
      <c r="BC28" s="87">
        <v>0</v>
      </c>
      <c r="BD28" s="87">
        <v>0</v>
      </c>
    </row>
    <row r="29" spans="1:56" ht="11.25" customHeight="1" x14ac:dyDescent="0.3">
      <c r="A29" s="120"/>
      <c r="B29" s="120"/>
      <c r="C29" s="120"/>
      <c r="D29" s="89" t="s">
        <v>32</v>
      </c>
      <c r="E29" s="89" t="s">
        <v>25</v>
      </c>
      <c r="F29" s="89" t="s">
        <v>25</v>
      </c>
      <c r="G29" s="21" t="s">
        <v>76</v>
      </c>
      <c r="H29" s="21" t="s">
        <v>72</v>
      </c>
      <c r="I29" s="21">
        <f>'MERCADO TUSD'!$U$26</f>
        <v>0</v>
      </c>
      <c r="J29" s="17"/>
      <c r="L29" s="87">
        <f>('TUSD BE'!$L$29+'TUSD BF'!$L$29+'TUSD CVA'!$L$29)*1</f>
        <v>0</v>
      </c>
      <c r="M29" s="87">
        <f>('TUSD BE'!$M$29+'TUSD BF'!$M$29+'TUSD CVA'!$M$29)*1</f>
        <v>3.2743212971141831</v>
      </c>
      <c r="N29" s="87">
        <f ca="1">('TUSD BE'!$N$29+'TUSD BF'!$N$29+'TUSD CVA'!$N$29)*1</f>
        <v>0</v>
      </c>
      <c r="O29" s="87">
        <f>('TUSD BE'!$O$29+'TUSD BF'!$O$29+'TUSD CVA'!$O$29)*1</f>
        <v>0</v>
      </c>
      <c r="P29" s="87">
        <v>0</v>
      </c>
      <c r="Q29" s="87">
        <f>('TUSD BE'!$Q$29+'TUSD BF'!$Q$29+'TUSD CVA'!$Q$29)*1</f>
        <v>0</v>
      </c>
      <c r="R29" s="87">
        <v>0</v>
      </c>
      <c r="S29" s="87">
        <f>('TUSD BE'!$S$29+'TUSD BF'!$S$29+'TUSD CVA'!$S$29)*1</f>
        <v>0</v>
      </c>
      <c r="T29" s="87">
        <f>('TUSD BE'!$U$29+'TUSD BF'!$U$29+'TUSD CVA'!$U$29)*1</f>
        <v>0</v>
      </c>
      <c r="U29" s="87">
        <f>('TUSD BE'!$V$29+'TUSD BF'!$V$29+'TUSD CVA'!$V$29)*1</f>
        <v>0</v>
      </c>
      <c r="V29" s="87">
        <f>('TUSD BE'!$W$29+'TUSD BF'!$W$29+'TUSD CVA'!$W$29)*1</f>
        <v>0</v>
      </c>
      <c r="W29" s="87">
        <f>('TUSD BE'!$X$29+'TUSD BF'!$X$29+'TUSD CVA'!$X$29)*1</f>
        <v>0</v>
      </c>
      <c r="X29" s="87">
        <f>('TUSD BE'!$Y$29+'TUSD BF'!$Y$29+'TUSD CVA'!$Y$29)*1</f>
        <v>264.07893727929684</v>
      </c>
      <c r="Y29" s="87">
        <f>('TUSD BE'!$Z$29+'TUSD BF'!$Z$29+'TUSD CVA'!$Z$29)*1</f>
        <v>0</v>
      </c>
      <c r="Z29" s="87">
        <f>('TUSD BE'!$AA$29+'TUSD BF'!$AA$29+'TUSD CVA'!$AA$29)*1</f>
        <v>0</v>
      </c>
      <c r="AA29" s="87">
        <f>('TUSD BE'!$AC$29+'TUSD BF'!$AC$29+'TUSD CVA'!$AC$29)*1</f>
        <v>546.6700631224686</v>
      </c>
      <c r="AB29" s="87">
        <f ca="1">('TUSD BE'!$AE$29+'TUSD BF'!$AE$29+'TUSD CVA'!$AE$29)*1</f>
        <v>0</v>
      </c>
      <c r="AC29" s="87">
        <f ca="1">('TUSD BE'!$AF$29+'TUSD BF'!$AF$29+'TUSD CVA'!$AF$29)*1</f>
        <v>0</v>
      </c>
      <c r="AD29" s="87">
        <f>('TUSD BE'!$AH$29+'TUSD BF'!$AH$29+'TUSD CVA'!$AH$29)*1</f>
        <v>30.16273832176805</v>
      </c>
      <c r="AE29" s="87">
        <f>('TUSD BE'!$AI$29+'TUSD BF'!$AI$29+'TUSD CVA'!$AI$29)*1</f>
        <v>0</v>
      </c>
      <c r="AF29" s="87">
        <f ca="1">('TUSD BE'!$AJ$29+'TUSD BF'!$AJ$29+'TUSD CVA'!$AJ$29)*1</f>
        <v>16.453178777209224</v>
      </c>
      <c r="AG29" s="87">
        <f ca="1">('TUSD BE'!$AK$29+'TUSD BF'!$AK$29+'TUSD CVA'!$AK$29)*1</f>
        <v>0</v>
      </c>
      <c r="AI29" s="87">
        <v>0</v>
      </c>
      <c r="AJ29" s="87">
        <v>2.5938147487226599</v>
      </c>
      <c r="AK29" s="87">
        <v>0</v>
      </c>
      <c r="AL29" s="87">
        <v>0</v>
      </c>
      <c r="AM29" s="87">
        <v>0</v>
      </c>
      <c r="AN29" s="87">
        <v>0</v>
      </c>
      <c r="AO29" s="87">
        <v>0</v>
      </c>
      <c r="AP29" s="87">
        <v>0</v>
      </c>
      <c r="AQ29" s="87">
        <v>0</v>
      </c>
      <c r="AR29" s="87">
        <v>0</v>
      </c>
      <c r="AS29" s="87">
        <v>0</v>
      </c>
      <c r="AT29" s="87">
        <v>0</v>
      </c>
      <c r="AU29" s="87">
        <v>242.46411851001301</v>
      </c>
      <c r="AV29" s="87">
        <v>0</v>
      </c>
      <c r="AW29" s="87">
        <v>0</v>
      </c>
      <c r="AX29" s="87">
        <v>485.33622070453498</v>
      </c>
      <c r="AY29" s="87">
        <v>14.1641631459441</v>
      </c>
      <c r="AZ29" s="87">
        <v>0</v>
      </c>
      <c r="BA29" s="87">
        <v>37.376562189244503</v>
      </c>
      <c r="BB29" s="87">
        <v>0</v>
      </c>
      <c r="BC29" s="87">
        <v>0</v>
      </c>
      <c r="BD29" s="87">
        <v>0</v>
      </c>
    </row>
    <row r="30" spans="1:56" ht="11.25" customHeight="1" x14ac:dyDescent="0.3">
      <c r="A30" s="120" t="s">
        <v>43</v>
      </c>
      <c r="B30" s="120" t="s">
        <v>33</v>
      </c>
      <c r="C30" s="120" t="s">
        <v>44</v>
      </c>
      <c r="D30" s="120" t="s">
        <v>25</v>
      </c>
      <c r="E30" s="120" t="s">
        <v>25</v>
      </c>
      <c r="F30" s="120" t="s">
        <v>25</v>
      </c>
      <c r="G30" s="21" t="s">
        <v>73</v>
      </c>
      <c r="H30" s="21" t="s">
        <v>72</v>
      </c>
      <c r="I30" s="21">
        <f>'MERCADO TUSD'!$U$27</f>
        <v>0</v>
      </c>
      <c r="J30" s="17"/>
      <c r="L30" s="87">
        <f>('TUSD BE'!$L$30+'TUSD BF'!$L$30+'TUSD CVA'!$L$30)*(1 - CUSTOS!$M$38)</f>
        <v>13.121253910520783</v>
      </c>
      <c r="M30" s="87">
        <f>('TUSD BE'!$M$30+'TUSD BF'!$M$30+'TUSD CVA'!$M$30)*(1 - CUSTOS!$M$38)</f>
        <v>3.0778620192873318</v>
      </c>
      <c r="N30" s="87">
        <f ca="1">('TUSD BE'!$N$30+'TUSD BF'!$N$30+'TUSD CVA'!$N$30)*(1 - CUSTOS!$M$38)</f>
        <v>0</v>
      </c>
      <c r="O30" s="87">
        <f>('TUSD BE'!$O$30+'TUSD BF'!$O$30+'TUSD CVA'!$O$30)*(1 - CUSTOS!$M$38)</f>
        <v>0</v>
      </c>
      <c r="P30" s="87">
        <f>('TUSD BE'!$P$30+'TUSD BF'!$P$30+'TUSD CVA'!$P$30)*(1 - CUSTOS!$M$38)</f>
        <v>0</v>
      </c>
      <c r="Q30" s="87">
        <f>('TUSD BE'!$Q$30+'TUSD BF'!$Q$30+'TUSD CVA'!$Q$30)*(1 - CUSTOS!$M$38)</f>
        <v>86.646961430037436</v>
      </c>
      <c r="R30" s="87">
        <f>('TUSD BE'!$R$30+'TUSD BF'!$R$30+'TUSD CVA'!$R$30)*(1 - CUSTOS!$M$38)</f>
        <v>14.364798587812052</v>
      </c>
      <c r="S30" s="87">
        <f>('TUSD BE'!$S$30+'TUSD BF'!$S$30+'TUSD CVA'!$S$30)*(1 - CUSTOS!$M$38)</f>
        <v>0</v>
      </c>
      <c r="T30" s="87">
        <f>('TUSD BE'!$U$30+'TUSD BF'!$U$30+'TUSD CVA'!$U$30)*(1 - CUSTOS!$M$38)</f>
        <v>0</v>
      </c>
      <c r="U30" s="87">
        <f>('TUSD BE'!$V$30+'TUSD BF'!$V$30+'TUSD CVA'!$V$30)*(1 - CUSTOS!$M$38)</f>
        <v>0</v>
      </c>
      <c r="V30" s="87">
        <f>('TUSD BE'!$W$30+'TUSD BF'!$W$30+'TUSD CVA'!$W$30)*(1 - CUSTOS!$M$38)</f>
        <v>0</v>
      </c>
      <c r="W30" s="87">
        <f>('TUSD BE'!$X$30+'TUSD BF'!$X$30+'TUSD CVA'!$X$30)*(1 - CUSTOS!$M$38)</f>
        <v>0</v>
      </c>
      <c r="X30" s="87">
        <f>('TUSD BE'!$Y$30+'TUSD BF'!$Y$30+'TUSD CVA'!$Y$30)*(1 - CUSTOS!$M$38)</f>
        <v>645.40948658769025</v>
      </c>
      <c r="Y30" s="87">
        <f>('TUSD BE'!$Z$30+'TUSD BF'!$Z$30+'TUSD CVA'!$Z$30)*(1 - CUSTOS!$M$38)</f>
        <v>0</v>
      </c>
      <c r="Z30" s="87">
        <f>('TUSD BE'!$AA$30+'TUSD BF'!$AA$30+'TUSD CVA'!$AA$30)*(1 - CUSTOS!$M$38)</f>
        <v>0</v>
      </c>
      <c r="AA30" s="87">
        <f>('TUSD BE'!$AC$30+'TUSD BF'!$AC$30+'TUSD CVA'!$AC$30)*(1 - CUSTOS!$M$38)</f>
        <v>1336.0612220186447</v>
      </c>
      <c r="AB30" s="87">
        <f ca="1">('TUSD BE'!$AE$30+'TUSD BF'!$AE$30+'TUSD CVA'!$AE$30)*(1 - CUSTOS!$M$38)</f>
        <v>0</v>
      </c>
      <c r="AC30" s="87">
        <f ca="1">('TUSD BE'!$AF$30+'TUSD BF'!$AF$30+'TUSD CVA'!$AF$30)*(1 - CUSTOS!$M$38)</f>
        <v>0</v>
      </c>
      <c r="AD30" s="87">
        <f>('TUSD BE'!$AH$30+'TUSD BF'!$AH$30+'TUSD CVA'!$AH$30)*(1 - CUSTOS!$M$38)</f>
        <v>28.352974022461964</v>
      </c>
      <c r="AE30" s="87">
        <f>('TUSD BE'!$AI$30+'TUSD BF'!$AI$30+'TUSD CVA'!$AI$30)*(1 - CUSTOS!$M$38)</f>
        <v>0</v>
      </c>
      <c r="AF30" s="87">
        <f ca="1">('TUSD BE'!$AJ$30+'TUSD BF'!$AJ$30+'TUSD CVA'!$AJ$30)*(1 - CUSTOS!$M$38)</f>
        <v>15.465988050576669</v>
      </c>
      <c r="AG30" s="87">
        <f ca="1">('TUSD BE'!$AK$30+'TUSD BF'!$AK$30+'TUSD CVA'!$AK$30)*(1 - CUSTOS!$M$38)</f>
        <v>0</v>
      </c>
      <c r="AI30" s="87">
        <v>0</v>
      </c>
      <c r="AJ30" s="87">
        <v>2.2825569788759399</v>
      </c>
      <c r="AK30" s="87">
        <v>0</v>
      </c>
      <c r="AL30" s="87">
        <v>0</v>
      </c>
      <c r="AM30" s="87">
        <v>0</v>
      </c>
      <c r="AN30" s="87">
        <v>65.502303528948303</v>
      </c>
      <c r="AO30" s="87">
        <v>8.3213382945347796</v>
      </c>
      <c r="AP30" s="87">
        <v>0</v>
      </c>
      <c r="AQ30" s="87">
        <v>0</v>
      </c>
      <c r="AR30" s="87">
        <v>0</v>
      </c>
      <c r="AS30" s="87">
        <v>0</v>
      </c>
      <c r="AT30" s="87">
        <v>0</v>
      </c>
      <c r="AU30" s="87">
        <v>554.75790315091001</v>
      </c>
      <c r="AV30" s="87">
        <v>0</v>
      </c>
      <c r="AW30" s="87">
        <v>0</v>
      </c>
      <c r="AX30" s="87">
        <v>1110.4490312573801</v>
      </c>
      <c r="AY30" s="87">
        <v>32.907005642335697</v>
      </c>
      <c r="AZ30" s="87">
        <v>0</v>
      </c>
      <c r="BA30" s="87">
        <v>32.891374726535197</v>
      </c>
      <c r="BB30" s="87">
        <v>0</v>
      </c>
      <c r="BC30" s="87">
        <v>0</v>
      </c>
      <c r="BD30" s="87">
        <v>0</v>
      </c>
    </row>
    <row r="31" spans="1:56" ht="11.25" customHeight="1" x14ac:dyDescent="0.3">
      <c r="A31" s="120"/>
      <c r="B31" s="120"/>
      <c r="C31" s="120"/>
      <c r="D31" s="120"/>
      <c r="E31" s="120"/>
      <c r="F31" s="120"/>
      <c r="G31" s="21" t="s">
        <v>85</v>
      </c>
      <c r="H31" s="21" t="s">
        <v>72</v>
      </c>
      <c r="I31" s="21">
        <f>'MERCADO TUSD'!$U$28</f>
        <v>0</v>
      </c>
      <c r="J31" s="17"/>
      <c r="L31" s="87">
        <f>('TUSD BE'!$L$31+'TUSD BF'!$L$31+'TUSD CVA'!$L$31)*(1 - CUSTOS!$M$38)</f>
        <v>13.121253910520783</v>
      </c>
      <c r="M31" s="87">
        <f>('TUSD BE'!$M$31+'TUSD BF'!$M$31+'TUSD CVA'!$M$31)*(1 - CUSTOS!$M$38)</f>
        <v>3.0778620192873318</v>
      </c>
      <c r="N31" s="87">
        <f ca="1">('TUSD BE'!$N$31+'TUSD BF'!$N$31+'TUSD CVA'!$N$31)*(1 - CUSTOS!$M$38)</f>
        <v>0</v>
      </c>
      <c r="O31" s="87">
        <f>('TUSD BE'!$O$31+'TUSD BF'!$O$31+'TUSD CVA'!$O$31)*(1 - CUSTOS!$M$38)</f>
        <v>0</v>
      </c>
      <c r="P31" s="87">
        <f>('TUSD BE'!$P$31+'TUSD BF'!$P$31+'TUSD CVA'!$P$31)*(1 - CUSTOS!$M$38)</f>
        <v>0</v>
      </c>
      <c r="Q31" s="87">
        <f>('TUSD BE'!$Q$31+'TUSD BF'!$Q$31+'TUSD CVA'!$Q$31)*(1 - CUSTOS!$M$38)</f>
        <v>86.646961430037436</v>
      </c>
      <c r="R31" s="87">
        <f>('TUSD BE'!$R$31+'TUSD BF'!$R$31+'TUSD CVA'!$R$31)*(1 - CUSTOS!$M$38)</f>
        <v>14.364798587812052</v>
      </c>
      <c r="S31" s="87">
        <f>('TUSD BE'!$S$31+'TUSD BF'!$S$31+'TUSD CVA'!$S$31)*(1 - CUSTOS!$M$38)</f>
        <v>0</v>
      </c>
      <c r="T31" s="87">
        <f>('TUSD BE'!$U$31+'TUSD BF'!$U$31+'TUSD CVA'!$U$31)*(1 - CUSTOS!$M$38)</f>
        <v>0</v>
      </c>
      <c r="U31" s="87">
        <f>('TUSD BE'!$V$31+'TUSD BF'!$V$31+'TUSD CVA'!$V$31)*(1 - CUSTOS!$M$38)</f>
        <v>0</v>
      </c>
      <c r="V31" s="87">
        <f>('TUSD BE'!$W$31+'TUSD BF'!$W$31+'TUSD CVA'!$W$31)*(1 - CUSTOS!$M$38)</f>
        <v>0</v>
      </c>
      <c r="W31" s="87">
        <f>('TUSD BE'!$X$31+'TUSD BF'!$X$31+'TUSD CVA'!$X$31)*(1 - CUSTOS!$M$38)</f>
        <v>0</v>
      </c>
      <c r="X31" s="87">
        <f>('TUSD BE'!$Y$31+'TUSD BF'!$Y$31+'TUSD CVA'!$Y$31)*(1 - CUSTOS!$M$38)</f>
        <v>387.24541001406971</v>
      </c>
      <c r="Y31" s="87">
        <f>('TUSD BE'!$Z$31+'TUSD BF'!$Z$31+'TUSD CVA'!$Z$31)*(1 - CUSTOS!$M$38)</f>
        <v>0</v>
      </c>
      <c r="Z31" s="87">
        <f>('TUSD BE'!$AA$31+'TUSD BF'!$AA$31+'TUSD CVA'!$AA$31)*(1 - CUSTOS!$M$38)</f>
        <v>0</v>
      </c>
      <c r="AA31" s="87">
        <f>('TUSD BE'!$AC$31+'TUSD BF'!$AC$31+'TUSD CVA'!$AC$31)*(1 - CUSTOS!$M$38)</f>
        <v>801.63685688698729</v>
      </c>
      <c r="AB31" s="87">
        <f ca="1">('TUSD BE'!$AE$31+'TUSD BF'!$AE$31+'TUSD CVA'!$AE$31)*(1 - CUSTOS!$M$38)</f>
        <v>0</v>
      </c>
      <c r="AC31" s="87">
        <f ca="1">('TUSD BE'!$AF$31+'TUSD BF'!$AF$31+'TUSD CVA'!$AF$31)*(1 - CUSTOS!$M$38)</f>
        <v>0</v>
      </c>
      <c r="AD31" s="87">
        <f>('TUSD BE'!$AH$31+'TUSD BF'!$AH$31+'TUSD CVA'!$AH$31)*(1 - CUSTOS!$M$38)</f>
        <v>28.352974022461964</v>
      </c>
      <c r="AE31" s="87">
        <f>('TUSD BE'!$AI$31+'TUSD BF'!$AI$31+'TUSD CVA'!$AI$31)*(1 - CUSTOS!$M$38)</f>
        <v>0</v>
      </c>
      <c r="AF31" s="87">
        <f ca="1">('TUSD BE'!$AJ$31+'TUSD BF'!$AJ$31+'TUSD CVA'!$AJ$31)*(1 - CUSTOS!$M$38)</f>
        <v>15.465988050576669</v>
      </c>
      <c r="AG31" s="87">
        <f ca="1">('TUSD BE'!$AK$31+'TUSD BF'!$AK$31+'TUSD CVA'!$AK$31)*(1 - CUSTOS!$M$38)</f>
        <v>0</v>
      </c>
      <c r="AI31" s="87">
        <v>0</v>
      </c>
      <c r="AJ31" s="87">
        <v>2.2825569788759399</v>
      </c>
      <c r="AK31" s="87">
        <v>0</v>
      </c>
      <c r="AL31" s="87">
        <v>0</v>
      </c>
      <c r="AM31" s="87">
        <v>0</v>
      </c>
      <c r="AN31" s="87">
        <v>65.502303528948303</v>
      </c>
      <c r="AO31" s="87">
        <v>8.3213382945347796</v>
      </c>
      <c r="AP31" s="87">
        <v>0</v>
      </c>
      <c r="AQ31" s="87">
        <v>0</v>
      </c>
      <c r="AR31" s="87">
        <v>0</v>
      </c>
      <c r="AS31" s="87">
        <v>0</v>
      </c>
      <c r="AT31" s="87">
        <v>0</v>
      </c>
      <c r="AU31" s="87">
        <v>332.85467001342801</v>
      </c>
      <c r="AV31" s="87">
        <v>0</v>
      </c>
      <c r="AW31" s="87">
        <v>0</v>
      </c>
      <c r="AX31" s="87">
        <v>666.26914682550205</v>
      </c>
      <c r="AY31" s="87">
        <v>20.508917375801101</v>
      </c>
      <c r="AZ31" s="87">
        <v>0</v>
      </c>
      <c r="BA31" s="87">
        <v>32.891374726535197</v>
      </c>
      <c r="BB31" s="87">
        <v>0</v>
      </c>
      <c r="BC31" s="87">
        <v>0</v>
      </c>
      <c r="BD31" s="87">
        <v>0</v>
      </c>
    </row>
    <row r="32" spans="1:56" ht="11.25" customHeight="1" x14ac:dyDescent="0.3">
      <c r="A32" s="120"/>
      <c r="B32" s="120"/>
      <c r="C32" s="120"/>
      <c r="D32" s="120"/>
      <c r="E32" s="120"/>
      <c r="F32" s="120"/>
      <c r="G32" s="21" t="s">
        <v>74</v>
      </c>
      <c r="H32" s="21" t="s">
        <v>72</v>
      </c>
      <c r="I32" s="21">
        <f>'MERCADO TUSD'!$U$29</f>
        <v>0</v>
      </c>
      <c r="J32" s="17"/>
      <c r="L32" s="87">
        <f>('TUSD BE'!$L$32+'TUSD BF'!$L$32+'TUSD CVA'!$L$32)*(1 - CUSTOS!$M$38)</f>
        <v>13.121253910520783</v>
      </c>
      <c r="M32" s="87">
        <f>('TUSD BE'!$M$32+'TUSD BF'!$M$32+'TUSD CVA'!$M$32)*(1 - CUSTOS!$M$38)</f>
        <v>3.0778620192873318</v>
      </c>
      <c r="N32" s="87">
        <f ca="1">('TUSD BE'!$N$32+'TUSD BF'!$N$32+'TUSD CVA'!$N$32)*(1 - CUSTOS!$M$38)</f>
        <v>0</v>
      </c>
      <c r="O32" s="87">
        <f>('TUSD BE'!$O$32+'TUSD BF'!$O$32+'TUSD CVA'!$O$32)*(1 - CUSTOS!$M$38)</f>
        <v>0</v>
      </c>
      <c r="P32" s="87">
        <f>('TUSD BE'!$P$32+'TUSD BF'!$P$32+'TUSD CVA'!$P$32)*(1 - CUSTOS!$M$38)</f>
        <v>0</v>
      </c>
      <c r="Q32" s="87">
        <f>('TUSD BE'!$Q$32+'TUSD BF'!$Q$32+'TUSD CVA'!$Q$32)*(1 - CUSTOS!$M$38)</f>
        <v>86.646961430037436</v>
      </c>
      <c r="R32" s="87">
        <f>('TUSD BE'!$R$32+'TUSD BF'!$R$32+'TUSD CVA'!$R$32)*(1 - CUSTOS!$M$38)</f>
        <v>14.364798587812052</v>
      </c>
      <c r="S32" s="87">
        <f>('TUSD BE'!$S$32+'TUSD BF'!$S$32+'TUSD CVA'!$S$32)*(1 - CUSTOS!$M$38)</f>
        <v>0</v>
      </c>
      <c r="T32" s="87">
        <f>('TUSD BE'!$U$32+'TUSD BF'!$U$32+'TUSD CVA'!$U$32)*(1 - CUSTOS!$M$38)</f>
        <v>0</v>
      </c>
      <c r="U32" s="87">
        <f>('TUSD BE'!$V$32+'TUSD BF'!$V$32+'TUSD CVA'!$V$32)*(1 - CUSTOS!$M$38)</f>
        <v>0</v>
      </c>
      <c r="V32" s="87">
        <f>('TUSD BE'!$W$32+'TUSD BF'!$W$32+'TUSD CVA'!$W$32)*(1 - CUSTOS!$M$38)</f>
        <v>0</v>
      </c>
      <c r="W32" s="87">
        <f>('TUSD BE'!$X$32+'TUSD BF'!$X$32+'TUSD CVA'!$X$32)*(1 - CUSTOS!$M$38)</f>
        <v>0</v>
      </c>
      <c r="X32" s="87">
        <f>('TUSD BE'!$Y$32+'TUSD BF'!$Y$32+'TUSD CVA'!$Y$32)*(1 - CUSTOS!$M$38)</f>
        <v>129.08133344044938</v>
      </c>
      <c r="Y32" s="87">
        <f>('TUSD BE'!$Z$32+'TUSD BF'!$Z$32+'TUSD CVA'!$Z$32)*(1 - CUSTOS!$M$38)</f>
        <v>0</v>
      </c>
      <c r="Z32" s="87">
        <f>('TUSD BE'!$AA$32+'TUSD BF'!$AA$32+'TUSD CVA'!$AA$32)*(1 - CUSTOS!$M$38)</f>
        <v>0</v>
      </c>
      <c r="AA32" s="87">
        <f>('TUSD BE'!$AC$32+'TUSD BF'!$AC$32+'TUSD CVA'!$AC$32)*(1 - CUSTOS!$M$38)</f>
        <v>267.21228562899574</v>
      </c>
      <c r="AB32" s="87">
        <f ca="1">('TUSD BE'!$AE$32+'TUSD BF'!$AE$32+'TUSD CVA'!$AE$32)*(1 - CUSTOS!$M$38)</f>
        <v>0</v>
      </c>
      <c r="AC32" s="87">
        <f ca="1">('TUSD BE'!$AF$32+'TUSD BF'!$AF$32+'TUSD CVA'!$AF$32)*(1 - CUSTOS!$M$38)</f>
        <v>0</v>
      </c>
      <c r="AD32" s="87">
        <f>('TUSD BE'!$AH$32+'TUSD BF'!$AH$32+'TUSD CVA'!$AH$32)*(1 - CUSTOS!$M$38)</f>
        <v>28.352974022461964</v>
      </c>
      <c r="AE32" s="87">
        <f>('TUSD BE'!$AI$32+'TUSD BF'!$AI$32+'TUSD CVA'!$AI$32)*(1 - CUSTOS!$M$38)</f>
        <v>0</v>
      </c>
      <c r="AF32" s="87">
        <f ca="1">('TUSD BE'!$AJ$32+'TUSD BF'!$AJ$32+'TUSD CVA'!$AJ$32)*(1 - CUSTOS!$M$38)</f>
        <v>15.465988050576669</v>
      </c>
      <c r="AG32" s="87">
        <f ca="1">('TUSD BE'!$AK$32+'TUSD BF'!$AK$32+'TUSD CVA'!$AK$32)*(1 - CUSTOS!$M$38)</f>
        <v>0</v>
      </c>
      <c r="AI32" s="87">
        <v>0</v>
      </c>
      <c r="AJ32" s="87">
        <v>2.2825569788759399</v>
      </c>
      <c r="AK32" s="87">
        <v>0</v>
      </c>
      <c r="AL32" s="87">
        <v>0</v>
      </c>
      <c r="AM32" s="87">
        <v>0</v>
      </c>
      <c r="AN32" s="87">
        <v>65.502303528948303</v>
      </c>
      <c r="AO32" s="87">
        <v>8.3213382945347796</v>
      </c>
      <c r="AP32" s="87">
        <v>0</v>
      </c>
      <c r="AQ32" s="87">
        <v>0</v>
      </c>
      <c r="AR32" s="87">
        <v>0</v>
      </c>
      <c r="AS32" s="87">
        <v>0</v>
      </c>
      <c r="AT32" s="87">
        <v>0</v>
      </c>
      <c r="AU32" s="87">
        <v>110.951556671143</v>
      </c>
      <c r="AV32" s="87">
        <v>0</v>
      </c>
      <c r="AW32" s="87">
        <v>0</v>
      </c>
      <c r="AX32" s="87">
        <v>222.08979114431301</v>
      </c>
      <c r="AY32" s="87">
        <v>8.1108417864931397</v>
      </c>
      <c r="AZ32" s="87">
        <v>0</v>
      </c>
      <c r="BA32" s="87">
        <v>32.891374726535197</v>
      </c>
      <c r="BB32" s="87">
        <v>0</v>
      </c>
      <c r="BC32" s="87">
        <v>0</v>
      </c>
      <c r="BD32" s="87">
        <v>0</v>
      </c>
    </row>
    <row r="33" spans="1:56" ht="11.25" customHeight="1" x14ac:dyDescent="0.3">
      <c r="A33" s="120"/>
      <c r="B33" s="89" t="s">
        <v>23</v>
      </c>
      <c r="C33" s="89" t="s">
        <v>44</v>
      </c>
      <c r="D33" s="89" t="s">
        <v>25</v>
      </c>
      <c r="E33" s="89" t="s">
        <v>25</v>
      </c>
      <c r="F33" s="89" t="s">
        <v>25</v>
      </c>
      <c r="G33" s="21" t="s">
        <v>76</v>
      </c>
      <c r="H33" s="21" t="s">
        <v>72</v>
      </c>
      <c r="I33" s="21">
        <f>'MERCADO TUSD'!$U$30</f>
        <v>600.24900000000002</v>
      </c>
      <c r="J33" s="17"/>
      <c r="L33" s="87">
        <f>('TUSD BE'!$L$33+'TUSD BF'!$L$33+'TUSD CVA'!$L$33)*(1 - CUSTOS!$M$38)</f>
        <v>13.121253910520783</v>
      </c>
      <c r="M33" s="87">
        <f>('TUSD BE'!$M$33+'TUSD BF'!$M$33+'TUSD CVA'!$M$33)*(1 - CUSTOS!$M$38)</f>
        <v>3.0778620192873318</v>
      </c>
      <c r="N33" s="87">
        <f ca="1">('TUSD BE'!$N$33+'TUSD BF'!$N$33+'TUSD CVA'!$N$33)*(1 - CUSTOS!$M$38)</f>
        <v>0</v>
      </c>
      <c r="O33" s="87">
        <f>('TUSD BE'!$O$33+'TUSD BF'!$O$33+'TUSD CVA'!$O$33)*(1 - CUSTOS!$M$38)</f>
        <v>0</v>
      </c>
      <c r="P33" s="87">
        <f>('TUSD BE'!$P$33+'TUSD BF'!$P$33+'TUSD CVA'!$P$33)*(1 - CUSTOS!$M$38)</f>
        <v>0</v>
      </c>
      <c r="Q33" s="87">
        <f>('TUSD BE'!$Q$33+'TUSD BF'!$Q$33+'TUSD CVA'!$Q$33)*(1 - CUSTOS!$M$38)</f>
        <v>86.646961430037436</v>
      </c>
      <c r="R33" s="87">
        <f>('TUSD BE'!$R$33+'TUSD BF'!$R$33+'TUSD CVA'!$R$33)*(1 - CUSTOS!$M$38)</f>
        <v>14.364798587812052</v>
      </c>
      <c r="S33" s="87">
        <f>('TUSD BE'!$S$33+'TUSD BF'!$S$33+'TUSD CVA'!$S$33)*(1 - CUSTOS!$M$38)</f>
        <v>0</v>
      </c>
      <c r="T33" s="87">
        <f>('TUSD BE'!$U$33+'TUSD BF'!$U$33+'TUSD CVA'!$U$33)*(1 - CUSTOS!$M$38)</f>
        <v>0</v>
      </c>
      <c r="U33" s="87">
        <f>('TUSD BE'!$V$33+'TUSD BF'!$V$33+'TUSD CVA'!$V$33)*(1 - CUSTOS!$M$38)</f>
        <v>0</v>
      </c>
      <c r="V33" s="87">
        <f>('TUSD BE'!$W$33+'TUSD BF'!$W$33+'TUSD CVA'!$W$33)*(1 - CUSTOS!$M$38)</f>
        <v>0</v>
      </c>
      <c r="W33" s="87">
        <f>('TUSD BE'!$X$33+'TUSD BF'!$X$33+'TUSD CVA'!$X$33)*(1 - CUSTOS!$M$38)</f>
        <v>0</v>
      </c>
      <c r="X33" s="87">
        <f>('TUSD BE'!$Y$33+'TUSD BF'!$Y$33+'TUSD CVA'!$Y$33)*(1 - CUSTOS!$M$38)</f>
        <v>248.23420104253901</v>
      </c>
      <c r="Y33" s="87">
        <f>('TUSD BE'!$Z$33+'TUSD BF'!$Z$33+'TUSD CVA'!$Z$33)*(1 - CUSTOS!$M$38)</f>
        <v>0</v>
      </c>
      <c r="Z33" s="87">
        <f>('TUSD BE'!$AA$33+'TUSD BF'!$AA$33+'TUSD CVA'!$AA$33)*(1 - CUSTOS!$M$38)</f>
        <v>0</v>
      </c>
      <c r="AA33" s="87">
        <f>('TUSD BE'!$AC$33+'TUSD BF'!$AC$33+'TUSD CVA'!$AC$33)*(1 - CUSTOS!$M$38)</f>
        <v>513.86985933512051</v>
      </c>
      <c r="AB33" s="87">
        <f ca="1">('TUSD BE'!$AE$33+'TUSD BF'!$AE$33+'TUSD CVA'!$AE$33)*(1 - CUSTOS!$M$38)</f>
        <v>0</v>
      </c>
      <c r="AC33" s="87">
        <f ca="1">('TUSD BE'!$AF$33+'TUSD BF'!$AF$33+'TUSD CVA'!$AF$33)*(1 - CUSTOS!$M$38)</f>
        <v>0</v>
      </c>
      <c r="AD33" s="87">
        <f>('TUSD BE'!$AH$33+'TUSD BF'!$AH$33+'TUSD CVA'!$AH$33)*(1 - CUSTOS!$M$38)</f>
        <v>28.352974022461964</v>
      </c>
      <c r="AE33" s="87">
        <f>('TUSD BE'!$AI$33+'TUSD BF'!$AI$33+'TUSD CVA'!$AI$33)*(1 - CUSTOS!$M$38)</f>
        <v>0</v>
      </c>
      <c r="AF33" s="87">
        <f ca="1">('TUSD BE'!$AJ$33+'TUSD BF'!$AJ$33+'TUSD CVA'!$AJ$33)*(1 - CUSTOS!$M$38)</f>
        <v>15.465988050576669</v>
      </c>
      <c r="AG33" s="87">
        <f ca="1">('TUSD BE'!$AK$33+'TUSD BF'!$AK$33+'TUSD CVA'!$AK$33)*(1 - CUSTOS!$M$38)</f>
        <v>0</v>
      </c>
      <c r="AI33" s="87">
        <v>0</v>
      </c>
      <c r="AJ33" s="87">
        <v>2.2825569788759399</v>
      </c>
      <c r="AK33" s="87">
        <v>0</v>
      </c>
      <c r="AL33" s="87">
        <v>0</v>
      </c>
      <c r="AM33" s="87">
        <v>0</v>
      </c>
      <c r="AN33" s="87">
        <v>65.502303528948303</v>
      </c>
      <c r="AO33" s="87">
        <v>8.3213382945347796</v>
      </c>
      <c r="AP33" s="87">
        <v>0</v>
      </c>
      <c r="AQ33" s="87">
        <v>0</v>
      </c>
      <c r="AR33" s="87">
        <v>0</v>
      </c>
      <c r="AS33" s="87">
        <v>0</v>
      </c>
      <c r="AT33" s="87">
        <v>0</v>
      </c>
      <c r="AU33" s="87">
        <v>213.36842428881201</v>
      </c>
      <c r="AV33" s="87">
        <v>0</v>
      </c>
      <c r="AW33" s="87">
        <v>0</v>
      </c>
      <c r="AX33" s="87">
        <v>427.095874219991</v>
      </c>
      <c r="AY33" s="87">
        <v>13.833035877193</v>
      </c>
      <c r="AZ33" s="87">
        <v>0</v>
      </c>
      <c r="BA33" s="87">
        <v>32.891374726535197</v>
      </c>
      <c r="BB33" s="87">
        <v>0</v>
      </c>
      <c r="BC33" s="87">
        <v>0</v>
      </c>
      <c r="BD33" s="87">
        <v>0</v>
      </c>
    </row>
    <row r="34" spans="1:56" ht="11.25" customHeight="1" x14ac:dyDescent="0.3">
      <c r="A34" s="120"/>
      <c r="B34" s="120" t="s">
        <v>33</v>
      </c>
      <c r="C34" s="120" t="s">
        <v>44</v>
      </c>
      <c r="D34" s="120" t="s">
        <v>88</v>
      </c>
      <c r="E34" s="120" t="s">
        <v>25</v>
      </c>
      <c r="F34" s="120" t="s">
        <v>25</v>
      </c>
      <c r="G34" s="21" t="s">
        <v>73</v>
      </c>
      <c r="H34" s="21" t="s">
        <v>72</v>
      </c>
      <c r="I34" s="21">
        <f>'MERCADO TUSD'!$U$31</f>
        <v>0</v>
      </c>
      <c r="J34" s="17"/>
      <c r="L34" s="87">
        <f>('TUSD BE'!$L$34+'TUSD BF'!$L$34+'TUSD CVA'!$L$34)*(1 - CUSTOS!$M$39)</f>
        <v>13.121253910520783</v>
      </c>
      <c r="M34" s="87">
        <f>('TUSD BE'!$M$34+'TUSD BF'!$M$34+'TUSD CVA'!$M$34)*(1 - CUSTOS!$M$39)</f>
        <v>3.0778620192873318</v>
      </c>
      <c r="N34" s="87">
        <f ca="1">('TUSD BE'!$N$34+'TUSD BF'!$N$34+'TUSD CVA'!$N$34)*(1 - CUSTOS!$M$39)</f>
        <v>0</v>
      </c>
      <c r="O34" s="87">
        <f>('TUSD BE'!$O$34+'TUSD BF'!$O$34+'TUSD CVA'!$O$34)*(1 - CUSTOS!$M$39)</f>
        <v>0</v>
      </c>
      <c r="P34" s="87">
        <f>('TUSD BE'!$P$34+'TUSD BF'!$P$34+'TUSD CVA'!$P$34)*(1 - CUSTOS!$M$39)</f>
        <v>0</v>
      </c>
      <c r="Q34" s="87">
        <f>('TUSD BE'!$Q$34+'TUSD BF'!$Q$34+'TUSD CVA'!$Q$34)*(1 - CUSTOS!$M$39)</f>
        <v>86.646961430037436</v>
      </c>
      <c r="R34" s="87">
        <f>('TUSD BE'!$R$34+'TUSD BF'!$R$34+'TUSD CVA'!$R$34)*(1 - CUSTOS!$M$39)</f>
        <v>14.364798587812052</v>
      </c>
      <c r="S34" s="87">
        <f>('TUSD BE'!$S$34+'TUSD BF'!$S$34+'TUSD CVA'!$S$34)*(1 - CUSTOS!$M$39)</f>
        <v>0</v>
      </c>
      <c r="T34" s="87">
        <f>('TUSD BE'!$U$34+'TUSD BF'!$U$34+'TUSD CVA'!$U$34)*(1 - CUSTOS!$M$39)</f>
        <v>0</v>
      </c>
      <c r="U34" s="87">
        <f>('TUSD BE'!$V$34+'TUSD BF'!$V$34+'TUSD CVA'!$V$34)*(1 - CUSTOS!$M$39)</f>
        <v>0</v>
      </c>
      <c r="V34" s="87">
        <f>('TUSD BE'!$W$34+'TUSD BF'!$W$34+'TUSD CVA'!$W$34)*(1 - CUSTOS!$M$39)</f>
        <v>0</v>
      </c>
      <c r="W34" s="87">
        <f>('TUSD BE'!$X$34+'TUSD BF'!$X$34+'TUSD CVA'!$X$34)*(1 - CUSTOS!$M$39)</f>
        <v>0</v>
      </c>
      <c r="X34" s="87">
        <f>('TUSD BE'!$Y$34+'TUSD BF'!$Y$34+'TUSD CVA'!$Y$34)*(1 - CUSTOS!$M$39)</f>
        <v>645.40948658769025</v>
      </c>
      <c r="Y34" s="87">
        <f>('TUSD BE'!$Z$34+'TUSD BF'!$Z$34+'TUSD CVA'!$Z$34)*(1 - CUSTOS!$M$39)</f>
        <v>0</v>
      </c>
      <c r="Z34" s="87">
        <f>('TUSD BE'!$AA$34+'TUSD BF'!$AA$34+'TUSD CVA'!$AA$34)*(1 - CUSTOS!$M$39)</f>
        <v>0</v>
      </c>
      <c r="AA34" s="87">
        <f>('TUSD BE'!$AC$34+'TUSD BF'!$AC$34+'TUSD CVA'!$AC$34)*(1 - CUSTOS!$M$39)</f>
        <v>1336.0612220186447</v>
      </c>
      <c r="AB34" s="87">
        <f ca="1">('TUSD BE'!$AE$34+'TUSD BF'!$AE$34+'TUSD CVA'!$AE$34)*(1 - CUSTOS!$M$39)</f>
        <v>0</v>
      </c>
      <c r="AC34" s="87">
        <f ca="1">('TUSD BE'!$AF$34+'TUSD BF'!$AF$34+'TUSD CVA'!$AF$34)*(1 - CUSTOS!$M$39)</f>
        <v>0</v>
      </c>
      <c r="AD34" s="87">
        <f>('TUSD BE'!$AH$34+'TUSD BF'!$AH$34+'TUSD CVA'!$AH$34)*(1 - CUSTOS!$M$39)</f>
        <v>28.352974022461964</v>
      </c>
      <c r="AE34" s="87">
        <f>('TUSD BE'!$AI$34+'TUSD BF'!$AI$34+'TUSD CVA'!$AI$34)*(1 - CUSTOS!$M$39)</f>
        <v>0</v>
      </c>
      <c r="AF34" s="87">
        <f ca="1">('TUSD BE'!$AJ$34+'TUSD BF'!$AJ$34+'TUSD CVA'!$AJ$34)*(1 - CUSTOS!$M$39)</f>
        <v>15.465988050576669</v>
      </c>
      <c r="AG34" s="87">
        <f ca="1">('TUSD BE'!$AK$34+'TUSD BF'!$AK$34+'TUSD CVA'!$AK$34)*(1 - CUSTOS!$M$39)</f>
        <v>0</v>
      </c>
      <c r="AI34" s="87">
        <v>0</v>
      </c>
      <c r="AJ34" s="87">
        <v>2.2825569788759399</v>
      </c>
      <c r="AK34" s="87">
        <v>0</v>
      </c>
      <c r="AL34" s="87">
        <v>0</v>
      </c>
      <c r="AM34" s="87">
        <v>0</v>
      </c>
      <c r="AN34" s="87">
        <v>65.502303528948303</v>
      </c>
      <c r="AO34" s="87">
        <v>8.3213382945347796</v>
      </c>
      <c r="AP34" s="87">
        <v>0</v>
      </c>
      <c r="AQ34" s="87">
        <v>0</v>
      </c>
      <c r="AR34" s="87">
        <v>0</v>
      </c>
      <c r="AS34" s="87">
        <v>0</v>
      </c>
      <c r="AT34" s="87">
        <v>0</v>
      </c>
      <c r="AU34" s="87">
        <v>554.75790315091001</v>
      </c>
      <c r="AV34" s="87">
        <v>0</v>
      </c>
      <c r="AW34" s="87">
        <v>0</v>
      </c>
      <c r="AX34" s="87">
        <v>1110.4490312573801</v>
      </c>
      <c r="AY34" s="87">
        <v>32.907005642335697</v>
      </c>
      <c r="AZ34" s="87">
        <v>0</v>
      </c>
      <c r="BA34" s="87">
        <v>32.891374726535197</v>
      </c>
      <c r="BB34" s="87">
        <v>0</v>
      </c>
      <c r="BC34" s="87">
        <v>0</v>
      </c>
      <c r="BD34" s="87">
        <v>0</v>
      </c>
    </row>
    <row r="35" spans="1:56" ht="11.25" customHeight="1" x14ac:dyDescent="0.3">
      <c r="A35" s="120"/>
      <c r="B35" s="120"/>
      <c r="C35" s="120"/>
      <c r="D35" s="120"/>
      <c r="E35" s="120"/>
      <c r="F35" s="120"/>
      <c r="G35" s="21" t="s">
        <v>85</v>
      </c>
      <c r="H35" s="21" t="s">
        <v>72</v>
      </c>
      <c r="I35" s="21">
        <f>'MERCADO TUSD'!$U$32</f>
        <v>0</v>
      </c>
      <c r="J35" s="17"/>
      <c r="L35" s="87">
        <f>('TUSD BE'!$L$35+'TUSD BF'!$L$35+'TUSD CVA'!$L$35)*(1 - CUSTOS!$M$39)</f>
        <v>13.121253910520783</v>
      </c>
      <c r="M35" s="87">
        <f>('TUSD BE'!$M$35+'TUSD BF'!$M$35+'TUSD CVA'!$M$35)*(1 - CUSTOS!$M$39)</f>
        <v>3.0778620192873318</v>
      </c>
      <c r="N35" s="87">
        <f ca="1">('TUSD BE'!$N$35+'TUSD BF'!$N$35+'TUSD CVA'!$N$35)*(1 - CUSTOS!$M$39)</f>
        <v>0</v>
      </c>
      <c r="O35" s="87">
        <f>('TUSD BE'!$O$35+'TUSD BF'!$O$35+'TUSD CVA'!$O$35)*(1 - CUSTOS!$M$39)</f>
        <v>0</v>
      </c>
      <c r="P35" s="87">
        <f>('TUSD BE'!$P$35+'TUSD BF'!$P$35+'TUSD CVA'!$P$35)*(1 - CUSTOS!$M$39)</f>
        <v>0</v>
      </c>
      <c r="Q35" s="87">
        <f>('TUSD BE'!$Q$35+'TUSD BF'!$Q$35+'TUSD CVA'!$Q$35)*(1 - CUSTOS!$M$39)</f>
        <v>86.646961430037436</v>
      </c>
      <c r="R35" s="87">
        <f>('TUSD BE'!$R$35+'TUSD BF'!$R$35+'TUSD CVA'!$R$35)*(1 - CUSTOS!$M$39)</f>
        <v>14.364798587812052</v>
      </c>
      <c r="S35" s="87">
        <f>('TUSD BE'!$S$35+'TUSD BF'!$S$35+'TUSD CVA'!$S$35)*(1 - CUSTOS!$M$39)</f>
        <v>0</v>
      </c>
      <c r="T35" s="87">
        <f>('TUSD BE'!$U$35+'TUSD BF'!$U$35+'TUSD CVA'!$U$35)*(1 - CUSTOS!$M$39)</f>
        <v>0</v>
      </c>
      <c r="U35" s="87">
        <f>('TUSD BE'!$V$35+'TUSD BF'!$V$35+'TUSD CVA'!$V$35)*(1 - CUSTOS!$M$39)</f>
        <v>0</v>
      </c>
      <c r="V35" s="87">
        <f>('TUSD BE'!$W$35+'TUSD BF'!$W$35+'TUSD CVA'!$W$35)*(1 - CUSTOS!$M$39)</f>
        <v>0</v>
      </c>
      <c r="W35" s="87">
        <f>('TUSD BE'!$X$35+'TUSD BF'!$X$35+'TUSD CVA'!$X$35)*(1 - CUSTOS!$M$39)</f>
        <v>0</v>
      </c>
      <c r="X35" s="87">
        <f>('TUSD BE'!$Y$35+'TUSD BF'!$Y$35+'TUSD CVA'!$Y$35)*(1 - CUSTOS!$M$39)</f>
        <v>387.24541001406971</v>
      </c>
      <c r="Y35" s="87">
        <f>('TUSD BE'!$Z$35+'TUSD BF'!$Z$35+'TUSD CVA'!$Z$35)*(1 - CUSTOS!$M$39)</f>
        <v>0</v>
      </c>
      <c r="Z35" s="87">
        <f>('TUSD BE'!$AA$35+'TUSD BF'!$AA$35+'TUSD CVA'!$AA$35)*(1 - CUSTOS!$M$39)</f>
        <v>0</v>
      </c>
      <c r="AA35" s="87">
        <f>('TUSD BE'!$AC$35+'TUSD BF'!$AC$35+'TUSD CVA'!$AC$35)*(1 - CUSTOS!$M$39)</f>
        <v>801.63685688698729</v>
      </c>
      <c r="AB35" s="87">
        <f ca="1">('TUSD BE'!$AE$35+'TUSD BF'!$AE$35+'TUSD CVA'!$AE$35)*(1 - CUSTOS!$M$39)</f>
        <v>0</v>
      </c>
      <c r="AC35" s="87">
        <f ca="1">('TUSD BE'!$AF$35+'TUSD BF'!$AF$35+'TUSD CVA'!$AF$35)*(1 - CUSTOS!$M$39)</f>
        <v>0</v>
      </c>
      <c r="AD35" s="87">
        <f>('TUSD BE'!$AH$35+'TUSD BF'!$AH$35+'TUSD CVA'!$AH$35)*(1 - CUSTOS!$M$39)</f>
        <v>28.352974022461964</v>
      </c>
      <c r="AE35" s="87">
        <f>('TUSD BE'!$AI$35+'TUSD BF'!$AI$35+'TUSD CVA'!$AI$35)*(1 - CUSTOS!$M$39)</f>
        <v>0</v>
      </c>
      <c r="AF35" s="87">
        <f ca="1">('TUSD BE'!$AJ$35+'TUSD BF'!$AJ$35+'TUSD CVA'!$AJ$35)*(1 - CUSTOS!$M$39)</f>
        <v>15.465988050576669</v>
      </c>
      <c r="AG35" s="87">
        <f ca="1">('TUSD BE'!$AK$35+'TUSD BF'!$AK$35+'TUSD CVA'!$AK$35)*(1 - CUSTOS!$M$39)</f>
        <v>0</v>
      </c>
      <c r="AI35" s="87">
        <v>0</v>
      </c>
      <c r="AJ35" s="87">
        <v>2.2825569788759399</v>
      </c>
      <c r="AK35" s="87">
        <v>0</v>
      </c>
      <c r="AL35" s="87">
        <v>0</v>
      </c>
      <c r="AM35" s="87">
        <v>0</v>
      </c>
      <c r="AN35" s="87">
        <v>65.502303528948303</v>
      </c>
      <c r="AO35" s="87">
        <v>8.3213382945347796</v>
      </c>
      <c r="AP35" s="87">
        <v>0</v>
      </c>
      <c r="AQ35" s="87">
        <v>0</v>
      </c>
      <c r="AR35" s="87">
        <v>0</v>
      </c>
      <c r="AS35" s="87">
        <v>0</v>
      </c>
      <c r="AT35" s="87">
        <v>0</v>
      </c>
      <c r="AU35" s="87">
        <v>332.85467001342801</v>
      </c>
      <c r="AV35" s="87">
        <v>0</v>
      </c>
      <c r="AW35" s="87">
        <v>0</v>
      </c>
      <c r="AX35" s="87">
        <v>666.26914682550205</v>
      </c>
      <c r="AY35" s="87">
        <v>20.508917375801101</v>
      </c>
      <c r="AZ35" s="87">
        <v>0</v>
      </c>
      <c r="BA35" s="87">
        <v>32.891374726535197</v>
      </c>
      <c r="BB35" s="87">
        <v>0</v>
      </c>
      <c r="BC35" s="87">
        <v>0</v>
      </c>
      <c r="BD35" s="87">
        <v>0</v>
      </c>
    </row>
    <row r="36" spans="1:56" ht="11.25" customHeight="1" x14ac:dyDescent="0.3">
      <c r="A36" s="120"/>
      <c r="B36" s="120"/>
      <c r="C36" s="120"/>
      <c r="D36" s="120"/>
      <c r="E36" s="120"/>
      <c r="F36" s="120"/>
      <c r="G36" s="21" t="s">
        <v>74</v>
      </c>
      <c r="H36" s="21" t="s">
        <v>72</v>
      </c>
      <c r="I36" s="21">
        <f>'MERCADO TUSD'!$U$33</f>
        <v>0</v>
      </c>
      <c r="J36" s="17"/>
      <c r="L36" s="87">
        <f>('TUSD BE'!$L$36+'TUSD BF'!$L$36+'TUSD CVA'!$L$36)*(1 - CUSTOS!$M$39)</f>
        <v>13.121253910520783</v>
      </c>
      <c r="M36" s="87">
        <f>('TUSD BE'!$M$36+'TUSD BF'!$M$36+'TUSD CVA'!$M$36)*(1 - CUSTOS!$M$39)</f>
        <v>3.0778620192873318</v>
      </c>
      <c r="N36" s="87">
        <f ca="1">('TUSD BE'!$N$36+'TUSD BF'!$N$36+'TUSD CVA'!$N$36)*(1 - CUSTOS!$M$39)</f>
        <v>0</v>
      </c>
      <c r="O36" s="87">
        <f>('TUSD BE'!$O$36+'TUSD BF'!$O$36+'TUSD CVA'!$O$36)*(1 - CUSTOS!$M$39)</f>
        <v>0</v>
      </c>
      <c r="P36" s="87">
        <f>('TUSD BE'!$P$36+'TUSD BF'!$P$36+'TUSD CVA'!$P$36)*(1 - CUSTOS!$M$39)</f>
        <v>0</v>
      </c>
      <c r="Q36" s="87">
        <f>('TUSD BE'!$Q$36+'TUSD BF'!$Q$36+'TUSD CVA'!$Q$36)*(1 - CUSTOS!$M$39)</f>
        <v>86.646961430037436</v>
      </c>
      <c r="R36" s="87">
        <f>('TUSD BE'!$R$36+'TUSD BF'!$R$36+'TUSD CVA'!$R$36)*(1 - CUSTOS!$M$39)</f>
        <v>14.364798587812052</v>
      </c>
      <c r="S36" s="87">
        <f>('TUSD BE'!$S$36+'TUSD BF'!$S$36+'TUSD CVA'!$S$36)*(1 - CUSTOS!$M$39)</f>
        <v>0</v>
      </c>
      <c r="T36" s="87">
        <f>('TUSD BE'!$U$36+'TUSD BF'!$U$36+'TUSD CVA'!$U$36)*(1 - CUSTOS!$M$39)</f>
        <v>0</v>
      </c>
      <c r="U36" s="87">
        <f>('TUSD BE'!$V$36+'TUSD BF'!$V$36+'TUSD CVA'!$V$36)*(1 - CUSTOS!$M$39)</f>
        <v>0</v>
      </c>
      <c r="V36" s="87">
        <f>('TUSD BE'!$W$36+'TUSD BF'!$W$36+'TUSD CVA'!$W$36)*(1 - CUSTOS!$M$39)</f>
        <v>0</v>
      </c>
      <c r="W36" s="87">
        <f>('TUSD BE'!$X$36+'TUSD BF'!$X$36+'TUSD CVA'!$X$36)*(1 - CUSTOS!$M$39)</f>
        <v>0</v>
      </c>
      <c r="X36" s="87">
        <f>('TUSD BE'!$Y$36+'TUSD BF'!$Y$36+'TUSD CVA'!$Y$36)*(1 - CUSTOS!$M$39)</f>
        <v>129.08133344044938</v>
      </c>
      <c r="Y36" s="87">
        <f>('TUSD BE'!$Z$36+'TUSD BF'!$Z$36+'TUSD CVA'!$Z$36)*(1 - CUSTOS!$M$39)</f>
        <v>0</v>
      </c>
      <c r="Z36" s="87">
        <f>('TUSD BE'!$AA$36+'TUSD BF'!$AA$36+'TUSD CVA'!$AA$36)*(1 - CUSTOS!$M$39)</f>
        <v>0</v>
      </c>
      <c r="AA36" s="87">
        <f>('TUSD BE'!$AC$36+'TUSD BF'!$AC$36+'TUSD CVA'!$AC$36)*(1 - CUSTOS!$M$39)</f>
        <v>267.21228562899574</v>
      </c>
      <c r="AB36" s="87">
        <f ca="1">('TUSD BE'!$AE$36+'TUSD BF'!$AE$36+'TUSD CVA'!$AE$36)*(1 - CUSTOS!$M$39)</f>
        <v>0</v>
      </c>
      <c r="AC36" s="87">
        <f ca="1">('TUSD BE'!$AF$36+'TUSD BF'!$AF$36+'TUSD CVA'!$AF$36)*(1 - CUSTOS!$M$39)</f>
        <v>0</v>
      </c>
      <c r="AD36" s="87">
        <f>('TUSD BE'!$AH$36+'TUSD BF'!$AH$36+'TUSD CVA'!$AH$36)*(1 - CUSTOS!$M$39)</f>
        <v>28.352974022461964</v>
      </c>
      <c r="AE36" s="87">
        <f>('TUSD BE'!$AI$36+'TUSD BF'!$AI$36+'TUSD CVA'!$AI$36)*(1 - CUSTOS!$M$39)</f>
        <v>0</v>
      </c>
      <c r="AF36" s="87">
        <f ca="1">('TUSD BE'!$AJ$36+'TUSD BF'!$AJ$36+'TUSD CVA'!$AJ$36)*(1 - CUSTOS!$M$39)</f>
        <v>15.465988050576669</v>
      </c>
      <c r="AG36" s="87">
        <f ca="1">('TUSD BE'!$AK$36+'TUSD BF'!$AK$36+'TUSD CVA'!$AK$36)*(1 - CUSTOS!$M$39)</f>
        <v>0</v>
      </c>
      <c r="AI36" s="87">
        <v>0</v>
      </c>
      <c r="AJ36" s="87">
        <v>2.2825569788759399</v>
      </c>
      <c r="AK36" s="87">
        <v>0</v>
      </c>
      <c r="AL36" s="87">
        <v>0</v>
      </c>
      <c r="AM36" s="87">
        <v>0</v>
      </c>
      <c r="AN36" s="87">
        <v>65.502303528948303</v>
      </c>
      <c r="AO36" s="87">
        <v>8.3213382945347796</v>
      </c>
      <c r="AP36" s="87">
        <v>0</v>
      </c>
      <c r="AQ36" s="87">
        <v>0</v>
      </c>
      <c r="AR36" s="87">
        <v>0</v>
      </c>
      <c r="AS36" s="87">
        <v>0</v>
      </c>
      <c r="AT36" s="87">
        <v>0</v>
      </c>
      <c r="AU36" s="87">
        <v>110.951556671143</v>
      </c>
      <c r="AV36" s="87">
        <v>0</v>
      </c>
      <c r="AW36" s="87">
        <v>0</v>
      </c>
      <c r="AX36" s="87">
        <v>222.08979114431301</v>
      </c>
      <c r="AY36" s="87">
        <v>8.1108417864931397</v>
      </c>
      <c r="AZ36" s="87">
        <v>0</v>
      </c>
      <c r="BA36" s="87">
        <v>32.891374726535197</v>
      </c>
      <c r="BB36" s="87">
        <v>0</v>
      </c>
      <c r="BC36" s="87">
        <v>0</v>
      </c>
      <c r="BD36" s="87">
        <v>0</v>
      </c>
    </row>
    <row r="37" spans="1:56" ht="11.25" customHeight="1" x14ac:dyDescent="0.3">
      <c r="A37" s="120"/>
      <c r="B37" s="89" t="s">
        <v>23</v>
      </c>
      <c r="C37" s="89" t="s">
        <v>44</v>
      </c>
      <c r="D37" s="89" t="s">
        <v>88</v>
      </c>
      <c r="E37" s="89" t="s">
        <v>25</v>
      </c>
      <c r="F37" s="89" t="s">
        <v>25</v>
      </c>
      <c r="G37" s="21" t="s">
        <v>76</v>
      </c>
      <c r="H37" s="21" t="s">
        <v>72</v>
      </c>
      <c r="I37" s="21">
        <f>'MERCADO TUSD'!$U$34</f>
        <v>0</v>
      </c>
      <c r="J37" s="17"/>
      <c r="L37" s="87">
        <f>('TUSD BE'!$L$37+'TUSD BF'!$L$37+'TUSD CVA'!$L$37)*(1 - CUSTOS!$M$39)</f>
        <v>13.121253910520783</v>
      </c>
      <c r="M37" s="87">
        <f>('TUSD BE'!$M$37+'TUSD BF'!$M$37+'TUSD CVA'!$M$37)*(1 - CUSTOS!$M$39)</f>
        <v>3.0778620192873318</v>
      </c>
      <c r="N37" s="87">
        <f ca="1">('TUSD BE'!$N$37+'TUSD BF'!$N$37+'TUSD CVA'!$N$37)*(1 - CUSTOS!$M$39)</f>
        <v>0</v>
      </c>
      <c r="O37" s="87">
        <f>('TUSD BE'!$O$37+'TUSD BF'!$O$37+'TUSD CVA'!$O$37)*(1 - CUSTOS!$M$39)</f>
        <v>0</v>
      </c>
      <c r="P37" s="87">
        <f>('TUSD BE'!$P$37+'TUSD BF'!$P$37+'TUSD CVA'!$P$37)*(1 - CUSTOS!$M$39)</f>
        <v>0</v>
      </c>
      <c r="Q37" s="87">
        <f>('TUSD BE'!$Q$37+'TUSD BF'!$Q$37+'TUSD CVA'!$Q$37)*(1 - CUSTOS!$M$39)</f>
        <v>86.646961430037436</v>
      </c>
      <c r="R37" s="87">
        <f>('TUSD BE'!$R$37+'TUSD BF'!$R$37+'TUSD CVA'!$R$37)*(1 - CUSTOS!$M$39)</f>
        <v>14.364798587812052</v>
      </c>
      <c r="S37" s="87">
        <f>('TUSD BE'!$S$37+'TUSD BF'!$S$37+'TUSD CVA'!$S$37)*(1 - CUSTOS!$M$39)</f>
        <v>0</v>
      </c>
      <c r="T37" s="87">
        <f>('TUSD BE'!$U$37+'TUSD BF'!$U$37+'TUSD CVA'!$U$37)*(1 - CUSTOS!$M$39)</f>
        <v>0</v>
      </c>
      <c r="U37" s="87">
        <f>('TUSD BE'!$V$37+'TUSD BF'!$V$37+'TUSD CVA'!$V$37)*(1 - CUSTOS!$M$39)</f>
        <v>0</v>
      </c>
      <c r="V37" s="87">
        <f>('TUSD BE'!$W$37+'TUSD BF'!$W$37+'TUSD CVA'!$W$37)*(1 - CUSTOS!$M$39)</f>
        <v>0</v>
      </c>
      <c r="W37" s="87">
        <f>('TUSD BE'!$X$37+'TUSD BF'!$X$37+'TUSD CVA'!$X$37)*(1 - CUSTOS!$M$39)</f>
        <v>0</v>
      </c>
      <c r="X37" s="87">
        <f>('TUSD BE'!$Y$37+'TUSD BF'!$Y$37+'TUSD CVA'!$Y$37)*(1 - CUSTOS!$M$39)</f>
        <v>248.23420104253901</v>
      </c>
      <c r="Y37" s="87">
        <f>('TUSD BE'!$Z$37+'TUSD BF'!$Z$37+'TUSD CVA'!$Z$37)*(1 - CUSTOS!$M$39)</f>
        <v>0</v>
      </c>
      <c r="Z37" s="87">
        <f>('TUSD BE'!$AA$37+'TUSD BF'!$AA$37+'TUSD CVA'!$AA$37)*(1 - CUSTOS!$M$39)</f>
        <v>0</v>
      </c>
      <c r="AA37" s="87">
        <f>('TUSD BE'!$AC$37+'TUSD BF'!$AC$37+'TUSD CVA'!$AC$37)*(1 - CUSTOS!$M$39)</f>
        <v>513.86985933512051</v>
      </c>
      <c r="AB37" s="87">
        <f ca="1">('TUSD BE'!$AE$37+'TUSD BF'!$AE$37+'TUSD CVA'!$AE$37)*(1 - CUSTOS!$M$39)</f>
        <v>0</v>
      </c>
      <c r="AC37" s="87">
        <f ca="1">('TUSD BE'!$AF$37+'TUSD BF'!$AF$37+'TUSD CVA'!$AF$37)*(1 - CUSTOS!$M$39)</f>
        <v>0</v>
      </c>
      <c r="AD37" s="87">
        <f>('TUSD BE'!$AH$37+'TUSD BF'!$AH$37+'TUSD CVA'!$AH$37)*(1 - CUSTOS!$M$39)</f>
        <v>28.352974022461964</v>
      </c>
      <c r="AE37" s="87">
        <f>('TUSD BE'!$AI$37+'TUSD BF'!$AI$37+'TUSD CVA'!$AI$37)*(1 - CUSTOS!$M$39)</f>
        <v>0</v>
      </c>
      <c r="AF37" s="87">
        <f ca="1">('TUSD BE'!$AJ$37+'TUSD BF'!$AJ$37+'TUSD CVA'!$AJ$37)*(1 - CUSTOS!$M$39)</f>
        <v>15.465988050576669</v>
      </c>
      <c r="AG37" s="87">
        <f ca="1">('TUSD BE'!$AK$37+'TUSD BF'!$AK$37+'TUSD CVA'!$AK$37)*(1 - CUSTOS!$M$39)</f>
        <v>0</v>
      </c>
      <c r="AI37" s="87">
        <v>0</v>
      </c>
      <c r="AJ37" s="87">
        <v>2.2825569788759399</v>
      </c>
      <c r="AK37" s="87">
        <v>0</v>
      </c>
      <c r="AL37" s="87">
        <v>0</v>
      </c>
      <c r="AM37" s="87">
        <v>0</v>
      </c>
      <c r="AN37" s="87">
        <v>65.502303528948303</v>
      </c>
      <c r="AO37" s="87">
        <v>8.3213382945347796</v>
      </c>
      <c r="AP37" s="87">
        <v>0</v>
      </c>
      <c r="AQ37" s="87">
        <v>0</v>
      </c>
      <c r="AR37" s="87">
        <v>0</v>
      </c>
      <c r="AS37" s="87">
        <v>0</v>
      </c>
      <c r="AT37" s="87">
        <v>0</v>
      </c>
      <c r="AU37" s="87">
        <v>213.36842428881201</v>
      </c>
      <c r="AV37" s="87">
        <v>0</v>
      </c>
      <c r="AW37" s="87">
        <v>0</v>
      </c>
      <c r="AX37" s="87">
        <v>427.095874219991</v>
      </c>
      <c r="AY37" s="87">
        <v>13.833035877193</v>
      </c>
      <c r="AZ37" s="87">
        <v>0</v>
      </c>
      <c r="BA37" s="87">
        <v>32.891374726535197</v>
      </c>
      <c r="BB37" s="87">
        <v>0</v>
      </c>
      <c r="BC37" s="87">
        <v>0</v>
      </c>
      <c r="BD37" s="87">
        <v>0</v>
      </c>
    </row>
    <row r="38" spans="1:56" ht="11.25" customHeight="1" x14ac:dyDescent="0.3">
      <c r="A38" s="120"/>
      <c r="B38" s="120" t="s">
        <v>33</v>
      </c>
      <c r="C38" s="120" t="s">
        <v>44</v>
      </c>
      <c r="D38" s="120" t="s">
        <v>89</v>
      </c>
      <c r="E38" s="120" t="s">
        <v>25</v>
      </c>
      <c r="F38" s="120" t="s">
        <v>25</v>
      </c>
      <c r="G38" s="21" t="s">
        <v>73</v>
      </c>
      <c r="H38" s="21" t="s">
        <v>72</v>
      </c>
      <c r="I38" s="21">
        <f>'MERCADO TUSD'!$U$35</f>
        <v>0</v>
      </c>
      <c r="J38" s="17"/>
      <c r="L38" s="87">
        <f>('TUSD BE'!$L$38+'TUSD BF'!$L$38+'TUSD CVA'!$L$38)*(1 - CUSTOS!$M$40)</f>
        <v>12.842078295403322</v>
      </c>
      <c r="M38" s="87">
        <f>('TUSD BE'!$M$38+'TUSD BF'!$M$38+'TUSD CVA'!$M$38)*(1 - CUSTOS!$M$40)</f>
        <v>3.0123755933450487</v>
      </c>
      <c r="N38" s="87">
        <f ca="1">('TUSD BE'!$N$38+'TUSD BF'!$N$38+'TUSD CVA'!$N$38)*(1 - CUSTOS!$M$40)</f>
        <v>0</v>
      </c>
      <c r="O38" s="87">
        <f>('TUSD BE'!$O$38+'TUSD BF'!$O$38+'TUSD CVA'!$O$38)*(1 - CUSTOS!$M$40)</f>
        <v>0</v>
      </c>
      <c r="P38" s="87">
        <f>('TUSD BE'!$P$38+'TUSD BF'!$P$38+'TUSD CVA'!$P$38)*(1 - CUSTOS!$M$40)</f>
        <v>0</v>
      </c>
      <c r="Q38" s="87">
        <f>('TUSD BE'!$Q$38+'TUSD BF'!$Q$38+'TUSD CVA'!$Q$38)*(1 - CUSTOS!$M$40)</f>
        <v>84.803409059185583</v>
      </c>
      <c r="R38" s="87">
        <f>('TUSD BE'!$R$38+'TUSD BF'!$R$38+'TUSD CVA'!$R$38)*(1 - CUSTOS!$M$40)</f>
        <v>14.059164575305415</v>
      </c>
      <c r="S38" s="87">
        <f>('TUSD BE'!$S$38+'TUSD BF'!$S$38+'TUSD CVA'!$S$38)*(1 - CUSTOS!$M$40)</f>
        <v>0</v>
      </c>
      <c r="T38" s="87">
        <f>('TUSD BE'!$U$38+'TUSD BF'!$U$38+'TUSD CVA'!$U$38)*(1 - CUSTOS!$M$40)</f>
        <v>0</v>
      </c>
      <c r="U38" s="87">
        <f>('TUSD BE'!$V$38+'TUSD BF'!$V$38+'TUSD CVA'!$V$38)*(1 - CUSTOS!$M$40)</f>
        <v>0</v>
      </c>
      <c r="V38" s="87">
        <f>('TUSD BE'!$W$38+'TUSD BF'!$W$38+'TUSD CVA'!$W$38)*(1 - CUSTOS!$M$40)</f>
        <v>0</v>
      </c>
      <c r="W38" s="87">
        <f>('TUSD BE'!$X$38+'TUSD BF'!$X$38+'TUSD CVA'!$X$38)*(1 - CUSTOS!$M$40)</f>
        <v>0</v>
      </c>
      <c r="X38" s="87">
        <f>('TUSD BE'!$Y$38+'TUSD BF'!$Y$38+'TUSD CVA'!$Y$38)*(1 - CUSTOS!$M$40)</f>
        <v>631.67736985178192</v>
      </c>
      <c r="Y38" s="87">
        <f>('TUSD BE'!$Z$38+'TUSD BF'!$Z$38+'TUSD CVA'!$Z$38)*(1 - CUSTOS!$M$40)</f>
        <v>0</v>
      </c>
      <c r="Z38" s="87">
        <f>('TUSD BE'!$AA$38+'TUSD BF'!$AA$38+'TUSD CVA'!$AA$38)*(1 - CUSTOS!$M$40)</f>
        <v>0</v>
      </c>
      <c r="AA38" s="87">
        <f>('TUSD BE'!$AC$38+'TUSD BF'!$AC$38+'TUSD CVA'!$AC$38)*(1 - CUSTOS!$M$40)</f>
        <v>1307.6343875076097</v>
      </c>
      <c r="AB38" s="87">
        <f ca="1">('TUSD BE'!$AE$38+'TUSD BF'!$AE$38+'TUSD CVA'!$AE$38)*(1 - CUSTOS!$M$40)</f>
        <v>0</v>
      </c>
      <c r="AC38" s="87">
        <f ca="1">('TUSD BE'!$AF$38+'TUSD BF'!$AF$38+'TUSD CVA'!$AF$38)*(1 - CUSTOS!$M$40)</f>
        <v>0</v>
      </c>
      <c r="AD38" s="87">
        <f>('TUSD BE'!$AH$38+'TUSD BF'!$AH$38+'TUSD CVA'!$AH$38)*(1 - CUSTOS!$M$40)</f>
        <v>27.749719256026605</v>
      </c>
      <c r="AE38" s="87">
        <f>('TUSD BE'!$AI$38+'TUSD BF'!$AI$38+'TUSD CVA'!$AI$38)*(1 - CUSTOS!$M$40)</f>
        <v>0</v>
      </c>
      <c r="AF38" s="87">
        <f ca="1">('TUSD BE'!$AJ$38+'TUSD BF'!$AJ$38+'TUSD CVA'!$AJ$38)*(1 - CUSTOS!$M$40)</f>
        <v>15.136924475032487</v>
      </c>
      <c r="AG38" s="87">
        <f ca="1">('TUSD BE'!$AK$38+'TUSD BF'!$AK$38+'TUSD CVA'!$AK$38)*(1 - CUSTOS!$M$40)</f>
        <v>0</v>
      </c>
      <c r="AI38" s="87">
        <v>0</v>
      </c>
      <c r="AJ38" s="87">
        <v>2.1788043889270399</v>
      </c>
      <c r="AK38" s="87">
        <v>0</v>
      </c>
      <c r="AL38" s="87">
        <v>0</v>
      </c>
      <c r="AM38" s="87">
        <v>0</v>
      </c>
      <c r="AN38" s="87">
        <v>62.524926095814301</v>
      </c>
      <c r="AO38" s="87">
        <v>7.9430956447831997</v>
      </c>
      <c r="AP38" s="87">
        <v>0</v>
      </c>
      <c r="AQ38" s="87">
        <v>0</v>
      </c>
      <c r="AR38" s="87">
        <v>0</v>
      </c>
      <c r="AS38" s="87">
        <v>0</v>
      </c>
      <c r="AT38" s="87">
        <v>0</v>
      </c>
      <c r="AU38" s="87">
        <v>529.54163482586898</v>
      </c>
      <c r="AV38" s="87">
        <v>0</v>
      </c>
      <c r="AW38" s="87">
        <v>0</v>
      </c>
      <c r="AX38" s="87">
        <v>1059.97407529113</v>
      </c>
      <c r="AY38" s="87">
        <v>31.4112326585931</v>
      </c>
      <c r="AZ38" s="87">
        <v>0</v>
      </c>
      <c r="BA38" s="87">
        <v>31.3963122389654</v>
      </c>
      <c r="BB38" s="87">
        <v>0</v>
      </c>
      <c r="BC38" s="87">
        <v>0</v>
      </c>
      <c r="BD38" s="87">
        <v>0</v>
      </c>
    </row>
    <row r="39" spans="1:56" ht="11.25" customHeight="1" x14ac:dyDescent="0.3">
      <c r="A39" s="120"/>
      <c r="B39" s="120"/>
      <c r="C39" s="120"/>
      <c r="D39" s="120"/>
      <c r="E39" s="120"/>
      <c r="F39" s="120"/>
      <c r="G39" s="21" t="s">
        <v>85</v>
      </c>
      <c r="H39" s="21" t="s">
        <v>72</v>
      </c>
      <c r="I39" s="21">
        <f>'MERCADO TUSD'!$U$36</f>
        <v>0</v>
      </c>
      <c r="J39" s="17"/>
      <c r="L39" s="87">
        <f>('TUSD BE'!$L$39+'TUSD BF'!$L$39+'TUSD CVA'!$L$39)*(1 - CUSTOS!$M$40)</f>
        <v>12.842078295403322</v>
      </c>
      <c r="M39" s="87">
        <f>('TUSD BE'!$M$39+'TUSD BF'!$M$39+'TUSD CVA'!$M$39)*(1 - CUSTOS!$M$40)</f>
        <v>3.0123755933450487</v>
      </c>
      <c r="N39" s="87">
        <f ca="1">('TUSD BE'!$N$39+'TUSD BF'!$N$39+'TUSD CVA'!$N$39)*(1 - CUSTOS!$M$40)</f>
        <v>0</v>
      </c>
      <c r="O39" s="87">
        <f>('TUSD BE'!$O$39+'TUSD BF'!$O$39+'TUSD CVA'!$O$39)*(1 - CUSTOS!$M$40)</f>
        <v>0</v>
      </c>
      <c r="P39" s="87">
        <f>('TUSD BE'!$P$39+'TUSD BF'!$P$39+'TUSD CVA'!$P$39)*(1 - CUSTOS!$M$40)</f>
        <v>0</v>
      </c>
      <c r="Q39" s="87">
        <f>('TUSD BE'!$Q$39+'TUSD BF'!$Q$39+'TUSD CVA'!$Q$39)*(1 - CUSTOS!$M$40)</f>
        <v>84.803409059185583</v>
      </c>
      <c r="R39" s="87">
        <f>('TUSD BE'!$R$39+'TUSD BF'!$R$39+'TUSD CVA'!$R$39)*(1 - CUSTOS!$M$40)</f>
        <v>14.059164575305415</v>
      </c>
      <c r="S39" s="87">
        <f>('TUSD BE'!$S$39+'TUSD BF'!$S$39+'TUSD CVA'!$S$39)*(1 - CUSTOS!$M$40)</f>
        <v>0</v>
      </c>
      <c r="T39" s="87">
        <f>('TUSD BE'!$U$39+'TUSD BF'!$U$39+'TUSD CVA'!$U$39)*(1 - CUSTOS!$M$40)</f>
        <v>0</v>
      </c>
      <c r="U39" s="87">
        <f>('TUSD BE'!$V$39+'TUSD BF'!$V$39+'TUSD CVA'!$V$39)*(1 - CUSTOS!$M$40)</f>
        <v>0</v>
      </c>
      <c r="V39" s="87">
        <f>('TUSD BE'!$W$39+'TUSD BF'!$W$39+'TUSD CVA'!$W$39)*(1 - CUSTOS!$M$40)</f>
        <v>0</v>
      </c>
      <c r="W39" s="87">
        <f>('TUSD BE'!$X$39+'TUSD BF'!$X$39+'TUSD CVA'!$X$39)*(1 - CUSTOS!$M$40)</f>
        <v>0</v>
      </c>
      <c r="X39" s="87">
        <f>('TUSD BE'!$Y$39+'TUSD BF'!$Y$39+'TUSD CVA'!$Y$39)*(1 - CUSTOS!$M$40)</f>
        <v>379.00614597121722</v>
      </c>
      <c r="Y39" s="87">
        <f>('TUSD BE'!$Z$39+'TUSD BF'!$Z$39+'TUSD CVA'!$Z$39)*(1 - CUSTOS!$M$40)</f>
        <v>0</v>
      </c>
      <c r="Z39" s="87">
        <f>('TUSD BE'!$AA$39+'TUSD BF'!$AA$39+'TUSD CVA'!$AA$39)*(1 - CUSTOS!$M$40)</f>
        <v>0</v>
      </c>
      <c r="AA39" s="87">
        <f>('TUSD BE'!$AC$39+'TUSD BF'!$AC$39+'TUSD CVA'!$AC$39)*(1 - CUSTOS!$M$40)</f>
        <v>784.58075354896641</v>
      </c>
      <c r="AB39" s="87">
        <f ca="1">('TUSD BE'!$AE$39+'TUSD BF'!$AE$39+'TUSD CVA'!$AE$39)*(1 - CUSTOS!$M$40)</f>
        <v>0</v>
      </c>
      <c r="AC39" s="87">
        <f ca="1">('TUSD BE'!$AF$39+'TUSD BF'!$AF$39+'TUSD CVA'!$AF$39)*(1 - CUSTOS!$M$40)</f>
        <v>0</v>
      </c>
      <c r="AD39" s="87">
        <f>('TUSD BE'!$AH$39+'TUSD BF'!$AH$39+'TUSD CVA'!$AH$39)*(1 - CUSTOS!$M$40)</f>
        <v>27.749719256026605</v>
      </c>
      <c r="AE39" s="87">
        <f>('TUSD BE'!$AI$39+'TUSD BF'!$AI$39+'TUSD CVA'!$AI$39)*(1 - CUSTOS!$M$40)</f>
        <v>0</v>
      </c>
      <c r="AF39" s="87">
        <f ca="1">('TUSD BE'!$AJ$39+'TUSD BF'!$AJ$39+'TUSD CVA'!$AJ$39)*(1 - CUSTOS!$M$40)</f>
        <v>15.136924475032487</v>
      </c>
      <c r="AG39" s="87">
        <f ca="1">('TUSD BE'!$AK$39+'TUSD BF'!$AK$39+'TUSD CVA'!$AK$39)*(1 - CUSTOS!$M$40)</f>
        <v>0</v>
      </c>
      <c r="AI39" s="87">
        <v>0</v>
      </c>
      <c r="AJ39" s="87">
        <v>2.1788043889270399</v>
      </c>
      <c r="AK39" s="87">
        <v>0</v>
      </c>
      <c r="AL39" s="87">
        <v>0</v>
      </c>
      <c r="AM39" s="87">
        <v>0</v>
      </c>
      <c r="AN39" s="87">
        <v>62.524926095814301</v>
      </c>
      <c r="AO39" s="87">
        <v>7.9430956447831997</v>
      </c>
      <c r="AP39" s="87">
        <v>0</v>
      </c>
      <c r="AQ39" s="87">
        <v>0</v>
      </c>
      <c r="AR39" s="87">
        <v>0</v>
      </c>
      <c r="AS39" s="87">
        <v>0</v>
      </c>
      <c r="AT39" s="87">
        <v>0</v>
      </c>
      <c r="AU39" s="87">
        <v>317.72491228554401</v>
      </c>
      <c r="AV39" s="87">
        <v>0</v>
      </c>
      <c r="AW39" s="87">
        <v>0</v>
      </c>
      <c r="AX39" s="87">
        <v>635.98418560616096</v>
      </c>
      <c r="AY39" s="87">
        <v>19.576693858719199</v>
      </c>
      <c r="AZ39" s="87">
        <v>0</v>
      </c>
      <c r="BA39" s="87">
        <v>31.3963122389654</v>
      </c>
      <c r="BB39" s="87">
        <v>0</v>
      </c>
      <c r="BC39" s="87">
        <v>0</v>
      </c>
      <c r="BD39" s="87">
        <v>0</v>
      </c>
    </row>
    <row r="40" spans="1:56" ht="11.25" customHeight="1" x14ac:dyDescent="0.3">
      <c r="A40" s="120"/>
      <c r="B40" s="120"/>
      <c r="C40" s="120"/>
      <c r="D40" s="120"/>
      <c r="E40" s="120"/>
      <c r="F40" s="120"/>
      <c r="G40" s="21" t="s">
        <v>74</v>
      </c>
      <c r="H40" s="21" t="s">
        <v>72</v>
      </c>
      <c r="I40" s="21">
        <f>'MERCADO TUSD'!$U$37</f>
        <v>0</v>
      </c>
      <c r="J40" s="17"/>
      <c r="L40" s="87">
        <f>('TUSD BE'!$L$40+'TUSD BF'!$L$40+'TUSD CVA'!$L$40)*(1 - CUSTOS!$M$40)</f>
        <v>12.842078295403322</v>
      </c>
      <c r="M40" s="87">
        <f>('TUSD BE'!$M$40+'TUSD BF'!$M$40+'TUSD CVA'!$M$40)*(1 - CUSTOS!$M$40)</f>
        <v>3.0123755933450487</v>
      </c>
      <c r="N40" s="87">
        <f ca="1">('TUSD BE'!$N$40+'TUSD BF'!$N$40+'TUSD CVA'!$N$40)*(1 - CUSTOS!$M$40)</f>
        <v>0</v>
      </c>
      <c r="O40" s="87">
        <f>('TUSD BE'!$O$40+'TUSD BF'!$O$40+'TUSD CVA'!$O$40)*(1 - CUSTOS!$M$40)</f>
        <v>0</v>
      </c>
      <c r="P40" s="87">
        <f>('TUSD BE'!$P$40+'TUSD BF'!$P$40+'TUSD CVA'!$P$40)*(1 - CUSTOS!$M$40)</f>
        <v>0</v>
      </c>
      <c r="Q40" s="87">
        <f>('TUSD BE'!$Q$40+'TUSD BF'!$Q$40+'TUSD CVA'!$Q$40)*(1 - CUSTOS!$M$40)</f>
        <v>84.803409059185583</v>
      </c>
      <c r="R40" s="87">
        <f>('TUSD BE'!$R$40+'TUSD BF'!$R$40+'TUSD CVA'!$R$40)*(1 - CUSTOS!$M$40)</f>
        <v>14.059164575305415</v>
      </c>
      <c r="S40" s="87">
        <f>('TUSD BE'!$S$40+'TUSD BF'!$S$40+'TUSD CVA'!$S$40)*(1 - CUSTOS!$M$40)</f>
        <v>0</v>
      </c>
      <c r="T40" s="87">
        <f>('TUSD BE'!$U$40+'TUSD BF'!$U$40+'TUSD CVA'!$U$40)*(1 - CUSTOS!$M$40)</f>
        <v>0</v>
      </c>
      <c r="U40" s="87">
        <f>('TUSD BE'!$V$40+'TUSD BF'!$V$40+'TUSD CVA'!$V$40)*(1 - CUSTOS!$M$40)</f>
        <v>0</v>
      </c>
      <c r="V40" s="87">
        <f>('TUSD BE'!$W$40+'TUSD BF'!$W$40+'TUSD CVA'!$W$40)*(1 - CUSTOS!$M$40)</f>
        <v>0</v>
      </c>
      <c r="W40" s="87">
        <f>('TUSD BE'!$X$40+'TUSD BF'!$X$40+'TUSD CVA'!$X$40)*(1 - CUSTOS!$M$40)</f>
        <v>0</v>
      </c>
      <c r="X40" s="87">
        <f>('TUSD BE'!$Y$40+'TUSD BF'!$Y$40+'TUSD CVA'!$Y$40)*(1 - CUSTOS!$M$40)</f>
        <v>126.33492209065261</v>
      </c>
      <c r="Y40" s="87">
        <f>('TUSD BE'!$Z$40+'TUSD BF'!$Z$40+'TUSD CVA'!$Z$40)*(1 - CUSTOS!$M$40)</f>
        <v>0</v>
      </c>
      <c r="Z40" s="87">
        <f>('TUSD BE'!$AA$40+'TUSD BF'!$AA$40+'TUSD CVA'!$AA$40)*(1 - CUSTOS!$M$40)</f>
        <v>0</v>
      </c>
      <c r="AA40" s="87">
        <f>('TUSD BE'!$AC$40+'TUSD BF'!$AC$40+'TUSD CVA'!$AC$40)*(1 - CUSTOS!$M$40)</f>
        <v>261.52691784965543</v>
      </c>
      <c r="AB40" s="87">
        <f ca="1">('TUSD BE'!$AE$40+'TUSD BF'!$AE$40+'TUSD CVA'!$AE$40)*(1 - CUSTOS!$M$40)</f>
        <v>0</v>
      </c>
      <c r="AC40" s="87">
        <f ca="1">('TUSD BE'!$AF$40+'TUSD BF'!$AF$40+'TUSD CVA'!$AF$40)*(1 - CUSTOS!$M$40)</f>
        <v>0</v>
      </c>
      <c r="AD40" s="87">
        <f>('TUSD BE'!$AH$40+'TUSD BF'!$AH$40+'TUSD CVA'!$AH$40)*(1 - CUSTOS!$M$40)</f>
        <v>27.749719256026605</v>
      </c>
      <c r="AE40" s="87">
        <f>('TUSD BE'!$AI$40+'TUSD BF'!$AI$40+'TUSD CVA'!$AI$40)*(1 - CUSTOS!$M$40)</f>
        <v>0</v>
      </c>
      <c r="AF40" s="87">
        <f ca="1">('TUSD BE'!$AJ$40+'TUSD BF'!$AJ$40+'TUSD CVA'!$AJ$40)*(1 - CUSTOS!$M$40)</f>
        <v>15.136924475032487</v>
      </c>
      <c r="AG40" s="87">
        <f ca="1">('TUSD BE'!$AK$40+'TUSD BF'!$AK$40+'TUSD CVA'!$AK$40)*(1 - CUSTOS!$M$40)</f>
        <v>0</v>
      </c>
      <c r="AI40" s="87">
        <v>0</v>
      </c>
      <c r="AJ40" s="87">
        <v>2.1788043889270399</v>
      </c>
      <c r="AK40" s="87">
        <v>0</v>
      </c>
      <c r="AL40" s="87">
        <v>0</v>
      </c>
      <c r="AM40" s="87">
        <v>0</v>
      </c>
      <c r="AN40" s="87">
        <v>62.524926095814301</v>
      </c>
      <c r="AO40" s="87">
        <v>7.9430956447831997</v>
      </c>
      <c r="AP40" s="87">
        <v>0</v>
      </c>
      <c r="AQ40" s="87">
        <v>0</v>
      </c>
      <c r="AR40" s="87">
        <v>0</v>
      </c>
      <c r="AS40" s="87">
        <v>0</v>
      </c>
      <c r="AT40" s="87">
        <v>0</v>
      </c>
      <c r="AU40" s="87">
        <v>105.90830409518099</v>
      </c>
      <c r="AV40" s="87">
        <v>0</v>
      </c>
      <c r="AW40" s="87">
        <v>0</v>
      </c>
      <c r="AX40" s="87">
        <v>211.994800637753</v>
      </c>
      <c r="AY40" s="87">
        <v>7.7421671598343602</v>
      </c>
      <c r="AZ40" s="87">
        <v>0</v>
      </c>
      <c r="BA40" s="87">
        <v>31.3963122389654</v>
      </c>
      <c r="BB40" s="87">
        <v>0</v>
      </c>
      <c r="BC40" s="87">
        <v>0</v>
      </c>
      <c r="BD40" s="87">
        <v>0</v>
      </c>
    </row>
    <row r="41" spans="1:56" ht="11.25" customHeight="1" x14ac:dyDescent="0.3">
      <c r="A41" s="120"/>
      <c r="B41" s="89" t="s">
        <v>23</v>
      </c>
      <c r="C41" s="89" t="s">
        <v>44</v>
      </c>
      <c r="D41" s="89" t="s">
        <v>89</v>
      </c>
      <c r="E41" s="89" t="s">
        <v>25</v>
      </c>
      <c r="F41" s="89" t="s">
        <v>25</v>
      </c>
      <c r="G41" s="21" t="s">
        <v>76</v>
      </c>
      <c r="H41" s="21" t="s">
        <v>72</v>
      </c>
      <c r="I41" s="21">
        <f>'MERCADO TUSD'!$U$38</f>
        <v>0</v>
      </c>
      <c r="J41" s="17"/>
      <c r="L41" s="87">
        <f>('TUSD BE'!$L$41+'TUSD BF'!$L$41+'TUSD CVA'!$L$41)*(1 - CUSTOS!$M$40)</f>
        <v>12.842078295403322</v>
      </c>
      <c r="M41" s="87">
        <f>('TUSD BE'!$M$41+'TUSD BF'!$M$41+'TUSD CVA'!$M$41)*(1 - CUSTOS!$M$40)</f>
        <v>3.0123755933450487</v>
      </c>
      <c r="N41" s="87">
        <f ca="1">('TUSD BE'!$N$41+'TUSD BF'!$N$41+'TUSD CVA'!$N$41)*(1 - CUSTOS!$M$40)</f>
        <v>0</v>
      </c>
      <c r="O41" s="87">
        <f>('TUSD BE'!$O$41+'TUSD BF'!$O$41+'TUSD CVA'!$O$41)*(1 - CUSTOS!$M$40)</f>
        <v>0</v>
      </c>
      <c r="P41" s="87">
        <f>('TUSD BE'!$P$41+'TUSD BF'!$P$41+'TUSD CVA'!$P$41)*(1 - CUSTOS!$M$40)</f>
        <v>0</v>
      </c>
      <c r="Q41" s="87">
        <f>('TUSD BE'!$Q$41+'TUSD BF'!$Q$41+'TUSD CVA'!$Q$41)*(1 - CUSTOS!$M$40)</f>
        <v>84.803409059185583</v>
      </c>
      <c r="R41" s="87">
        <f>('TUSD BE'!$R$41+'TUSD BF'!$R$41+'TUSD CVA'!$R$41)*(1 - CUSTOS!$M$40)</f>
        <v>14.059164575305415</v>
      </c>
      <c r="S41" s="87">
        <f>('TUSD BE'!$S$41+'TUSD BF'!$S$41+'TUSD CVA'!$S$41)*(1 - CUSTOS!$M$40)</f>
        <v>0</v>
      </c>
      <c r="T41" s="87">
        <f>('TUSD BE'!$U$41+'TUSD BF'!$U$41+'TUSD CVA'!$U$41)*(1 - CUSTOS!$M$40)</f>
        <v>0</v>
      </c>
      <c r="U41" s="87">
        <f>('TUSD BE'!$V$41+'TUSD BF'!$V$41+'TUSD CVA'!$V$41)*(1 - CUSTOS!$M$40)</f>
        <v>0</v>
      </c>
      <c r="V41" s="87">
        <f>('TUSD BE'!$W$41+'TUSD BF'!$W$41+'TUSD CVA'!$W$41)*(1 - CUSTOS!$M$40)</f>
        <v>0</v>
      </c>
      <c r="W41" s="87">
        <f>('TUSD BE'!$X$41+'TUSD BF'!$X$41+'TUSD CVA'!$X$41)*(1 - CUSTOS!$M$40)</f>
        <v>0</v>
      </c>
      <c r="X41" s="87">
        <f>('TUSD BE'!$Y$41+'TUSD BF'!$Y$41+'TUSD CVA'!$Y$41)*(1 - CUSTOS!$M$40)</f>
        <v>242.95262229695311</v>
      </c>
      <c r="Y41" s="87">
        <f>('TUSD BE'!$Z$41+'TUSD BF'!$Z$41+'TUSD CVA'!$Z$41)*(1 - CUSTOS!$M$40)</f>
        <v>0</v>
      </c>
      <c r="Z41" s="87">
        <f>('TUSD BE'!$AA$41+'TUSD BF'!$AA$41+'TUSD CVA'!$AA$41)*(1 - CUSTOS!$M$40)</f>
        <v>0</v>
      </c>
      <c r="AA41" s="87">
        <f>('TUSD BE'!$AC$41+'TUSD BF'!$AC$41+'TUSD CVA'!$AC$41)*(1 - CUSTOS!$M$40)</f>
        <v>502.93645807267114</v>
      </c>
      <c r="AB41" s="87">
        <f ca="1">('TUSD BE'!$AE$41+'TUSD BF'!$AE$41+'TUSD CVA'!$AE$41)*(1 - CUSTOS!$M$40)</f>
        <v>0</v>
      </c>
      <c r="AC41" s="87">
        <f ca="1">('TUSD BE'!$AF$41+'TUSD BF'!$AF$41+'TUSD CVA'!$AF$41)*(1 - CUSTOS!$M$40)</f>
        <v>0</v>
      </c>
      <c r="AD41" s="87">
        <f>('TUSD BE'!$AH$41+'TUSD BF'!$AH$41+'TUSD CVA'!$AH$41)*(1 - CUSTOS!$M$40)</f>
        <v>27.749719256026605</v>
      </c>
      <c r="AE41" s="87">
        <f>('TUSD BE'!$AI$41+'TUSD BF'!$AI$41+'TUSD CVA'!$AI$41)*(1 - CUSTOS!$M$40)</f>
        <v>0</v>
      </c>
      <c r="AF41" s="87">
        <f ca="1">('TUSD BE'!$AJ$41+'TUSD BF'!$AJ$41+'TUSD CVA'!$AJ$41)*(1 - CUSTOS!$M$40)</f>
        <v>15.136924475032487</v>
      </c>
      <c r="AG41" s="87">
        <f ca="1">('TUSD BE'!$AK$41+'TUSD BF'!$AK$41+'TUSD CVA'!$AK$41)*(1 - CUSTOS!$M$40)</f>
        <v>0</v>
      </c>
      <c r="AI41" s="87">
        <v>0</v>
      </c>
      <c r="AJ41" s="87">
        <v>2.1788043889270399</v>
      </c>
      <c r="AK41" s="87">
        <v>0</v>
      </c>
      <c r="AL41" s="87">
        <v>0</v>
      </c>
      <c r="AM41" s="87">
        <v>0</v>
      </c>
      <c r="AN41" s="87">
        <v>62.524926095814301</v>
      </c>
      <c r="AO41" s="87">
        <v>7.9430956447831997</v>
      </c>
      <c r="AP41" s="87">
        <v>0</v>
      </c>
      <c r="AQ41" s="87">
        <v>0</v>
      </c>
      <c r="AR41" s="87">
        <v>0</v>
      </c>
      <c r="AS41" s="87">
        <v>0</v>
      </c>
      <c r="AT41" s="87">
        <v>0</v>
      </c>
      <c r="AU41" s="87">
        <v>203.66985954841101</v>
      </c>
      <c r="AV41" s="87">
        <v>0</v>
      </c>
      <c r="AW41" s="87">
        <v>0</v>
      </c>
      <c r="AX41" s="87">
        <v>407.68242539180898</v>
      </c>
      <c r="AY41" s="87">
        <v>13.2042615191388</v>
      </c>
      <c r="AZ41" s="87">
        <v>0</v>
      </c>
      <c r="BA41" s="87">
        <v>31.3963122389654</v>
      </c>
      <c r="BB41" s="87">
        <v>0</v>
      </c>
      <c r="BC41" s="87">
        <v>0</v>
      </c>
      <c r="BD41" s="87">
        <v>0</v>
      </c>
    </row>
    <row r="42" spans="1:56" ht="11.25" customHeight="1" x14ac:dyDescent="0.3">
      <c r="A42" s="120"/>
      <c r="B42" s="120" t="s">
        <v>87</v>
      </c>
      <c r="C42" s="120" t="s">
        <v>44</v>
      </c>
      <c r="D42" s="89" t="s">
        <v>25</v>
      </c>
      <c r="E42" s="89" t="s">
        <v>25</v>
      </c>
      <c r="F42" s="89" t="s">
        <v>25</v>
      </c>
      <c r="G42" s="21" t="s">
        <v>76</v>
      </c>
      <c r="H42" s="21" t="s">
        <v>72</v>
      </c>
      <c r="I42" s="21">
        <f>'MERCADO TUSD'!$U$39</f>
        <v>0</v>
      </c>
      <c r="J42" s="17"/>
      <c r="L42" s="87">
        <f>('TUSD BE'!$L$42+'TUSD BF'!$L$42+'TUSD CVA'!$L$42)*(1 - CUSTOS!$M$38)</f>
        <v>13.121253910520783</v>
      </c>
      <c r="M42" s="87">
        <f>('TUSD BE'!$M$42+'TUSD BF'!$M$42+'TUSD CVA'!$M$42)*(1 - CUSTOS!$M$38)</f>
        <v>3.0778620192873318</v>
      </c>
      <c r="N42" s="87">
        <f ca="1">('TUSD BE'!$N$42+'TUSD BF'!$N$42+'TUSD CVA'!$N$42)*(1 - CUSTOS!$M$38)</f>
        <v>0</v>
      </c>
      <c r="O42" s="87">
        <f>('TUSD BE'!$O$42+'TUSD BF'!$O$42+'TUSD CVA'!$O$42)*(1 - CUSTOS!$M$38)</f>
        <v>0</v>
      </c>
      <c r="P42" s="87">
        <f>('TUSD BE'!$P$42+'TUSD BF'!$P$42+'TUSD CVA'!$P$42)*(1 - CUSTOS!$M$38)</f>
        <v>0</v>
      </c>
      <c r="Q42" s="87">
        <f>('TUSD BE'!$Q$42+'TUSD BF'!$Q$42+'TUSD CVA'!$Q$42)*(1 - CUSTOS!$M$38)</f>
        <v>86.646961430037436</v>
      </c>
      <c r="R42" s="87">
        <f>('TUSD BE'!$R$42+'TUSD BF'!$R$42+'TUSD CVA'!$R$42)*(1 - CUSTOS!$M$38)</f>
        <v>14.364798587812052</v>
      </c>
      <c r="S42" s="87">
        <f>('TUSD BE'!$S$42+'TUSD BF'!$S$42+'TUSD CVA'!$S$42)*(1 - CUSTOS!$M$38)</f>
        <v>0</v>
      </c>
      <c r="T42" s="87">
        <f>('TUSD BE'!$U$42+'TUSD BF'!$U$42+'TUSD CVA'!$U$42)*(1 - CUSTOS!$M$38)</f>
        <v>0</v>
      </c>
      <c r="U42" s="87">
        <f>('TUSD BE'!$V$42+'TUSD BF'!$V$42+'TUSD CVA'!$V$42)*(1 - CUSTOS!$M$38)</f>
        <v>0</v>
      </c>
      <c r="V42" s="87">
        <f>('TUSD BE'!$W$42+'TUSD BF'!$W$42+'TUSD CVA'!$W$42)*(1 - CUSTOS!$M$38)</f>
        <v>0</v>
      </c>
      <c r="W42" s="87">
        <f>('TUSD BE'!$X$42+'TUSD BF'!$X$42+'TUSD CVA'!$X$42)*(1 - CUSTOS!$M$38)</f>
        <v>0</v>
      </c>
      <c r="X42" s="87">
        <f>('TUSD BE'!$Y$42+'TUSD BF'!$Y$42+'TUSD CVA'!$Y$42)*(1 - CUSTOS!$M$38)</f>
        <v>248.23420104253901</v>
      </c>
      <c r="Y42" s="87">
        <f>('TUSD BE'!$Z$42+'TUSD BF'!$Z$42+'TUSD CVA'!$Z$42)*(1 - CUSTOS!$M$38)</f>
        <v>0</v>
      </c>
      <c r="Z42" s="87">
        <f>('TUSD BE'!$AA$42+'TUSD BF'!$AA$42+'TUSD CVA'!$AA$42)*(1 - CUSTOS!$M$38)</f>
        <v>0</v>
      </c>
      <c r="AA42" s="87">
        <f>('TUSD BE'!$AC$42+'TUSD BF'!$AC$42+'TUSD CVA'!$AC$42)*(1 - CUSTOS!$M$38)</f>
        <v>513.86985933512051</v>
      </c>
      <c r="AB42" s="87">
        <f ca="1">('TUSD BE'!$AE$42+'TUSD BF'!$AE$42+'TUSD CVA'!$AE$42)*(1 - CUSTOS!$M$38)</f>
        <v>0</v>
      </c>
      <c r="AC42" s="87">
        <f ca="1">('TUSD BE'!$AF$42+'TUSD BF'!$AF$42+'TUSD CVA'!$AF$42)*(1 - CUSTOS!$M$38)</f>
        <v>0</v>
      </c>
      <c r="AD42" s="87">
        <f>('TUSD BE'!$AH$42+'TUSD BF'!$AH$42+'TUSD CVA'!$AH$42)*(1 - CUSTOS!$M$38)</f>
        <v>28.352974022461964</v>
      </c>
      <c r="AE42" s="87">
        <f>('TUSD BE'!$AI$42+'TUSD BF'!$AI$42+'TUSD CVA'!$AI$42)*(1 - CUSTOS!$M$38)</f>
        <v>0</v>
      </c>
      <c r="AF42" s="87">
        <f ca="1">('TUSD BE'!$AJ$42+'TUSD BF'!$AJ$42+'TUSD CVA'!$AJ$42)*(1 - CUSTOS!$M$38)</f>
        <v>15.465988050576669</v>
      </c>
      <c r="AG42" s="87">
        <f ca="1">('TUSD BE'!$AK$42+'TUSD BF'!$AK$42+'TUSD CVA'!$AK$42)*(1 - CUSTOS!$M$38)</f>
        <v>0</v>
      </c>
      <c r="AI42" s="87">
        <v>0</v>
      </c>
      <c r="AJ42" s="87">
        <v>2.2825569788759399</v>
      </c>
      <c r="AK42" s="87">
        <v>0</v>
      </c>
      <c r="AL42" s="87">
        <v>0</v>
      </c>
      <c r="AM42" s="87">
        <v>0</v>
      </c>
      <c r="AN42" s="87">
        <v>65.502303528948303</v>
      </c>
      <c r="AO42" s="87">
        <v>8.3213382945347796</v>
      </c>
      <c r="AP42" s="87">
        <v>0</v>
      </c>
      <c r="AQ42" s="87">
        <v>0</v>
      </c>
      <c r="AR42" s="87">
        <v>0</v>
      </c>
      <c r="AS42" s="87">
        <v>0</v>
      </c>
      <c r="AT42" s="87">
        <v>0</v>
      </c>
      <c r="AU42" s="87">
        <v>213.36842428881201</v>
      </c>
      <c r="AV42" s="87">
        <v>0</v>
      </c>
      <c r="AW42" s="87">
        <v>0</v>
      </c>
      <c r="AX42" s="87">
        <v>427.095874219991</v>
      </c>
      <c r="AY42" s="87">
        <v>13.833035877193</v>
      </c>
      <c r="AZ42" s="87">
        <v>0</v>
      </c>
      <c r="BA42" s="87">
        <v>32.891374726535197</v>
      </c>
      <c r="BB42" s="87">
        <v>0</v>
      </c>
      <c r="BC42" s="87">
        <v>0</v>
      </c>
      <c r="BD42" s="87">
        <v>0</v>
      </c>
    </row>
    <row r="43" spans="1:56" ht="11.25" customHeight="1" x14ac:dyDescent="0.3">
      <c r="A43" s="120"/>
      <c r="B43" s="120"/>
      <c r="C43" s="120"/>
      <c r="D43" s="89" t="s">
        <v>88</v>
      </c>
      <c r="E43" s="89" t="s">
        <v>25</v>
      </c>
      <c r="F43" s="89" t="s">
        <v>25</v>
      </c>
      <c r="G43" s="21" t="s">
        <v>76</v>
      </c>
      <c r="H43" s="21" t="s">
        <v>72</v>
      </c>
      <c r="I43" s="21">
        <f>'MERCADO TUSD'!$U$40</f>
        <v>0</v>
      </c>
      <c r="J43" s="17"/>
      <c r="L43" s="87">
        <f>('TUSD BE'!$L$43+'TUSD BF'!$L$43+'TUSD CVA'!$L$43)*(1 - CUSTOS!$M$39)</f>
        <v>13.121253910520783</v>
      </c>
      <c r="M43" s="87">
        <f>('TUSD BE'!$M$43+'TUSD BF'!$M$43+'TUSD CVA'!$M$43)*(1 - CUSTOS!$M$39)</f>
        <v>3.0778620192873318</v>
      </c>
      <c r="N43" s="87">
        <f ca="1">('TUSD BE'!$N$43+'TUSD BF'!$N$43+'TUSD CVA'!$N$43)*(1 - CUSTOS!$M$39)</f>
        <v>0</v>
      </c>
      <c r="O43" s="87">
        <f>('TUSD BE'!$O$43+'TUSD BF'!$O$43+'TUSD CVA'!$O$43)*(1 - CUSTOS!$M$39)</f>
        <v>0</v>
      </c>
      <c r="P43" s="87">
        <f>('TUSD BE'!$P$43+'TUSD BF'!$P$43+'TUSD CVA'!$P$43)*(1 - CUSTOS!$M$39)</f>
        <v>0</v>
      </c>
      <c r="Q43" s="87">
        <f>('TUSD BE'!$Q$43+'TUSD BF'!$Q$43+'TUSD CVA'!$Q$43)*(1 - CUSTOS!$M$39)</f>
        <v>86.646961430037436</v>
      </c>
      <c r="R43" s="87">
        <f>('TUSD BE'!$R$43+'TUSD BF'!$R$43+'TUSD CVA'!$R$43)*(1 - CUSTOS!$M$39)</f>
        <v>14.364798587812052</v>
      </c>
      <c r="S43" s="87">
        <f>('TUSD BE'!$S$43+'TUSD BF'!$S$43+'TUSD CVA'!$S$43)*(1 - CUSTOS!$M$39)</f>
        <v>0</v>
      </c>
      <c r="T43" s="87">
        <f>('TUSD BE'!$U$43+'TUSD BF'!$U$43+'TUSD CVA'!$U$43)*(1 - CUSTOS!$M$39)</f>
        <v>0</v>
      </c>
      <c r="U43" s="87">
        <f>('TUSD BE'!$V$43+'TUSD BF'!$V$43+'TUSD CVA'!$V$43)*(1 - CUSTOS!$M$39)</f>
        <v>0</v>
      </c>
      <c r="V43" s="87">
        <f>('TUSD BE'!$W$43+'TUSD BF'!$W$43+'TUSD CVA'!$W$43)*(1 - CUSTOS!$M$39)</f>
        <v>0</v>
      </c>
      <c r="W43" s="87">
        <f>('TUSD BE'!$X$43+'TUSD BF'!$X$43+'TUSD CVA'!$X$43)*(1 - CUSTOS!$M$39)</f>
        <v>0</v>
      </c>
      <c r="X43" s="87">
        <f>('TUSD BE'!$Y$43+'TUSD BF'!$Y$43+'TUSD CVA'!$Y$43)*(1 - CUSTOS!$M$39)</f>
        <v>248.23420104253901</v>
      </c>
      <c r="Y43" s="87">
        <f>('TUSD BE'!$Z$43+'TUSD BF'!$Z$43+'TUSD CVA'!$Z$43)*(1 - CUSTOS!$M$39)</f>
        <v>0</v>
      </c>
      <c r="Z43" s="87">
        <f>('TUSD BE'!$AA$43+'TUSD BF'!$AA$43+'TUSD CVA'!$AA$43)*(1 - CUSTOS!$M$39)</f>
        <v>0</v>
      </c>
      <c r="AA43" s="87">
        <f>('TUSD BE'!$AC$43+'TUSD BF'!$AC$43+'TUSD CVA'!$AC$43)*(1 - CUSTOS!$M$39)</f>
        <v>513.86985933512051</v>
      </c>
      <c r="AB43" s="87">
        <f ca="1">('TUSD BE'!$AE$43+'TUSD BF'!$AE$43+'TUSD CVA'!$AE$43)*(1 - CUSTOS!$M$39)</f>
        <v>0</v>
      </c>
      <c r="AC43" s="87">
        <f ca="1">('TUSD BE'!$AF$43+'TUSD BF'!$AF$43+'TUSD CVA'!$AF$43)*(1 - CUSTOS!$M$39)</f>
        <v>0</v>
      </c>
      <c r="AD43" s="87">
        <f>('TUSD BE'!$AH$43+'TUSD BF'!$AH$43+'TUSD CVA'!$AH$43)*(1 - CUSTOS!$M$39)</f>
        <v>28.352974022461964</v>
      </c>
      <c r="AE43" s="87">
        <f>('TUSD BE'!$AI$43+'TUSD BF'!$AI$43+'TUSD CVA'!$AI$43)*(1 - CUSTOS!$M$39)</f>
        <v>0</v>
      </c>
      <c r="AF43" s="87">
        <f ca="1">('TUSD BE'!$AJ$43+'TUSD BF'!$AJ$43+'TUSD CVA'!$AJ$43)*(1 - CUSTOS!$M$39)</f>
        <v>15.465988050576669</v>
      </c>
      <c r="AG43" s="87">
        <f ca="1">('TUSD BE'!$AK$43+'TUSD BF'!$AK$43+'TUSD CVA'!$AK$43)*(1 - CUSTOS!$M$39)</f>
        <v>0</v>
      </c>
      <c r="AI43" s="87">
        <v>0</v>
      </c>
      <c r="AJ43" s="87">
        <v>2.2825569788759399</v>
      </c>
      <c r="AK43" s="87">
        <v>0</v>
      </c>
      <c r="AL43" s="87">
        <v>0</v>
      </c>
      <c r="AM43" s="87">
        <v>0</v>
      </c>
      <c r="AN43" s="87">
        <v>65.502303528948303</v>
      </c>
      <c r="AO43" s="87">
        <v>8.3213382945347796</v>
      </c>
      <c r="AP43" s="87">
        <v>0</v>
      </c>
      <c r="AQ43" s="87">
        <v>0</v>
      </c>
      <c r="AR43" s="87">
        <v>0</v>
      </c>
      <c r="AS43" s="87">
        <v>0</v>
      </c>
      <c r="AT43" s="87">
        <v>0</v>
      </c>
      <c r="AU43" s="87">
        <v>213.36842428881201</v>
      </c>
      <c r="AV43" s="87">
        <v>0</v>
      </c>
      <c r="AW43" s="87">
        <v>0</v>
      </c>
      <c r="AX43" s="87">
        <v>427.095874219991</v>
      </c>
      <c r="AY43" s="87">
        <v>13.833035877193</v>
      </c>
      <c r="AZ43" s="87">
        <v>0</v>
      </c>
      <c r="BA43" s="87">
        <v>32.891374726535197</v>
      </c>
      <c r="BB43" s="87">
        <v>0</v>
      </c>
      <c r="BC43" s="87">
        <v>0</v>
      </c>
      <c r="BD43" s="87">
        <v>0</v>
      </c>
    </row>
    <row r="44" spans="1:56" ht="11.25" customHeight="1" x14ac:dyDescent="0.3">
      <c r="A44" s="120"/>
      <c r="B44" s="120"/>
      <c r="C44" s="120"/>
      <c r="D44" s="89" t="s">
        <v>89</v>
      </c>
      <c r="E44" s="89" t="s">
        <v>25</v>
      </c>
      <c r="F44" s="89" t="s">
        <v>25</v>
      </c>
      <c r="G44" s="21" t="s">
        <v>76</v>
      </c>
      <c r="H44" s="21" t="s">
        <v>72</v>
      </c>
      <c r="I44" s="21">
        <f>'MERCADO TUSD'!$U$41</f>
        <v>0</v>
      </c>
      <c r="J44" s="17"/>
      <c r="L44" s="87">
        <f>('TUSD BE'!$L$44+'TUSD BF'!$L$44+'TUSD CVA'!$L$44)*(1 - CUSTOS!$M$40)</f>
        <v>12.842078295403322</v>
      </c>
      <c r="M44" s="87">
        <f>('TUSD BE'!$M$44+'TUSD BF'!$M$44+'TUSD CVA'!$M$44)*(1 - CUSTOS!$M$40)</f>
        <v>3.0123755933450487</v>
      </c>
      <c r="N44" s="87">
        <f ca="1">('TUSD BE'!$N$44+'TUSD BF'!$N$44+'TUSD CVA'!$N$44)*(1 - CUSTOS!$M$40)</f>
        <v>0</v>
      </c>
      <c r="O44" s="87">
        <f>('TUSD BE'!$O$44+'TUSD BF'!$O$44+'TUSD CVA'!$O$44)*(1 - CUSTOS!$M$40)</f>
        <v>0</v>
      </c>
      <c r="P44" s="87">
        <f>('TUSD BE'!$P$44+'TUSD BF'!$P$44+'TUSD CVA'!$P$44)*(1 - CUSTOS!$M$40)</f>
        <v>0</v>
      </c>
      <c r="Q44" s="87">
        <f>('TUSD BE'!$Q$44+'TUSD BF'!$Q$44+'TUSD CVA'!$Q$44)*(1 - CUSTOS!$M$40)</f>
        <v>84.803409059185583</v>
      </c>
      <c r="R44" s="87">
        <f>('TUSD BE'!$R$44+'TUSD BF'!$R$44+'TUSD CVA'!$R$44)*(1 - CUSTOS!$M$40)</f>
        <v>14.059164575305415</v>
      </c>
      <c r="S44" s="87">
        <f>('TUSD BE'!$S$44+'TUSD BF'!$S$44+'TUSD CVA'!$S$44)*(1 - CUSTOS!$M$40)</f>
        <v>0</v>
      </c>
      <c r="T44" s="87">
        <f>('TUSD BE'!$U$44+'TUSD BF'!$U$44+'TUSD CVA'!$U$44)*(1 - CUSTOS!$M$40)</f>
        <v>0</v>
      </c>
      <c r="U44" s="87">
        <f>('TUSD BE'!$V$44+'TUSD BF'!$V$44+'TUSD CVA'!$V$44)*(1 - CUSTOS!$M$40)</f>
        <v>0</v>
      </c>
      <c r="V44" s="87">
        <f>('TUSD BE'!$W$44+'TUSD BF'!$W$44+'TUSD CVA'!$W$44)*(1 - CUSTOS!$M$40)</f>
        <v>0</v>
      </c>
      <c r="W44" s="87">
        <f>('TUSD BE'!$X$44+'TUSD BF'!$X$44+'TUSD CVA'!$X$44)*(1 - CUSTOS!$M$40)</f>
        <v>0</v>
      </c>
      <c r="X44" s="87">
        <f>('TUSD BE'!$Y$44+'TUSD BF'!$Y$44+'TUSD CVA'!$Y$44)*(1 - CUSTOS!$M$40)</f>
        <v>242.95262229695311</v>
      </c>
      <c r="Y44" s="87">
        <f>('TUSD BE'!$Z$44+'TUSD BF'!$Z$44+'TUSD CVA'!$Z$44)*(1 - CUSTOS!$M$40)</f>
        <v>0</v>
      </c>
      <c r="Z44" s="87">
        <f>('TUSD BE'!$AA$44+'TUSD BF'!$AA$44+'TUSD CVA'!$AA$44)*(1 - CUSTOS!$M$40)</f>
        <v>0</v>
      </c>
      <c r="AA44" s="87">
        <f>('TUSD BE'!$AC$44+'TUSD BF'!$AC$44+'TUSD CVA'!$AC$44)*(1 - CUSTOS!$M$40)</f>
        <v>502.93645807267114</v>
      </c>
      <c r="AB44" s="87">
        <f ca="1">('TUSD BE'!$AE$44+'TUSD BF'!$AE$44+'TUSD CVA'!$AE$44)*(1 - CUSTOS!$M$40)</f>
        <v>0</v>
      </c>
      <c r="AC44" s="87">
        <f ca="1">('TUSD BE'!$AF$44+'TUSD BF'!$AF$44+'TUSD CVA'!$AF$44)*(1 - CUSTOS!$M$40)</f>
        <v>0</v>
      </c>
      <c r="AD44" s="87">
        <f>('TUSD BE'!$AH$44+'TUSD BF'!$AH$44+'TUSD CVA'!$AH$44)*(1 - CUSTOS!$M$40)</f>
        <v>27.749719256026605</v>
      </c>
      <c r="AE44" s="87">
        <f>('TUSD BE'!$AI$44+'TUSD BF'!$AI$44+'TUSD CVA'!$AI$44)*(1 - CUSTOS!$M$40)</f>
        <v>0</v>
      </c>
      <c r="AF44" s="87">
        <f ca="1">('TUSD BE'!$AJ$44+'TUSD BF'!$AJ$44+'TUSD CVA'!$AJ$44)*(1 - CUSTOS!$M$40)</f>
        <v>15.136924475032487</v>
      </c>
      <c r="AG44" s="87">
        <f ca="1">('TUSD BE'!$AK$44+'TUSD BF'!$AK$44+'TUSD CVA'!$AK$44)*(1 - CUSTOS!$M$40)</f>
        <v>0</v>
      </c>
      <c r="AI44" s="87">
        <v>0</v>
      </c>
      <c r="AJ44" s="87">
        <v>2.1788043889270399</v>
      </c>
      <c r="AK44" s="87">
        <v>0</v>
      </c>
      <c r="AL44" s="87">
        <v>0</v>
      </c>
      <c r="AM44" s="87">
        <v>0</v>
      </c>
      <c r="AN44" s="87">
        <v>62.524926095814301</v>
      </c>
      <c r="AO44" s="87">
        <v>7.9430956447831997</v>
      </c>
      <c r="AP44" s="87">
        <v>0</v>
      </c>
      <c r="AQ44" s="87">
        <v>0</v>
      </c>
      <c r="AR44" s="87">
        <v>0</v>
      </c>
      <c r="AS44" s="87">
        <v>0</v>
      </c>
      <c r="AT44" s="87">
        <v>0</v>
      </c>
      <c r="AU44" s="87">
        <v>203.66985954841101</v>
      </c>
      <c r="AV44" s="87">
        <v>0</v>
      </c>
      <c r="AW44" s="87">
        <v>0</v>
      </c>
      <c r="AX44" s="87">
        <v>407.68242539180898</v>
      </c>
      <c r="AY44" s="87">
        <v>13.2042615191388</v>
      </c>
      <c r="AZ44" s="87">
        <v>0</v>
      </c>
      <c r="BA44" s="87">
        <v>31.3963122389654</v>
      </c>
      <c r="BB44" s="87">
        <v>0</v>
      </c>
      <c r="BC44" s="87">
        <v>0</v>
      </c>
      <c r="BD44" s="87">
        <v>0</v>
      </c>
    </row>
    <row r="45" spans="1:56" ht="11.25" customHeight="1" x14ac:dyDescent="0.3">
      <c r="A45" s="120" t="s">
        <v>35</v>
      </c>
      <c r="B45" s="120" t="s">
        <v>33</v>
      </c>
      <c r="C45" s="120" t="s">
        <v>25</v>
      </c>
      <c r="D45" s="120" t="s">
        <v>25</v>
      </c>
      <c r="E45" s="120" t="s">
        <v>25</v>
      </c>
      <c r="F45" s="120" t="s">
        <v>25</v>
      </c>
      <c r="G45" s="21" t="s">
        <v>73</v>
      </c>
      <c r="H45" s="21" t="s">
        <v>72</v>
      </c>
      <c r="I45" s="21">
        <f>'MERCADO TUSD'!$U$42</f>
        <v>0.38900000000000001</v>
      </c>
      <c r="J45" s="17"/>
      <c r="L45" s="87">
        <f>('TUSD BE'!$L$45+'TUSD BF'!$L$45+'TUSD CVA'!$L$45)*1</f>
        <v>13.958780755873175</v>
      </c>
      <c r="M45" s="87">
        <f>('TUSD BE'!$M$45+'TUSD BF'!$M$45+'TUSD CVA'!$M$45)*1</f>
        <v>3.2743212971141831</v>
      </c>
      <c r="N45" s="87">
        <f ca="1">('TUSD BE'!$N$45+'TUSD BF'!$N$45+'TUSD CVA'!$N$45)*1</f>
        <v>0</v>
      </c>
      <c r="O45" s="87">
        <f>('TUSD BE'!$O$45+'TUSD BF'!$O$45+'TUSD CVA'!$O$45)*1</f>
        <v>0</v>
      </c>
      <c r="P45" s="87">
        <f>('TUSD BE'!$P$45+'TUSD BF'!$P$45+'TUSD CVA'!$P$45)*1</f>
        <v>0</v>
      </c>
      <c r="Q45" s="87">
        <f>('TUSD BE'!$Q$45+'TUSD BF'!$Q$45+'TUSD CVA'!$Q$45)*1</f>
        <v>92.177618542593024</v>
      </c>
      <c r="R45" s="87">
        <f>('TUSD BE'!$R$45+'TUSD BF'!$R$45+'TUSD CVA'!$R$45)*1</f>
        <v>15.281700625331972</v>
      </c>
      <c r="S45" s="87">
        <f>('TUSD BE'!$S$45+'TUSD BF'!$S$45+'TUSD CVA'!$S$45)*1</f>
        <v>0</v>
      </c>
      <c r="T45" s="87">
        <f>('TUSD BE'!$U$45+'TUSD BF'!$U$45+'TUSD CVA'!$U$45)*1</f>
        <v>0</v>
      </c>
      <c r="U45" s="87">
        <f>('TUSD BE'!$V$45+'TUSD BF'!$V$45+'TUSD CVA'!$V$45)*1</f>
        <v>0</v>
      </c>
      <c r="V45" s="87">
        <f>('TUSD BE'!$W$45+'TUSD BF'!$W$45+'TUSD CVA'!$W$45)*1</f>
        <v>0</v>
      </c>
      <c r="W45" s="87">
        <f>('TUSD BE'!$X$45+'TUSD BF'!$X$45+'TUSD CVA'!$X$45)*1</f>
        <v>0</v>
      </c>
      <c r="X45" s="87">
        <f>('TUSD BE'!$Y$45+'TUSD BF'!$Y$45+'TUSD CVA'!$Y$45)*1</f>
        <v>805.44143355475398</v>
      </c>
      <c r="Y45" s="87">
        <f>('TUSD BE'!$Z$45+'TUSD BF'!$Z$45+'TUSD CVA'!$Z$45)*1</f>
        <v>0</v>
      </c>
      <c r="Z45" s="87">
        <f>('TUSD BE'!$AA$45+'TUSD BF'!$AA$45+'TUSD CVA'!$AA$45)*1</f>
        <v>0</v>
      </c>
      <c r="AA45" s="87">
        <f>('TUSD BE'!$AC$45+'TUSD BF'!$AC$45+'TUSD CVA'!$AC$45)*1</f>
        <v>1667.3429798526927</v>
      </c>
      <c r="AB45" s="87">
        <f ca="1">('TUSD BE'!$AE$45+'TUSD BF'!$AE$45+'TUSD CVA'!$AE$45)*1</f>
        <v>0</v>
      </c>
      <c r="AC45" s="87">
        <f ca="1">('TUSD BE'!$AF$45+'TUSD BF'!$AF$45+'TUSD CVA'!$AF$45)*1</f>
        <v>0</v>
      </c>
      <c r="AD45" s="87">
        <f>('TUSD BE'!$AH$45+'TUSD BF'!$AH$45+'TUSD CVA'!$AH$45)*1</f>
        <v>30.16273832176805</v>
      </c>
      <c r="AE45" s="87">
        <f>('TUSD BE'!$AI$45+'TUSD BF'!$AI$45+'TUSD CVA'!$AI$45)*1</f>
        <v>0</v>
      </c>
      <c r="AF45" s="87">
        <f ca="1">('TUSD BE'!$AJ$45+'TUSD BF'!$AJ$45+'TUSD CVA'!$AJ$45)*1</f>
        <v>16.453178777209224</v>
      </c>
      <c r="AG45" s="87">
        <f ca="1">('TUSD BE'!$AK$45+'TUSD BF'!$AK$45+'TUSD CVA'!$AK$45)*1</f>
        <v>0</v>
      </c>
      <c r="AI45" s="87">
        <v>0</v>
      </c>
      <c r="AJ45" s="87">
        <v>2.5938147487226599</v>
      </c>
      <c r="AK45" s="87">
        <v>0</v>
      </c>
      <c r="AL45" s="87">
        <v>0</v>
      </c>
      <c r="AM45" s="87">
        <v>0</v>
      </c>
      <c r="AN45" s="87">
        <v>74.434435828350402</v>
      </c>
      <c r="AO45" s="87">
        <v>9.4560662437895306</v>
      </c>
      <c r="AP45" s="87">
        <v>0</v>
      </c>
      <c r="AQ45" s="87">
        <v>0</v>
      </c>
      <c r="AR45" s="87">
        <v>0</v>
      </c>
      <c r="AS45" s="87">
        <v>0</v>
      </c>
      <c r="AT45" s="87">
        <v>0</v>
      </c>
      <c r="AU45" s="87">
        <v>739.51644630643102</v>
      </c>
      <c r="AV45" s="87">
        <v>0</v>
      </c>
      <c r="AW45" s="87">
        <v>0</v>
      </c>
      <c r="AX45" s="87">
        <v>1480.2748851711999</v>
      </c>
      <c r="AY45" s="87">
        <v>43.490416550308701</v>
      </c>
      <c r="AZ45" s="87">
        <v>0</v>
      </c>
      <c r="BA45" s="87">
        <v>37.376562189244503</v>
      </c>
      <c r="BB45" s="87">
        <v>0</v>
      </c>
      <c r="BC45" s="87">
        <v>0</v>
      </c>
      <c r="BD45" s="87">
        <v>0</v>
      </c>
    </row>
    <row r="46" spans="1:56" ht="11.25" customHeight="1" x14ac:dyDescent="0.3">
      <c r="A46" s="120"/>
      <c r="B46" s="120"/>
      <c r="C46" s="120"/>
      <c r="D46" s="120"/>
      <c r="E46" s="120"/>
      <c r="F46" s="120"/>
      <c r="G46" s="21" t="s">
        <v>85</v>
      </c>
      <c r="H46" s="21" t="s">
        <v>72</v>
      </c>
      <c r="I46" s="21">
        <f>'MERCADO TUSD'!$U$43</f>
        <v>0.23799999999999999</v>
      </c>
      <c r="J46" s="17"/>
      <c r="L46" s="87">
        <f>('TUSD BE'!$L$46+'TUSD BF'!$L$46+'TUSD CVA'!$L$46)*1</f>
        <v>13.958780755873175</v>
      </c>
      <c r="M46" s="87">
        <f>('TUSD BE'!$M$46+'TUSD BF'!$M$46+'TUSD CVA'!$M$46)*1</f>
        <v>3.2743212971141831</v>
      </c>
      <c r="N46" s="87">
        <f ca="1">('TUSD BE'!$N$46+'TUSD BF'!$N$46+'TUSD CVA'!$N$46)*1</f>
        <v>0</v>
      </c>
      <c r="O46" s="87">
        <f>('TUSD BE'!$O$46+'TUSD BF'!$O$46+'TUSD CVA'!$O$46)*1</f>
        <v>0</v>
      </c>
      <c r="P46" s="87">
        <f>('TUSD BE'!$P$46+'TUSD BF'!$P$46+'TUSD CVA'!$P$46)*1</f>
        <v>0</v>
      </c>
      <c r="Q46" s="87">
        <f>('TUSD BE'!$Q$46+'TUSD BF'!$Q$46+'TUSD CVA'!$Q$46)*1</f>
        <v>92.177618542593024</v>
      </c>
      <c r="R46" s="87">
        <f>('TUSD BE'!$R$46+'TUSD BF'!$R$46+'TUSD CVA'!$R$46)*1</f>
        <v>15.281700625331972</v>
      </c>
      <c r="S46" s="87">
        <f>('TUSD BE'!$S$46+'TUSD BF'!$S$46+'TUSD CVA'!$S$46)*1</f>
        <v>0</v>
      </c>
      <c r="T46" s="87">
        <f>('TUSD BE'!$U$46+'TUSD BF'!$U$46+'TUSD CVA'!$U$46)*1</f>
        <v>0</v>
      </c>
      <c r="U46" s="87">
        <f>('TUSD BE'!$V$46+'TUSD BF'!$V$46+'TUSD CVA'!$V$46)*1</f>
        <v>0</v>
      </c>
      <c r="V46" s="87">
        <f>('TUSD BE'!$W$46+'TUSD BF'!$W$46+'TUSD CVA'!$W$46)*1</f>
        <v>0</v>
      </c>
      <c r="W46" s="87">
        <f>('TUSD BE'!$X$46+'TUSD BF'!$X$46+'TUSD CVA'!$X$46)*1</f>
        <v>0</v>
      </c>
      <c r="X46" s="87">
        <f>('TUSD BE'!$Y$46+'TUSD BF'!$Y$46+'TUSD CVA'!$Y$46)*1</f>
        <v>483.26516006747403</v>
      </c>
      <c r="Y46" s="87">
        <f>('TUSD BE'!$Z$46+'TUSD BF'!$Z$46+'TUSD CVA'!$Z$46)*1</f>
        <v>0</v>
      </c>
      <c r="Z46" s="87">
        <f>('TUSD BE'!$AA$46+'TUSD BF'!$AA$46+'TUSD CVA'!$AA$46)*1</f>
        <v>0</v>
      </c>
      <c r="AA46" s="87">
        <f>('TUSD BE'!$AC$46+'TUSD BF'!$AC$46+'TUSD CVA'!$AC$46)*1</f>
        <v>1000.4058756249493</v>
      </c>
      <c r="AB46" s="87">
        <f ca="1">('TUSD BE'!$AE$46+'TUSD BF'!$AE$46+'TUSD CVA'!$AE$46)*1</f>
        <v>0</v>
      </c>
      <c r="AC46" s="87">
        <f ca="1">('TUSD BE'!$AF$46+'TUSD BF'!$AF$46+'TUSD CVA'!$AF$46)*1</f>
        <v>0</v>
      </c>
      <c r="AD46" s="87">
        <f>('TUSD BE'!$AH$46+'TUSD BF'!$AH$46+'TUSD CVA'!$AH$46)*1</f>
        <v>30.16273832176805</v>
      </c>
      <c r="AE46" s="87">
        <f>('TUSD BE'!$AI$46+'TUSD BF'!$AI$46+'TUSD CVA'!$AI$46)*1</f>
        <v>0</v>
      </c>
      <c r="AF46" s="87">
        <f ca="1">('TUSD BE'!$AJ$46+'TUSD BF'!$AJ$46+'TUSD CVA'!$AJ$46)*1</f>
        <v>16.453178777209224</v>
      </c>
      <c r="AG46" s="87">
        <f ca="1">('TUSD BE'!$AK$46+'TUSD BF'!$AK$46+'TUSD CVA'!$AK$46)*1</f>
        <v>0</v>
      </c>
      <c r="AI46" s="87">
        <v>0</v>
      </c>
      <c r="AJ46" s="87">
        <v>2.5938147487226599</v>
      </c>
      <c r="AK46" s="87">
        <v>0</v>
      </c>
      <c r="AL46" s="87">
        <v>0</v>
      </c>
      <c r="AM46" s="87">
        <v>0</v>
      </c>
      <c r="AN46" s="87">
        <v>74.434435828350402</v>
      </c>
      <c r="AO46" s="87">
        <v>9.4560662437895306</v>
      </c>
      <c r="AP46" s="87">
        <v>0</v>
      </c>
      <c r="AQ46" s="87">
        <v>0</v>
      </c>
      <c r="AR46" s="87">
        <v>0</v>
      </c>
      <c r="AS46" s="87">
        <v>0</v>
      </c>
      <c r="AT46" s="87">
        <v>0</v>
      </c>
      <c r="AU46" s="87">
        <v>443.70929603405199</v>
      </c>
      <c r="AV46" s="87">
        <v>0</v>
      </c>
      <c r="AW46" s="87">
        <v>0</v>
      </c>
      <c r="AX46" s="87">
        <v>888.16484526657098</v>
      </c>
      <c r="AY46" s="87">
        <v>26.963240656722199</v>
      </c>
      <c r="AZ46" s="87">
        <v>0</v>
      </c>
      <c r="BA46" s="87">
        <v>37.376562189244503</v>
      </c>
      <c r="BB46" s="87">
        <v>0</v>
      </c>
      <c r="BC46" s="87">
        <v>0</v>
      </c>
      <c r="BD46" s="87">
        <v>0</v>
      </c>
    </row>
    <row r="47" spans="1:56" ht="11.25" customHeight="1" x14ac:dyDescent="0.3">
      <c r="A47" s="120"/>
      <c r="B47" s="120"/>
      <c r="C47" s="120"/>
      <c r="D47" s="120"/>
      <c r="E47" s="120"/>
      <c r="F47" s="120"/>
      <c r="G47" s="21" t="s">
        <v>74</v>
      </c>
      <c r="H47" s="21" t="s">
        <v>72</v>
      </c>
      <c r="I47" s="21">
        <f>'MERCADO TUSD'!$U$44</f>
        <v>2.8279999999999998</v>
      </c>
      <c r="J47" s="17"/>
      <c r="L47" s="87">
        <f>('TUSD BE'!$L$47+'TUSD BF'!$L$47+'TUSD CVA'!$L$47)*1</f>
        <v>13.958780755873175</v>
      </c>
      <c r="M47" s="87">
        <f>('TUSD BE'!$M$47+'TUSD BF'!$M$47+'TUSD CVA'!$M$47)*1</f>
        <v>3.2743212971141831</v>
      </c>
      <c r="N47" s="87">
        <f ca="1">('TUSD BE'!$N$47+'TUSD BF'!$N$47+'TUSD CVA'!$N$47)*1</f>
        <v>0</v>
      </c>
      <c r="O47" s="87">
        <f>('TUSD BE'!$O$47+'TUSD BF'!$O$47+'TUSD CVA'!$O$47)*1</f>
        <v>0</v>
      </c>
      <c r="P47" s="87">
        <f>('TUSD BE'!$P$47+'TUSD BF'!$P$47+'TUSD CVA'!$P$47)*1</f>
        <v>0</v>
      </c>
      <c r="Q47" s="87">
        <f>('TUSD BE'!$Q$47+'TUSD BF'!$Q$47+'TUSD CVA'!$Q$47)*1</f>
        <v>92.177618542593024</v>
      </c>
      <c r="R47" s="87">
        <f>('TUSD BE'!$R$47+'TUSD BF'!$R$47+'TUSD CVA'!$R$47)*1</f>
        <v>15.281700625331972</v>
      </c>
      <c r="S47" s="87">
        <f>('TUSD BE'!$S$47+'TUSD BF'!$S$47+'TUSD CVA'!$S$47)*1</f>
        <v>0</v>
      </c>
      <c r="T47" s="87">
        <f>('TUSD BE'!$U$47+'TUSD BF'!$U$47+'TUSD CVA'!$U$47)*1</f>
        <v>0</v>
      </c>
      <c r="U47" s="87">
        <f>('TUSD BE'!$V$47+'TUSD BF'!$V$47+'TUSD CVA'!$V$47)*1</f>
        <v>0</v>
      </c>
      <c r="V47" s="87">
        <f>('TUSD BE'!$W$47+'TUSD BF'!$W$47+'TUSD CVA'!$W$47)*1</f>
        <v>0</v>
      </c>
      <c r="W47" s="87">
        <f>('TUSD BE'!$X$47+'TUSD BF'!$X$47+'TUSD CVA'!$X$47)*1</f>
        <v>0</v>
      </c>
      <c r="X47" s="87">
        <f>('TUSD BE'!$Y$47+'TUSD BF'!$Y$47+'TUSD CVA'!$Y$47)*1</f>
        <v>161.08888658019404</v>
      </c>
      <c r="Y47" s="87">
        <f>('TUSD BE'!$Z$47+'TUSD BF'!$Z$47+'TUSD CVA'!$Z$47)*1</f>
        <v>0</v>
      </c>
      <c r="Z47" s="87">
        <f>('TUSD BE'!$AA$47+'TUSD BF'!$AA$47+'TUSD CVA'!$AA$47)*1</f>
        <v>0</v>
      </c>
      <c r="AA47" s="87">
        <f>('TUSD BE'!$AC$47+'TUSD BF'!$AC$47+'TUSD CVA'!$AC$47)*1</f>
        <v>333.46855211387174</v>
      </c>
      <c r="AB47" s="87">
        <f ca="1">('TUSD BE'!$AE$47+'TUSD BF'!$AE$47+'TUSD CVA'!$AE$47)*1</f>
        <v>0</v>
      </c>
      <c r="AC47" s="87">
        <f ca="1">('TUSD BE'!$AF$47+'TUSD BF'!$AF$47+'TUSD CVA'!$AF$47)*1</f>
        <v>0</v>
      </c>
      <c r="AD47" s="87">
        <f>('TUSD BE'!$AH$47+'TUSD BF'!$AH$47+'TUSD CVA'!$AH$47)*1</f>
        <v>30.16273832176805</v>
      </c>
      <c r="AE47" s="87">
        <f>('TUSD BE'!$AI$47+'TUSD BF'!$AI$47+'TUSD CVA'!$AI$47)*1</f>
        <v>0</v>
      </c>
      <c r="AF47" s="87">
        <f ca="1">('TUSD BE'!$AJ$47+'TUSD BF'!$AJ$47+'TUSD CVA'!$AJ$47)*1</f>
        <v>16.453178777209224</v>
      </c>
      <c r="AG47" s="87">
        <f ca="1">('TUSD BE'!$AK$47+'TUSD BF'!$AK$47+'TUSD CVA'!$AK$47)*1</f>
        <v>0</v>
      </c>
      <c r="AI47" s="87">
        <v>0</v>
      </c>
      <c r="AJ47" s="87">
        <v>2.5938147487226599</v>
      </c>
      <c r="AK47" s="87">
        <v>0</v>
      </c>
      <c r="AL47" s="87">
        <v>0</v>
      </c>
      <c r="AM47" s="87">
        <v>0</v>
      </c>
      <c r="AN47" s="87">
        <v>74.434435828350402</v>
      </c>
      <c r="AO47" s="87">
        <v>9.4560662437895306</v>
      </c>
      <c r="AP47" s="87">
        <v>0</v>
      </c>
      <c r="AQ47" s="87">
        <v>0</v>
      </c>
      <c r="AR47" s="87">
        <v>0</v>
      </c>
      <c r="AS47" s="87">
        <v>0</v>
      </c>
      <c r="AT47" s="87">
        <v>0</v>
      </c>
      <c r="AU47" s="87">
        <v>147.90187349986101</v>
      </c>
      <c r="AV47" s="87">
        <v>0</v>
      </c>
      <c r="AW47" s="87">
        <v>0</v>
      </c>
      <c r="AX47" s="87">
        <v>296.055062870391</v>
      </c>
      <c r="AY47" s="87">
        <v>10.436066170291801</v>
      </c>
      <c r="AZ47" s="87">
        <v>0</v>
      </c>
      <c r="BA47" s="87">
        <v>37.376562189244503</v>
      </c>
      <c r="BB47" s="87">
        <v>0</v>
      </c>
      <c r="BC47" s="87">
        <v>0</v>
      </c>
      <c r="BD47" s="87">
        <v>0</v>
      </c>
    </row>
    <row r="48" spans="1:56" ht="11.25" customHeight="1" x14ac:dyDescent="0.3">
      <c r="A48" s="120"/>
      <c r="B48" s="89" t="s">
        <v>23</v>
      </c>
      <c r="C48" s="89" t="s">
        <v>25</v>
      </c>
      <c r="D48" s="89" t="s">
        <v>25</v>
      </c>
      <c r="E48" s="89" t="s">
        <v>25</v>
      </c>
      <c r="F48" s="89" t="s">
        <v>25</v>
      </c>
      <c r="G48" s="21" t="s">
        <v>76</v>
      </c>
      <c r="H48" s="21" t="s">
        <v>72</v>
      </c>
      <c r="I48" s="21">
        <f>'MERCADO TUSD'!$U$45</f>
        <v>1798.9960000000001</v>
      </c>
      <c r="J48" s="17"/>
      <c r="L48" s="87">
        <f>('TUSD BE'!$L$48+'TUSD BF'!$L$48+'TUSD CVA'!$L$48)*1</f>
        <v>13.958780755873175</v>
      </c>
      <c r="M48" s="87">
        <f>('TUSD BE'!$M$48+'TUSD BF'!$M$48+'TUSD CVA'!$M$48)*1</f>
        <v>3.2743212971141831</v>
      </c>
      <c r="N48" s="87">
        <f ca="1">('TUSD BE'!$N$48+'TUSD BF'!$N$48+'TUSD CVA'!$N$48)*1</f>
        <v>0</v>
      </c>
      <c r="O48" s="87">
        <f>('TUSD BE'!$O$48+'TUSD BF'!$O$48+'TUSD CVA'!$O$48)*1</f>
        <v>0</v>
      </c>
      <c r="P48" s="87">
        <f>('TUSD BE'!$P$48+'TUSD BF'!$P$48+'TUSD CVA'!$P$48)*1</f>
        <v>0</v>
      </c>
      <c r="Q48" s="87">
        <f>('TUSD BE'!$Q$48+'TUSD BF'!$Q$48+'TUSD CVA'!$Q$48)*1</f>
        <v>92.177618542593024</v>
      </c>
      <c r="R48" s="87">
        <f>('TUSD BE'!$R$48+'TUSD BF'!$R$48+'TUSD CVA'!$R$48)*1</f>
        <v>15.281700625331972</v>
      </c>
      <c r="S48" s="87">
        <f>('TUSD BE'!$S$48+'TUSD BF'!$S$48+'TUSD CVA'!$S$48)*1</f>
        <v>0</v>
      </c>
      <c r="T48" s="87">
        <f>('TUSD BE'!$U$48+'TUSD BF'!$U$48+'TUSD CVA'!$U$48)*1</f>
        <v>0</v>
      </c>
      <c r="U48" s="87">
        <f>('TUSD BE'!$V$48+'TUSD BF'!$V$48+'TUSD CVA'!$V$48)*1</f>
        <v>0</v>
      </c>
      <c r="V48" s="87">
        <f>('TUSD BE'!$W$48+'TUSD BF'!$W$48+'TUSD CVA'!$W$48)*1</f>
        <v>0</v>
      </c>
      <c r="W48" s="87">
        <f>('TUSD BE'!$X$48+'TUSD BF'!$X$48+'TUSD CVA'!$X$48)*1</f>
        <v>0</v>
      </c>
      <c r="X48" s="87">
        <f>('TUSD BE'!$Y$48+'TUSD BF'!$Y$48+'TUSD CVA'!$Y$48)*1</f>
        <v>264.07893727929684</v>
      </c>
      <c r="Y48" s="87">
        <f>('TUSD BE'!$Z$48+'TUSD BF'!$Z$48+'TUSD CVA'!$Z$48)*1</f>
        <v>0</v>
      </c>
      <c r="Z48" s="87">
        <f>('TUSD BE'!$AA$48+'TUSD BF'!$AA$48+'TUSD CVA'!$AA$48)*1</f>
        <v>0</v>
      </c>
      <c r="AA48" s="87">
        <f>('TUSD BE'!$AC$48+'TUSD BF'!$AC$48+'TUSD CVA'!$AC$48)*1</f>
        <v>546.6700631224686</v>
      </c>
      <c r="AB48" s="87">
        <f ca="1">('TUSD BE'!$AE$48+'TUSD BF'!$AE$48+'TUSD CVA'!$AE$48)*1</f>
        <v>0</v>
      </c>
      <c r="AC48" s="87">
        <f ca="1">('TUSD BE'!$AF$48+'TUSD BF'!$AF$48+'TUSD CVA'!$AF$48)*1</f>
        <v>0</v>
      </c>
      <c r="AD48" s="87">
        <f>('TUSD BE'!$AH$48+'TUSD BF'!$AH$48+'TUSD CVA'!$AH$48)*1</f>
        <v>30.16273832176805</v>
      </c>
      <c r="AE48" s="87">
        <f>('TUSD BE'!$AI$48+'TUSD BF'!$AI$48+'TUSD CVA'!$AI$48)*1</f>
        <v>0</v>
      </c>
      <c r="AF48" s="87">
        <f ca="1">('TUSD BE'!$AJ$48+'TUSD BF'!$AJ$48+'TUSD CVA'!$AJ$48)*1</f>
        <v>16.453178777209224</v>
      </c>
      <c r="AG48" s="87">
        <f ca="1">('TUSD BE'!$AK$48+'TUSD BF'!$AK$48+'TUSD CVA'!$AK$48)*1</f>
        <v>0</v>
      </c>
      <c r="AI48" s="87">
        <v>0</v>
      </c>
      <c r="AJ48" s="87">
        <v>2.5938147487226599</v>
      </c>
      <c r="AK48" s="87">
        <v>0</v>
      </c>
      <c r="AL48" s="87">
        <v>0</v>
      </c>
      <c r="AM48" s="87">
        <v>0</v>
      </c>
      <c r="AN48" s="87">
        <v>74.434435828350402</v>
      </c>
      <c r="AO48" s="87">
        <v>9.4560662437895306</v>
      </c>
      <c r="AP48" s="87">
        <v>0</v>
      </c>
      <c r="AQ48" s="87">
        <v>0</v>
      </c>
      <c r="AR48" s="87">
        <v>0</v>
      </c>
      <c r="AS48" s="87">
        <v>0</v>
      </c>
      <c r="AT48" s="87">
        <v>0</v>
      </c>
      <c r="AU48" s="87">
        <v>242.46411851001301</v>
      </c>
      <c r="AV48" s="87">
        <v>0</v>
      </c>
      <c r="AW48" s="87">
        <v>0</v>
      </c>
      <c r="AX48" s="87">
        <v>485.33622070453498</v>
      </c>
      <c r="AY48" s="87">
        <v>15.7193589513557</v>
      </c>
      <c r="AZ48" s="87">
        <v>0</v>
      </c>
      <c r="BA48" s="87">
        <v>37.376562189244503</v>
      </c>
      <c r="BB48" s="87">
        <v>0</v>
      </c>
      <c r="BC48" s="87">
        <v>0</v>
      </c>
      <c r="BD48" s="87">
        <v>0</v>
      </c>
    </row>
    <row r="49" spans="1:56" ht="11.25" customHeight="1" x14ac:dyDescent="0.3">
      <c r="A49" s="120"/>
      <c r="B49" s="89" t="s">
        <v>87</v>
      </c>
      <c r="C49" s="89" t="s">
        <v>25</v>
      </c>
      <c r="D49" s="89" t="s">
        <v>25</v>
      </c>
      <c r="E49" s="89" t="s">
        <v>25</v>
      </c>
      <c r="F49" s="89" t="s">
        <v>25</v>
      </c>
      <c r="G49" s="21" t="s">
        <v>76</v>
      </c>
      <c r="H49" s="21" t="s">
        <v>72</v>
      </c>
      <c r="I49" s="21">
        <f>'MERCADO TUSD'!$U$46</f>
        <v>0</v>
      </c>
      <c r="J49" s="17"/>
      <c r="L49" s="87">
        <f>('TUSD BE'!$L$49+'TUSD BF'!$L$49+'TUSD CVA'!$L$49)*1</f>
        <v>13.958780755873175</v>
      </c>
      <c r="M49" s="87">
        <f>('TUSD BE'!$M$49+'TUSD BF'!$M$49+'TUSD CVA'!$M$49)*1</f>
        <v>3.2743212971141831</v>
      </c>
      <c r="N49" s="87">
        <f ca="1">('TUSD BE'!$N$49+'TUSD BF'!$N$49+'TUSD CVA'!$N$49)*1</f>
        <v>0</v>
      </c>
      <c r="O49" s="87">
        <f>('TUSD BE'!$O$49+'TUSD BF'!$O$49+'TUSD CVA'!$O$49)*1</f>
        <v>0</v>
      </c>
      <c r="P49" s="87">
        <f>('TUSD BE'!$P$49+'TUSD BF'!$P$49+'TUSD CVA'!$P$49)*1</f>
        <v>0</v>
      </c>
      <c r="Q49" s="87">
        <f>('TUSD BE'!$Q$49+'TUSD BF'!$Q$49+'TUSD CVA'!$Q$49)*1</f>
        <v>92.177618542593024</v>
      </c>
      <c r="R49" s="87">
        <f>('TUSD BE'!$R$49+'TUSD BF'!$R$49+'TUSD CVA'!$R$49)*1</f>
        <v>15.281700625331972</v>
      </c>
      <c r="S49" s="87">
        <f>('TUSD BE'!$S$49+'TUSD BF'!$S$49+'TUSD CVA'!$S$49)*1</f>
        <v>0</v>
      </c>
      <c r="T49" s="87">
        <f>('TUSD BE'!$U$49+'TUSD BF'!$U$49+'TUSD CVA'!$U$49)*1</f>
        <v>0</v>
      </c>
      <c r="U49" s="87">
        <f>('TUSD BE'!$V$49+'TUSD BF'!$V$49+'TUSD CVA'!$V$49)*1</f>
        <v>0</v>
      </c>
      <c r="V49" s="87">
        <f>('TUSD BE'!$W$49+'TUSD BF'!$W$49+'TUSD CVA'!$W$49)*1</f>
        <v>0</v>
      </c>
      <c r="W49" s="87">
        <f>('TUSD BE'!$X$49+'TUSD BF'!$X$49+'TUSD CVA'!$X$49)*1</f>
        <v>0</v>
      </c>
      <c r="X49" s="87">
        <f>('TUSD BE'!$Y$49+'TUSD BF'!$Y$49+'TUSD CVA'!$Y$49)*1</f>
        <v>264.07893727929684</v>
      </c>
      <c r="Y49" s="87">
        <f>('TUSD BE'!$Z$49+'TUSD BF'!$Z$49+'TUSD CVA'!$Z$49)*1</f>
        <v>0</v>
      </c>
      <c r="Z49" s="87">
        <f>('TUSD BE'!$AA$49+'TUSD BF'!$AA$49+'TUSD CVA'!$AA$49)*1</f>
        <v>0</v>
      </c>
      <c r="AA49" s="87">
        <f>('TUSD BE'!$AC$49+'TUSD BF'!$AC$49+'TUSD CVA'!$AC$49)*1</f>
        <v>546.6700631224686</v>
      </c>
      <c r="AB49" s="87">
        <f ca="1">('TUSD BE'!$AE$49+'TUSD BF'!$AE$49+'TUSD CVA'!$AE$49)*1</f>
        <v>0</v>
      </c>
      <c r="AC49" s="87">
        <f ca="1">('TUSD BE'!$AF$49+'TUSD BF'!$AF$49+'TUSD CVA'!$AF$49)*1</f>
        <v>0</v>
      </c>
      <c r="AD49" s="87">
        <f>('TUSD BE'!$AH$49+'TUSD BF'!$AH$49+'TUSD CVA'!$AH$49)*1</f>
        <v>30.16273832176805</v>
      </c>
      <c r="AE49" s="87">
        <f>('TUSD BE'!$AI$49+'TUSD BF'!$AI$49+'TUSD CVA'!$AI$49)*1</f>
        <v>0</v>
      </c>
      <c r="AF49" s="87">
        <f ca="1">('TUSD BE'!$AJ$49+'TUSD BF'!$AJ$49+'TUSD CVA'!$AJ$49)*1</f>
        <v>16.453178777209224</v>
      </c>
      <c r="AG49" s="87">
        <f ca="1">('TUSD BE'!$AK$49+'TUSD BF'!$AK$49+'TUSD CVA'!$AK$49)*1</f>
        <v>0</v>
      </c>
      <c r="AI49" s="87">
        <v>0</v>
      </c>
      <c r="AJ49" s="87">
        <v>2.5938147487226599</v>
      </c>
      <c r="AK49" s="87">
        <v>0</v>
      </c>
      <c r="AL49" s="87">
        <v>0</v>
      </c>
      <c r="AM49" s="87">
        <v>0</v>
      </c>
      <c r="AN49" s="87">
        <v>74.434435828350402</v>
      </c>
      <c r="AO49" s="87">
        <v>9.4560662437895306</v>
      </c>
      <c r="AP49" s="87">
        <v>0</v>
      </c>
      <c r="AQ49" s="87">
        <v>0</v>
      </c>
      <c r="AR49" s="87">
        <v>0</v>
      </c>
      <c r="AS49" s="87">
        <v>0</v>
      </c>
      <c r="AT49" s="87">
        <v>0</v>
      </c>
      <c r="AU49" s="87">
        <v>242.46411851001301</v>
      </c>
      <c r="AV49" s="87">
        <v>0</v>
      </c>
      <c r="AW49" s="87">
        <v>0</v>
      </c>
      <c r="AX49" s="87">
        <v>485.33622070453498</v>
      </c>
      <c r="AY49" s="87">
        <v>15.7193589513557</v>
      </c>
      <c r="AZ49" s="87">
        <v>0</v>
      </c>
      <c r="BA49" s="87">
        <v>37.376562189244503</v>
      </c>
      <c r="BB49" s="87">
        <v>0</v>
      </c>
      <c r="BC49" s="87">
        <v>0</v>
      </c>
      <c r="BD49" s="87">
        <v>0</v>
      </c>
    </row>
    <row r="50" spans="1:56" ht="11.25" customHeight="1" x14ac:dyDescent="0.3">
      <c r="A50" s="120" t="s">
        <v>46</v>
      </c>
      <c r="B50" s="120" t="s">
        <v>23</v>
      </c>
      <c r="C50" s="120" t="s">
        <v>47</v>
      </c>
      <c r="D50" s="89" t="s">
        <v>48</v>
      </c>
      <c r="E50" s="89" t="s">
        <v>25</v>
      </c>
      <c r="F50" s="89" t="s">
        <v>25</v>
      </c>
      <c r="G50" s="21" t="s">
        <v>76</v>
      </c>
      <c r="H50" s="21" t="s">
        <v>72</v>
      </c>
      <c r="I50" s="21">
        <f>'MERCADO TUSD'!$U$47</f>
        <v>3164.4159999999997</v>
      </c>
      <c r="J50" s="17"/>
      <c r="L50" s="87">
        <f>('TUSD BE'!$L$50+'TUSD BF'!$L$50+'TUSD CVA'!$L$50)*1</f>
        <v>7.677329415730247</v>
      </c>
      <c r="M50" s="87">
        <f>('TUSD BE'!$M$50+'TUSD BF'!$M$50+'TUSD CVA'!$M$50)*1</f>
        <v>1.800876713412801</v>
      </c>
      <c r="N50" s="87">
        <f ca="1">('TUSD BE'!$N$50+'TUSD BF'!$N$50+'TUSD CVA'!$N$50)*1</f>
        <v>0</v>
      </c>
      <c r="O50" s="87">
        <f>('TUSD BE'!$O$50+'TUSD BF'!$O$50+'TUSD CVA'!$O$50)*1</f>
        <v>0</v>
      </c>
      <c r="P50" s="87">
        <f>('TUSD BE'!$P$50+'TUSD BF'!$P$50+'TUSD CVA'!$P$50)*1</f>
        <v>0</v>
      </c>
      <c r="Q50" s="87">
        <f>('TUSD BE'!$Q$50+'TUSD BF'!$Q$50+'TUSD CVA'!$Q$50)*1</f>
        <v>50.697690198426173</v>
      </c>
      <c r="R50" s="87">
        <f>('TUSD BE'!$R$50+'TUSD BF'!$R$50+'TUSD CVA'!$R$50)*1</f>
        <v>8.4049353439325856</v>
      </c>
      <c r="S50" s="87">
        <f>('TUSD BE'!$S$50+'TUSD BF'!$S$50+'TUSD CVA'!$S$50)*1</f>
        <v>0</v>
      </c>
      <c r="T50" s="87">
        <f>('TUSD BE'!$U$50+'TUSD BF'!$U$50+'TUSD CVA'!$U$50)*1</f>
        <v>0</v>
      </c>
      <c r="U50" s="87">
        <f>('TUSD BE'!$V$50+'TUSD BF'!$V$50+'TUSD CVA'!$V$50)*1</f>
        <v>0</v>
      </c>
      <c r="V50" s="87">
        <f>('TUSD BE'!$W$50+'TUSD BF'!$W$50+'TUSD CVA'!$W$50)*1</f>
        <v>0</v>
      </c>
      <c r="W50" s="87">
        <f>('TUSD BE'!$X$50+'TUSD BF'!$X$50+'TUSD CVA'!$X$50)*1</f>
        <v>0</v>
      </c>
      <c r="X50" s="87">
        <f>('TUSD BE'!$Y$50+'TUSD BF'!$Y$50+'TUSD CVA'!$Y$50)*1</f>
        <v>145.24341550361331</v>
      </c>
      <c r="Y50" s="87">
        <f>('TUSD BE'!$Z$50+'TUSD BF'!$Z$50+'TUSD CVA'!$Z$50)*1</f>
        <v>0</v>
      </c>
      <c r="Z50" s="87">
        <f>('TUSD BE'!$AA$50+'TUSD BF'!$AA$50+'TUSD CVA'!$AA$50)*1</f>
        <v>0</v>
      </c>
      <c r="AA50" s="87">
        <f>('TUSD BE'!$AC$50+'TUSD BF'!$AC$50+'TUSD CVA'!$AC$50)*1</f>
        <v>300.66853471735777</v>
      </c>
      <c r="AB50" s="87">
        <f ca="1">('TUSD BE'!$AE$50+'TUSD BF'!$AE$50+'TUSD CVA'!$AE$50)*1</f>
        <v>0</v>
      </c>
      <c r="AC50" s="87">
        <f ca="1">('TUSD BE'!$AF$50+'TUSD BF'!$AF$50+'TUSD CVA'!$AF$50)*1</f>
        <v>0</v>
      </c>
      <c r="AD50" s="87">
        <f>('TUSD BE'!$AH$50+'TUSD BF'!$AH$50+'TUSD CVA'!$AH$50)*1</f>
        <v>16.589506076972427</v>
      </c>
      <c r="AE50" s="87">
        <f>('TUSD BE'!$AI$50+'TUSD BF'!$AI$50+'TUSD CVA'!$AI$50)*1</f>
        <v>0</v>
      </c>
      <c r="AF50" s="87">
        <f ca="1">('TUSD BE'!$AJ$50+'TUSD BF'!$AJ$50+'TUSD CVA'!$AJ$50)*1</f>
        <v>9.0492483274650724</v>
      </c>
      <c r="AG50" s="87">
        <f ca="1">('TUSD BE'!$AK$50+'TUSD BF'!$AK$50+'TUSD CVA'!$AK$50)*1</f>
        <v>0</v>
      </c>
      <c r="AI50" s="87">
        <v>0</v>
      </c>
      <c r="AJ50" s="87">
        <v>1.42659811179746</v>
      </c>
      <c r="AK50" s="87">
        <v>0</v>
      </c>
      <c r="AL50" s="87">
        <v>0</v>
      </c>
      <c r="AM50" s="87">
        <v>0</v>
      </c>
      <c r="AN50" s="87">
        <v>40.938939705592702</v>
      </c>
      <c r="AO50" s="87">
        <v>5.2008364340842403</v>
      </c>
      <c r="AP50" s="87">
        <v>0</v>
      </c>
      <c r="AQ50" s="87">
        <v>0</v>
      </c>
      <c r="AR50" s="87">
        <v>0</v>
      </c>
      <c r="AS50" s="87">
        <v>0</v>
      </c>
      <c r="AT50" s="87">
        <v>0</v>
      </c>
      <c r="AU50" s="87">
        <v>133.35526518050699</v>
      </c>
      <c r="AV50" s="87">
        <v>0</v>
      </c>
      <c r="AW50" s="87">
        <v>0</v>
      </c>
      <c r="AX50" s="87">
        <v>266.934921387494</v>
      </c>
      <c r="AY50" s="87">
        <v>8.6456474232456504</v>
      </c>
      <c r="AZ50" s="87">
        <v>0</v>
      </c>
      <c r="BA50" s="87">
        <v>20.557109204084501</v>
      </c>
      <c r="BB50" s="87">
        <v>0</v>
      </c>
      <c r="BC50" s="87">
        <v>0</v>
      </c>
      <c r="BD50" s="87">
        <v>0</v>
      </c>
    </row>
    <row r="51" spans="1:56" ht="11.25" customHeight="1" x14ac:dyDescent="0.3">
      <c r="A51" s="120"/>
      <c r="B51" s="120"/>
      <c r="C51" s="120"/>
      <c r="D51" s="21" t="s">
        <v>90</v>
      </c>
      <c r="E51" s="21" t="s">
        <v>25</v>
      </c>
      <c r="F51" s="21" t="s">
        <v>25</v>
      </c>
      <c r="G51" s="21" t="s">
        <v>76</v>
      </c>
      <c r="H51" s="21" t="s">
        <v>72</v>
      </c>
      <c r="I51" s="21">
        <f>'MERCADO TUSD'!$U$48</f>
        <v>0</v>
      </c>
      <c r="J51" s="17"/>
      <c r="L51" s="87">
        <f>('TUSD BE'!$L$51+'TUSD BF'!$L$51+'TUSD CVA'!$L$51)*1</f>
        <v>8.3752684535239048</v>
      </c>
      <c r="M51" s="87">
        <f>('TUSD BE'!$M$51+'TUSD BF'!$M$51+'TUSD CVA'!$M$51)*1</f>
        <v>1.9645927782685098</v>
      </c>
      <c r="N51" s="87">
        <f ca="1">('TUSD BE'!$N$51+'TUSD BF'!$N$51+'TUSD CVA'!$N$51)*1</f>
        <v>0</v>
      </c>
      <c r="O51" s="87">
        <f>('TUSD BE'!$O$51+'TUSD BF'!$O$51+'TUSD CVA'!$O$51)*1</f>
        <v>0</v>
      </c>
      <c r="P51" s="87">
        <f>('TUSD BE'!$P$51+'TUSD BF'!$P$51+'TUSD CVA'!$P$51)*1</f>
        <v>0</v>
      </c>
      <c r="Q51" s="87">
        <f>('TUSD BE'!$Q$51+'TUSD BF'!$Q$51+'TUSD CVA'!$Q$51)*1</f>
        <v>55.30657112555582</v>
      </c>
      <c r="R51" s="87">
        <f>('TUSD BE'!$R$51+'TUSD BF'!$R$51+'TUSD CVA'!$R$51)*1</f>
        <v>9.1690203751991834</v>
      </c>
      <c r="S51" s="87">
        <f>('TUSD BE'!$S$51+'TUSD BF'!$S$51+'TUSD CVA'!$S$51)*1</f>
        <v>0</v>
      </c>
      <c r="T51" s="87">
        <f>('TUSD BE'!$U$51+'TUSD BF'!$U$51+'TUSD CVA'!$U$51)*1</f>
        <v>0</v>
      </c>
      <c r="U51" s="87">
        <f>('TUSD BE'!$V$51+'TUSD BF'!$V$51+'TUSD CVA'!$V$51)*1</f>
        <v>0</v>
      </c>
      <c r="V51" s="87">
        <f>('TUSD BE'!$W$51+'TUSD BF'!$W$51+'TUSD CVA'!$W$51)*1</f>
        <v>0</v>
      </c>
      <c r="W51" s="87">
        <f>('TUSD BE'!$X$51+'TUSD BF'!$X$51+'TUSD CVA'!$X$51)*1</f>
        <v>0</v>
      </c>
      <c r="X51" s="87">
        <f>('TUSD BE'!$Y$51+'TUSD BF'!$Y$51+'TUSD CVA'!$Y$51)*1</f>
        <v>158.44736236757811</v>
      </c>
      <c r="Y51" s="87">
        <f>('TUSD BE'!$Z$51+'TUSD BF'!$Z$51+'TUSD CVA'!$Z$51)*1</f>
        <v>0</v>
      </c>
      <c r="Z51" s="87">
        <f>('TUSD BE'!$AA$51+'TUSD BF'!$AA$51+'TUSD CVA'!$AA$51)*1</f>
        <v>0</v>
      </c>
      <c r="AA51" s="87">
        <f>('TUSD BE'!$AC$51+'TUSD BF'!$AC$51+'TUSD CVA'!$AC$51)*1</f>
        <v>328.00203787348113</v>
      </c>
      <c r="AB51" s="87">
        <f ca="1">('TUSD BE'!$AE$51+'TUSD BF'!$AE$51+'TUSD CVA'!$AE$51)*1</f>
        <v>0</v>
      </c>
      <c r="AC51" s="87">
        <f ca="1">('TUSD BE'!$AF$51+'TUSD BF'!$AF$51+'TUSD CVA'!$AF$51)*1</f>
        <v>0</v>
      </c>
      <c r="AD51" s="87">
        <f>('TUSD BE'!$AH$51+'TUSD BF'!$AH$51+'TUSD CVA'!$AH$51)*1</f>
        <v>18.097642993060827</v>
      </c>
      <c r="AE51" s="87">
        <f>('TUSD BE'!$AI$51+'TUSD BF'!$AI$51+'TUSD CVA'!$AI$51)*1</f>
        <v>0</v>
      </c>
      <c r="AF51" s="87">
        <f ca="1">('TUSD BE'!$AJ$51+'TUSD BF'!$AJ$51+'TUSD CVA'!$AJ$51)*1</f>
        <v>9.8719072663255325</v>
      </c>
      <c r="AG51" s="87">
        <f ca="1">('TUSD BE'!$AK$51+'TUSD BF'!$AK$51+'TUSD CVA'!$AK$51)*1</f>
        <v>0</v>
      </c>
      <c r="AI51" s="87">
        <v>0</v>
      </c>
      <c r="AJ51" s="87">
        <v>1.5562888492336</v>
      </c>
      <c r="AK51" s="87">
        <v>0</v>
      </c>
      <c r="AL51" s="87">
        <v>0</v>
      </c>
      <c r="AM51" s="87">
        <v>0</v>
      </c>
      <c r="AN51" s="87">
        <v>44.660661497010203</v>
      </c>
      <c r="AO51" s="87">
        <v>5.67363974627371</v>
      </c>
      <c r="AP51" s="87">
        <v>0</v>
      </c>
      <c r="AQ51" s="87">
        <v>0</v>
      </c>
      <c r="AR51" s="87">
        <v>0</v>
      </c>
      <c r="AS51" s="87">
        <v>0</v>
      </c>
      <c r="AT51" s="87">
        <v>0</v>
      </c>
      <c r="AU51" s="87">
        <v>145.47847110600799</v>
      </c>
      <c r="AV51" s="87">
        <v>0</v>
      </c>
      <c r="AW51" s="87">
        <v>0</v>
      </c>
      <c r="AX51" s="87">
        <v>291.20173242272102</v>
      </c>
      <c r="AY51" s="87">
        <v>9.4316153708134394</v>
      </c>
      <c r="AZ51" s="87">
        <v>0</v>
      </c>
      <c r="BA51" s="87">
        <v>22.425937313546701</v>
      </c>
      <c r="BB51" s="87">
        <v>0</v>
      </c>
      <c r="BC51" s="87">
        <v>0</v>
      </c>
      <c r="BD51" s="87">
        <v>0</v>
      </c>
    </row>
    <row r="53" spans="1:56" ht="11.25" customHeight="1" x14ac:dyDescent="0.3">
      <c r="L53" s="122" t="s">
        <v>771</v>
      </c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I53" s="122" t="s">
        <v>772</v>
      </c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</row>
    <row r="54" spans="1:56" ht="11.25" customHeight="1" x14ac:dyDescent="0.3">
      <c r="L54" s="122" t="s">
        <v>470</v>
      </c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I54" s="122" t="s">
        <v>470</v>
      </c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</row>
    <row r="55" spans="1:56" ht="11.25" customHeight="1" x14ac:dyDescent="0.3">
      <c r="L55" s="122" t="s">
        <v>471</v>
      </c>
      <c r="M55" s="122"/>
      <c r="N55" s="122"/>
      <c r="O55" s="122"/>
      <c r="P55" s="122"/>
      <c r="Q55" s="122"/>
      <c r="R55" s="122"/>
      <c r="S55" s="122"/>
      <c r="T55" s="122" t="s">
        <v>480</v>
      </c>
      <c r="U55" s="122"/>
      <c r="V55" s="122"/>
      <c r="W55" s="122"/>
      <c r="X55" s="122"/>
      <c r="Y55" s="122"/>
      <c r="Z55" s="122"/>
      <c r="AA55" s="88" t="s">
        <v>488</v>
      </c>
      <c r="AB55" s="122" t="s">
        <v>490</v>
      </c>
      <c r="AC55" s="122"/>
      <c r="AD55" s="122" t="s">
        <v>493</v>
      </c>
      <c r="AE55" s="122"/>
      <c r="AF55" s="122"/>
      <c r="AG55" s="122"/>
      <c r="AI55" s="122" t="s">
        <v>471</v>
      </c>
      <c r="AJ55" s="122"/>
      <c r="AK55" s="122"/>
      <c r="AL55" s="122"/>
      <c r="AM55" s="122"/>
      <c r="AN55" s="122"/>
      <c r="AO55" s="122"/>
      <c r="AP55" s="122"/>
      <c r="AQ55" s="122" t="s">
        <v>480</v>
      </c>
      <c r="AR55" s="122"/>
      <c r="AS55" s="122"/>
      <c r="AT55" s="122"/>
      <c r="AU55" s="122"/>
      <c r="AV55" s="122"/>
      <c r="AW55" s="122"/>
      <c r="AX55" s="88" t="s">
        <v>488</v>
      </c>
      <c r="AY55" s="122" t="s">
        <v>490</v>
      </c>
      <c r="AZ55" s="122"/>
      <c r="BA55" s="122" t="s">
        <v>493</v>
      </c>
      <c r="BB55" s="122"/>
      <c r="BC55" s="122"/>
      <c r="BD55" s="122"/>
    </row>
    <row r="56" spans="1:56" ht="11.25" customHeight="1" x14ac:dyDescent="0.3">
      <c r="L56" s="88" t="s">
        <v>555</v>
      </c>
      <c r="M56" s="88" t="s">
        <v>472</v>
      </c>
      <c r="N56" s="88" t="s">
        <v>473</v>
      </c>
      <c r="O56" s="88" t="s">
        <v>474</v>
      </c>
      <c r="P56" s="88" t="s">
        <v>475</v>
      </c>
      <c r="Q56" s="88" t="s">
        <v>476</v>
      </c>
      <c r="R56" s="88" t="s">
        <v>477</v>
      </c>
      <c r="S56" s="88" t="s">
        <v>478</v>
      </c>
      <c r="T56" s="88" t="s">
        <v>481</v>
      </c>
      <c r="U56" s="88" t="s">
        <v>482</v>
      </c>
      <c r="V56" s="88" t="s">
        <v>483</v>
      </c>
      <c r="W56" s="88" t="s">
        <v>484</v>
      </c>
      <c r="X56" s="88" t="s">
        <v>485</v>
      </c>
      <c r="Y56" s="88" t="s">
        <v>486</v>
      </c>
      <c r="Z56" s="88" t="s">
        <v>487</v>
      </c>
      <c r="AA56" s="88" t="s">
        <v>489</v>
      </c>
      <c r="AB56" s="88" t="s">
        <v>491</v>
      </c>
      <c r="AC56" s="88" t="s">
        <v>492</v>
      </c>
      <c r="AD56" s="88" t="s">
        <v>494</v>
      </c>
      <c r="AE56" s="88" t="s">
        <v>495</v>
      </c>
      <c r="AF56" s="88" t="s">
        <v>496</v>
      </c>
      <c r="AG56" s="88" t="s">
        <v>497</v>
      </c>
      <c r="AI56" s="88" t="s">
        <v>555</v>
      </c>
      <c r="AJ56" s="88" t="s">
        <v>472</v>
      </c>
      <c r="AK56" s="88" t="s">
        <v>473</v>
      </c>
      <c r="AL56" s="88" t="s">
        <v>474</v>
      </c>
      <c r="AM56" s="88" t="s">
        <v>475</v>
      </c>
      <c r="AN56" s="88" t="s">
        <v>476</v>
      </c>
      <c r="AO56" s="88" t="s">
        <v>477</v>
      </c>
      <c r="AP56" s="88" t="s">
        <v>478</v>
      </c>
      <c r="AQ56" s="88" t="s">
        <v>481</v>
      </c>
      <c r="AR56" s="88" t="s">
        <v>482</v>
      </c>
      <c r="AS56" s="88" t="s">
        <v>483</v>
      </c>
      <c r="AT56" s="88" t="s">
        <v>484</v>
      </c>
      <c r="AU56" s="88" t="s">
        <v>485</v>
      </c>
      <c r="AV56" s="88" t="s">
        <v>486</v>
      </c>
      <c r="AW56" s="88" t="s">
        <v>487</v>
      </c>
      <c r="AX56" s="88" t="s">
        <v>489</v>
      </c>
      <c r="AY56" s="88" t="s">
        <v>491</v>
      </c>
      <c r="AZ56" s="88" t="s">
        <v>492</v>
      </c>
      <c r="BA56" s="88" t="s">
        <v>494</v>
      </c>
      <c r="BB56" s="88" t="s">
        <v>495</v>
      </c>
      <c r="BC56" s="88" t="s">
        <v>496</v>
      </c>
      <c r="BD56" s="88" t="s">
        <v>497</v>
      </c>
    </row>
    <row r="57" spans="1:56" ht="11.25" customHeight="1" x14ac:dyDescent="0.3">
      <c r="A57" s="9" t="s">
        <v>37</v>
      </c>
      <c r="B57" s="9" t="s">
        <v>773</v>
      </c>
      <c r="C57" s="9" t="s">
        <v>774</v>
      </c>
      <c r="D57" s="9" t="s">
        <v>775</v>
      </c>
      <c r="E57" s="9" t="s">
        <v>776</v>
      </c>
      <c r="F57" s="9" t="s">
        <v>777</v>
      </c>
      <c r="G57" s="9" t="s">
        <v>778</v>
      </c>
      <c r="L57" s="87">
        <f>$I$5*$L$5</f>
        <v>0</v>
      </c>
      <c r="M57" s="87">
        <f>$I$5*$M$5</f>
        <v>0</v>
      </c>
      <c r="N57" s="87">
        <f ca="1">$I$5*$N$5</f>
        <v>0</v>
      </c>
      <c r="O57" s="87">
        <f>$I$5*$O$5</f>
        <v>0</v>
      </c>
      <c r="P57" s="87">
        <f>$I$5*$P$5</f>
        <v>0</v>
      </c>
      <c r="Q57" s="87">
        <f>$I$5*$Q$5</f>
        <v>0</v>
      </c>
      <c r="R57" s="87">
        <f>$I$5*$R$5</f>
        <v>0</v>
      </c>
      <c r="S57" s="87">
        <f>$I$5*$S$5</f>
        <v>0</v>
      </c>
      <c r="T57" s="87">
        <f>$I$5*$T$5</f>
        <v>0</v>
      </c>
      <c r="U57" s="87">
        <f>$I$5*$U$5</f>
        <v>0</v>
      </c>
      <c r="V57" s="87">
        <f>$I$5*$V$5</f>
        <v>0</v>
      </c>
      <c r="W57" s="87">
        <f>$I$5*$W$5</f>
        <v>0</v>
      </c>
      <c r="X57" s="87">
        <f>$I$5*$X$5</f>
        <v>85004.471113600943</v>
      </c>
      <c r="Y57" s="87">
        <f>$I$5*$Y$5</f>
        <v>0</v>
      </c>
      <c r="Z57" s="87">
        <f>$I$5*$Z$5</f>
        <v>0</v>
      </c>
      <c r="AA57" s="87">
        <f>$I$5*$AA$5</f>
        <v>160197.52757523395</v>
      </c>
      <c r="AB57" s="87">
        <f ca="1">$I$5*$AB$5</f>
        <v>0</v>
      </c>
      <c r="AC57" s="87">
        <f ca="1">$I$5*$AC$5</f>
        <v>0</v>
      </c>
      <c r="AD57" s="87">
        <f>$I$5*$AD$5</f>
        <v>0</v>
      </c>
      <c r="AE57" s="87">
        <f>$I$5*$AE$5</f>
        <v>0</v>
      </c>
      <c r="AF57" s="87">
        <f ca="1">$I$5*$AF$5</f>
        <v>0</v>
      </c>
      <c r="AG57" s="87">
        <f ca="1">$I$5*$AG$5</f>
        <v>0</v>
      </c>
      <c r="AI57" s="87">
        <f>$I$5*$AI$5</f>
        <v>0</v>
      </c>
      <c r="AJ57" s="87">
        <f>$I$5*$AJ$5</f>
        <v>0</v>
      </c>
      <c r="AK57" s="87">
        <f>$I$5*$AK$5</f>
        <v>0</v>
      </c>
      <c r="AL57" s="87">
        <f>$I$5*$AL$5</f>
        <v>0</v>
      </c>
      <c r="AM57" s="87">
        <f>$I$5*$AM$5</f>
        <v>0</v>
      </c>
      <c r="AN57" s="87">
        <f>$I$5*$AN$5</f>
        <v>0</v>
      </c>
      <c r="AO57" s="87">
        <f>$I$5*$AO$5</f>
        <v>0</v>
      </c>
      <c r="AP57" s="87">
        <f>$I$5*$AP$5</f>
        <v>0</v>
      </c>
      <c r="AQ57" s="87">
        <f>$I$5*$AQ$5</f>
        <v>0</v>
      </c>
      <c r="AR57" s="87">
        <f>$I$5*$AR$5</f>
        <v>0</v>
      </c>
      <c r="AS57" s="87">
        <f>$I$5*$AS$5</f>
        <v>0</v>
      </c>
      <c r="AT57" s="87">
        <f>$I$5*$AT$5</f>
        <v>0</v>
      </c>
      <c r="AU57" s="87">
        <f>$I$5*$AU$5</f>
        <v>78047.769148679028</v>
      </c>
      <c r="AV57" s="87">
        <f>$I$5*$AV$5</f>
        <v>0</v>
      </c>
      <c r="AW57" s="87">
        <f>$I$5*$AW$5</f>
        <v>0</v>
      </c>
      <c r="AX57" s="87">
        <f>$I$5*$AX$5</f>
        <v>142224.18364232761</v>
      </c>
      <c r="AY57" s="87">
        <f>$I$5*$AY$5</f>
        <v>4070.67027661986</v>
      </c>
      <c r="AZ57" s="87">
        <f>$I$5*$AZ$5</f>
        <v>0</v>
      </c>
      <c r="BA57" s="87">
        <f>$I$5*$BA$5</f>
        <v>0</v>
      </c>
      <c r="BB57" s="87">
        <f>$I$5*$BB$5</f>
        <v>0</v>
      </c>
      <c r="BC57" s="87">
        <f>$I$5*$BC$5</f>
        <v>0</v>
      </c>
      <c r="BD57" s="87">
        <f>$I$5*$BD$5</f>
        <v>0</v>
      </c>
    </row>
    <row r="58" spans="1:56" ht="11.25" customHeight="1" x14ac:dyDescent="0.3">
      <c r="A58" s="9" t="s">
        <v>37</v>
      </c>
      <c r="B58" s="9" t="s">
        <v>773</v>
      </c>
      <c r="C58" s="9" t="s">
        <v>774</v>
      </c>
      <c r="D58" s="9" t="s">
        <v>775</v>
      </c>
      <c r="E58" s="9" t="s">
        <v>776</v>
      </c>
      <c r="F58" s="9" t="s">
        <v>777</v>
      </c>
      <c r="G58" s="9" t="s">
        <v>779</v>
      </c>
      <c r="L58" s="87">
        <f>$I$6*$L$6</f>
        <v>0</v>
      </c>
      <c r="M58" s="87">
        <f>$I$6*$M$6</f>
        <v>0</v>
      </c>
      <c r="N58" s="87">
        <f ca="1">$I$6*$N$6</f>
        <v>0</v>
      </c>
      <c r="O58" s="87">
        <f>$I$6*$O$6</f>
        <v>0</v>
      </c>
      <c r="P58" s="87">
        <f>$I$6*$P$6</f>
        <v>0</v>
      </c>
      <c r="Q58" s="87">
        <f>$I$6*$Q$6</f>
        <v>0</v>
      </c>
      <c r="R58" s="87">
        <f>$I$6*$R$6</f>
        <v>0</v>
      </c>
      <c r="S58" s="87">
        <f>$I$6*$S$6</f>
        <v>0</v>
      </c>
      <c r="T58" s="87">
        <f>$I$6*$T$6</f>
        <v>0</v>
      </c>
      <c r="U58" s="87">
        <f>$I$6*$U$6</f>
        <v>0</v>
      </c>
      <c r="V58" s="87">
        <f>$I$6*$V$6</f>
        <v>0</v>
      </c>
      <c r="W58" s="87">
        <f>$I$6*$W$6</f>
        <v>0</v>
      </c>
      <c r="X58" s="87">
        <f>$I$6*$X$6</f>
        <v>46491.632966172707</v>
      </c>
      <c r="Y58" s="87">
        <f>$I$6*$Y$6</f>
        <v>0</v>
      </c>
      <c r="Z58" s="87">
        <f>$I$6*$Z$6</f>
        <v>0</v>
      </c>
      <c r="AA58" s="87">
        <f>$I$6*$AA$6</f>
        <v>51486.907428295694</v>
      </c>
      <c r="AB58" s="87">
        <f ca="1">$I$6*$AB$6</f>
        <v>0</v>
      </c>
      <c r="AC58" s="87">
        <f ca="1">$I$6*$AC$6</f>
        <v>0</v>
      </c>
      <c r="AD58" s="87">
        <f>$I$6*$AD$6</f>
        <v>0</v>
      </c>
      <c r="AE58" s="87">
        <f>$I$6*$AE$6</f>
        <v>0</v>
      </c>
      <c r="AF58" s="87">
        <f ca="1">$I$6*$AF$6</f>
        <v>0</v>
      </c>
      <c r="AG58" s="87">
        <f ca="1">$I$6*$AG$6</f>
        <v>0</v>
      </c>
      <c r="AI58" s="87">
        <f>$I$6*$AI$6</f>
        <v>0</v>
      </c>
      <c r="AJ58" s="87">
        <f>$I$6*$AJ$6</f>
        <v>0</v>
      </c>
      <c r="AK58" s="87">
        <f>$I$6*$AK$6</f>
        <v>0</v>
      </c>
      <c r="AL58" s="87">
        <f>$I$6*$AL$6</f>
        <v>0</v>
      </c>
      <c r="AM58" s="87">
        <f>$I$6*$AM$6</f>
        <v>0</v>
      </c>
      <c r="AN58" s="87">
        <f>$I$6*$AN$6</f>
        <v>0</v>
      </c>
      <c r="AO58" s="87">
        <f>$I$6*$AO$6</f>
        <v>0</v>
      </c>
      <c r="AP58" s="87">
        <f>$I$6*$AP$6</f>
        <v>0</v>
      </c>
      <c r="AQ58" s="87">
        <f>$I$6*$AQ$6</f>
        <v>0</v>
      </c>
      <c r="AR58" s="87">
        <f>$I$6*$AR$6</f>
        <v>0</v>
      </c>
      <c r="AS58" s="87">
        <f>$I$6*$AS$6</f>
        <v>0</v>
      </c>
      <c r="AT58" s="87">
        <f>$I$6*$AT$6</f>
        <v>0</v>
      </c>
      <c r="AU58" s="87">
        <f>$I$6*$AU$6</f>
        <v>42687.208510386292</v>
      </c>
      <c r="AV58" s="87">
        <f>$I$6*$AV$6</f>
        <v>0</v>
      </c>
      <c r="AW58" s="87">
        <f>$I$6*$AW$6</f>
        <v>0</v>
      </c>
      <c r="AX58" s="87">
        <f>$I$6*$AX$6</f>
        <v>45710.277008853074</v>
      </c>
      <c r="AY58" s="87">
        <f>$I$6*$AY$6</f>
        <v>1562.1058981598098</v>
      </c>
      <c r="AZ58" s="87">
        <f>$I$6*$AZ$6</f>
        <v>0</v>
      </c>
      <c r="BA58" s="87">
        <f>$I$6*$BA$6</f>
        <v>0</v>
      </c>
      <c r="BB58" s="87">
        <f>$I$6*$BB$6</f>
        <v>0</v>
      </c>
      <c r="BC58" s="87">
        <f>$I$6*$BC$6</f>
        <v>0</v>
      </c>
      <c r="BD58" s="87">
        <f>$I$6*$BD$6</f>
        <v>0</v>
      </c>
    </row>
    <row r="59" spans="1:56" ht="11.25" customHeight="1" x14ac:dyDescent="0.3">
      <c r="A59" s="9" t="s">
        <v>37</v>
      </c>
      <c r="B59" s="9" t="s">
        <v>773</v>
      </c>
      <c r="C59" s="9" t="s">
        <v>774</v>
      </c>
      <c r="D59" s="9" t="s">
        <v>775</v>
      </c>
      <c r="E59" s="9" t="s">
        <v>776</v>
      </c>
      <c r="F59" s="9" t="s">
        <v>777</v>
      </c>
      <c r="G59" s="9" t="s">
        <v>780</v>
      </c>
      <c r="L59" s="87">
        <f>$I$7*$L$7</f>
        <v>5054.0004715072073</v>
      </c>
      <c r="M59" s="87">
        <f>$I$7*$M$7</f>
        <v>917.94818539302412</v>
      </c>
      <c r="N59" s="87">
        <f ca="1">$I$7*$N$7</f>
        <v>0</v>
      </c>
      <c r="O59" s="87">
        <f>$I$7*$O$7</f>
        <v>0</v>
      </c>
      <c r="P59" s="87">
        <f>$I$7*$P$7</f>
        <v>0</v>
      </c>
      <c r="Q59" s="87">
        <f>$I$7*$Q$7</f>
        <v>33374.385322347232</v>
      </c>
      <c r="R59" s="87">
        <f>$I$7*$R$7</f>
        <v>6586.8867022374652</v>
      </c>
      <c r="S59" s="87">
        <f>$I$7*$S$7</f>
        <v>0</v>
      </c>
      <c r="T59" s="87">
        <f>$I$7*$T$7</f>
        <v>0</v>
      </c>
      <c r="U59" s="87">
        <f>$I$7*$U$7</f>
        <v>0</v>
      </c>
      <c r="V59" s="87">
        <f>$I$7*$V$7</f>
        <v>0</v>
      </c>
      <c r="W59" s="87">
        <f>$I$7*$W$7</f>
        <v>0</v>
      </c>
      <c r="X59" s="87">
        <f>$I$7*$X$7</f>
        <v>0</v>
      </c>
      <c r="Y59" s="87">
        <f>$I$7*$Y$7</f>
        <v>0</v>
      </c>
      <c r="Z59" s="87">
        <f>$I$7*$Z$7</f>
        <v>0</v>
      </c>
      <c r="AA59" s="87">
        <f>$I$7*$AA$7</f>
        <v>0</v>
      </c>
      <c r="AB59" s="87">
        <f ca="1">$I$7*$AB$7</f>
        <v>0</v>
      </c>
      <c r="AC59" s="87">
        <f ca="1">$I$7*$AC$7</f>
        <v>0</v>
      </c>
      <c r="AD59" s="87">
        <f>$I$7*$AD$7</f>
        <v>5540.2914824154605</v>
      </c>
      <c r="AE59" s="87">
        <f>$I$7*$AE$7</f>
        <v>0</v>
      </c>
      <c r="AF59" s="87">
        <f ca="1">$I$7*$AF$7</f>
        <v>5929.5239612183195</v>
      </c>
      <c r="AG59" s="87">
        <f ca="1">$I$7*$AG$7</f>
        <v>0</v>
      </c>
      <c r="AI59" s="87">
        <f>$I$7*$AI$7</f>
        <v>0</v>
      </c>
      <c r="AJ59" s="87">
        <f>$I$7*$AJ$7</f>
        <v>726.35675513589354</v>
      </c>
      <c r="AK59" s="87">
        <f>$I$7*$AK$7</f>
        <v>0</v>
      </c>
      <c r="AL59" s="87">
        <f>$I$7*$AL$7</f>
        <v>0</v>
      </c>
      <c r="AM59" s="87">
        <f>$I$7*$AM$7</f>
        <v>0</v>
      </c>
      <c r="AN59" s="87">
        <f>$I$7*$AN$7</f>
        <v>27912.68789929082</v>
      </c>
      <c r="AO59" s="87">
        <f>$I$7*$AO$7</f>
        <v>4075.8576891268453</v>
      </c>
      <c r="AP59" s="87">
        <f>$I$7*$AP$7</f>
        <v>0</v>
      </c>
      <c r="AQ59" s="87">
        <f>$I$7*$AQ$7</f>
        <v>0</v>
      </c>
      <c r="AR59" s="87">
        <f>$I$7*$AR$7</f>
        <v>0</v>
      </c>
      <c r="AS59" s="87">
        <f>$I$7*$AS$7</f>
        <v>0</v>
      </c>
      <c r="AT59" s="87">
        <f>$I$7*$AT$7</f>
        <v>0</v>
      </c>
      <c r="AU59" s="87">
        <f>$I$7*$AU$7</f>
        <v>0</v>
      </c>
      <c r="AV59" s="87">
        <f>$I$7*$AV$7</f>
        <v>0</v>
      </c>
      <c r="AW59" s="87">
        <f>$I$7*$AW$7</f>
        <v>0</v>
      </c>
      <c r="AX59" s="87">
        <f>$I$7*$AX$7</f>
        <v>0</v>
      </c>
      <c r="AY59" s="87">
        <f>$I$7*$AY$7</f>
        <v>711.10734569893191</v>
      </c>
      <c r="AZ59" s="87">
        <f>$I$7*$AZ$7</f>
        <v>0</v>
      </c>
      <c r="BA59" s="87">
        <f>$I$7*$BA$7</f>
        <v>6865.3240632452498</v>
      </c>
      <c r="BB59" s="87">
        <f>$I$7*$BB$7</f>
        <v>0</v>
      </c>
      <c r="BC59" s="87">
        <f>$I$7*$BC$7</f>
        <v>0</v>
      </c>
      <c r="BD59" s="87">
        <f>$I$7*$BD$7</f>
        <v>0</v>
      </c>
    </row>
    <row r="60" spans="1:56" ht="11.25" customHeight="1" x14ac:dyDescent="0.3">
      <c r="A60" s="9" t="s">
        <v>37</v>
      </c>
      <c r="B60" s="9" t="s">
        <v>773</v>
      </c>
      <c r="C60" s="9" t="s">
        <v>774</v>
      </c>
      <c r="D60" s="9" t="s">
        <v>775</v>
      </c>
      <c r="E60" s="9" t="s">
        <v>781</v>
      </c>
      <c r="F60" s="9" t="s">
        <v>782</v>
      </c>
      <c r="G60" s="9" t="s">
        <v>783</v>
      </c>
      <c r="L60" s="87">
        <f>$I$8*$L$8</f>
        <v>0</v>
      </c>
      <c r="M60" s="87">
        <f>$I$8*$M$8</f>
        <v>0</v>
      </c>
      <c r="N60" s="87">
        <f ca="1">$I$8*$N$8</f>
        <v>0</v>
      </c>
      <c r="O60" s="87">
        <f>$I$8*$O$8</f>
        <v>0</v>
      </c>
      <c r="P60" s="87">
        <f>$I$8*$P$8</f>
        <v>0</v>
      </c>
      <c r="Q60" s="87">
        <f>$I$8*$Q$8</f>
        <v>0</v>
      </c>
      <c r="R60" s="87">
        <f>$I$8*$R$8</f>
        <v>0</v>
      </c>
      <c r="S60" s="87">
        <f>$I$8*$S$8</f>
        <v>0</v>
      </c>
      <c r="T60" s="87">
        <f>$I$8*$T$8</f>
        <v>0</v>
      </c>
      <c r="U60" s="87">
        <f>$I$8*$U$8</f>
        <v>0</v>
      </c>
      <c r="V60" s="87">
        <f>$I$8*$V$8</f>
        <v>0</v>
      </c>
      <c r="W60" s="87">
        <f>$I$8*$W$8</f>
        <v>0</v>
      </c>
      <c r="X60" s="87">
        <f>$I$8*$X$8</f>
        <v>0</v>
      </c>
      <c r="Y60" s="87">
        <f>$I$8*$Y$8</f>
        <v>0</v>
      </c>
      <c r="Z60" s="87">
        <f>$I$8*$Z$8</f>
        <v>0</v>
      </c>
      <c r="AA60" s="87">
        <f>$I$8*$AA$8</f>
        <v>0</v>
      </c>
      <c r="AB60" s="87">
        <f ca="1">$I$8*$AB$8</f>
        <v>0</v>
      </c>
      <c r="AC60" s="87">
        <f ca="1">$I$8*$AC$8</f>
        <v>0</v>
      </c>
      <c r="AD60" s="87">
        <f>$I$8*$AD$8</f>
        <v>0</v>
      </c>
      <c r="AE60" s="87">
        <f>$I$8*$AE$8</f>
        <v>0</v>
      </c>
      <c r="AF60" s="87">
        <f ca="1">$I$8*$AF$8</f>
        <v>0</v>
      </c>
      <c r="AG60" s="87">
        <f ca="1">$I$8*$AG$8</f>
        <v>0</v>
      </c>
      <c r="AI60" s="87">
        <f>$I$8*$AI$8</f>
        <v>0</v>
      </c>
      <c r="AJ60" s="87">
        <f>$I$8*$AJ$8</f>
        <v>0</v>
      </c>
      <c r="AK60" s="87">
        <f>$I$8*$AK$8</f>
        <v>0</v>
      </c>
      <c r="AL60" s="87">
        <f>$I$8*$AL$8</f>
        <v>0</v>
      </c>
      <c r="AM60" s="87">
        <f>$I$8*$AM$8</f>
        <v>0</v>
      </c>
      <c r="AN60" s="87">
        <f>$I$8*$AN$8</f>
        <v>0</v>
      </c>
      <c r="AO60" s="87">
        <f>$I$8*$AO$8</f>
        <v>0</v>
      </c>
      <c r="AP60" s="87">
        <f>$I$8*$AP$8</f>
        <v>0</v>
      </c>
      <c r="AQ60" s="87">
        <f>$I$8*$AQ$8</f>
        <v>0</v>
      </c>
      <c r="AR60" s="87">
        <f>$I$8*$AR$8</f>
        <v>0</v>
      </c>
      <c r="AS60" s="87">
        <f>$I$8*$AS$8</f>
        <v>0</v>
      </c>
      <c r="AT60" s="87">
        <f>$I$8*$AT$8</f>
        <v>0</v>
      </c>
      <c r="AU60" s="87">
        <f>$I$8*$AU$8</f>
        <v>0</v>
      </c>
      <c r="AV60" s="87">
        <f>$I$8*$AV$8</f>
        <v>0</v>
      </c>
      <c r="AW60" s="87">
        <f>$I$8*$AW$8</f>
        <v>0</v>
      </c>
      <c r="AX60" s="87">
        <f>$I$8*$AX$8</f>
        <v>0</v>
      </c>
      <c r="AY60" s="87">
        <f>$I$8*$AY$8</f>
        <v>0</v>
      </c>
      <c r="AZ60" s="87">
        <f>$I$8*$AZ$8</f>
        <v>0</v>
      </c>
      <c r="BA60" s="87">
        <f>$I$8*$BA$8</f>
        <v>0</v>
      </c>
      <c r="BB60" s="87">
        <f>$I$8*$BB$8</f>
        <v>0</v>
      </c>
      <c r="BC60" s="87">
        <f>$I$8*$BC$8</f>
        <v>0</v>
      </c>
      <c r="BD60" s="87">
        <f>$I$8*$BD$8</f>
        <v>0</v>
      </c>
    </row>
    <row r="61" spans="1:56" ht="11.25" customHeight="1" x14ac:dyDescent="0.3">
      <c r="A61" s="9" t="s">
        <v>37</v>
      </c>
      <c r="B61" s="9" t="s">
        <v>784</v>
      </c>
      <c r="C61" s="9" t="s">
        <v>785</v>
      </c>
      <c r="D61" s="9" t="s">
        <v>786</v>
      </c>
      <c r="E61" s="9" t="s">
        <v>787</v>
      </c>
      <c r="F61" s="9" t="s">
        <v>788</v>
      </c>
      <c r="G61" s="9" t="s">
        <v>789</v>
      </c>
      <c r="L61" s="87">
        <f>$I$9*$L$9</f>
        <v>0</v>
      </c>
      <c r="M61" s="87">
        <f>$I$9*$M$9</f>
        <v>0</v>
      </c>
      <c r="N61" s="87">
        <f ca="1">$I$9*$N$9</f>
        <v>0</v>
      </c>
      <c r="O61" s="87">
        <f>$I$9*$O$9</f>
        <v>0</v>
      </c>
      <c r="P61" s="87">
        <f>$I$9*$P$9</f>
        <v>0</v>
      </c>
      <c r="Q61" s="87">
        <f>$I$9*$Q$9</f>
        <v>0</v>
      </c>
      <c r="R61" s="87">
        <f>$I$9*$R$9</f>
        <v>0</v>
      </c>
      <c r="S61" s="87">
        <f>$I$9*$S$9</f>
        <v>0</v>
      </c>
      <c r="T61" s="87">
        <f>$I$9*$T$9</f>
        <v>0</v>
      </c>
      <c r="U61" s="87">
        <f>$I$9*$U$9</f>
        <v>0</v>
      </c>
      <c r="V61" s="87">
        <f>$I$9*$V$9</f>
        <v>0</v>
      </c>
      <c r="W61" s="87">
        <f>$I$9*$W$9</f>
        <v>0</v>
      </c>
      <c r="X61" s="87">
        <f>$I$9*$X$9</f>
        <v>0</v>
      </c>
      <c r="Y61" s="87">
        <f>$I$9*$Y$9</f>
        <v>0</v>
      </c>
      <c r="Z61" s="87">
        <f>$I$9*$Z$9</f>
        <v>0</v>
      </c>
      <c r="AA61" s="87">
        <f>$I$9*$AA$9</f>
        <v>0</v>
      </c>
      <c r="AB61" s="87">
        <f ca="1">$I$9*$AB$9</f>
        <v>0</v>
      </c>
      <c r="AC61" s="87">
        <f ca="1">$I$9*$AC$9</f>
        <v>0</v>
      </c>
      <c r="AD61" s="87">
        <f>$I$9*$AD$9</f>
        <v>0</v>
      </c>
      <c r="AE61" s="87">
        <f>$I$9*$AE$9</f>
        <v>0</v>
      </c>
      <c r="AF61" s="87">
        <f ca="1">$I$9*$AF$9</f>
        <v>0</v>
      </c>
      <c r="AG61" s="87">
        <f ca="1">$I$9*$AG$9</f>
        <v>0</v>
      </c>
      <c r="AI61" s="87">
        <f>$I$9*$AI$9</f>
        <v>0</v>
      </c>
      <c r="AJ61" s="87">
        <f>$I$9*$AJ$9</f>
        <v>0</v>
      </c>
      <c r="AK61" s="87">
        <f>$I$9*$AK$9</f>
        <v>0</v>
      </c>
      <c r="AL61" s="87">
        <f>$I$9*$AL$9</f>
        <v>0</v>
      </c>
      <c r="AM61" s="87">
        <f>$I$9*$AM$9</f>
        <v>0</v>
      </c>
      <c r="AN61" s="87">
        <f>$I$9*$AN$9</f>
        <v>0</v>
      </c>
      <c r="AO61" s="87">
        <f>$I$9*$AO$9</f>
        <v>0</v>
      </c>
      <c r="AP61" s="87">
        <f>$I$9*$AP$9</f>
        <v>0</v>
      </c>
      <c r="AQ61" s="87">
        <f>$I$9*$AQ$9</f>
        <v>0</v>
      </c>
      <c r="AR61" s="87">
        <f>$I$9*$AR$9</f>
        <v>0</v>
      </c>
      <c r="AS61" s="87">
        <f>$I$9*$AS$9</f>
        <v>0</v>
      </c>
      <c r="AT61" s="87">
        <f>$I$9*$AT$9</f>
        <v>0</v>
      </c>
      <c r="AU61" s="87">
        <f>$I$9*$AU$9</f>
        <v>0</v>
      </c>
      <c r="AV61" s="87">
        <f>$I$9*$AV$9</f>
        <v>0</v>
      </c>
      <c r="AW61" s="87">
        <f>$I$9*$AW$9</f>
        <v>0</v>
      </c>
      <c r="AX61" s="87">
        <f>$I$9*$AX$9</f>
        <v>0</v>
      </c>
      <c r="AY61" s="87">
        <f>$I$9*$AY$9</f>
        <v>0</v>
      </c>
      <c r="AZ61" s="87">
        <f>$I$9*$AZ$9</f>
        <v>0</v>
      </c>
      <c r="BA61" s="87">
        <f>$I$9*$BA$9</f>
        <v>0</v>
      </c>
      <c r="BB61" s="87">
        <f>$I$9*$BB$9</f>
        <v>0</v>
      </c>
      <c r="BC61" s="87">
        <f>$I$9*$BC$9</f>
        <v>0</v>
      </c>
      <c r="BD61" s="87">
        <f>$I$9*$BD$9</f>
        <v>0</v>
      </c>
    </row>
    <row r="62" spans="1:56" ht="11.25" customHeight="1" x14ac:dyDescent="0.3">
      <c r="A62" s="9" t="s">
        <v>37</v>
      </c>
      <c r="B62" s="9" t="s">
        <v>790</v>
      </c>
      <c r="C62" s="9" t="s">
        <v>791</v>
      </c>
      <c r="D62" s="9" t="s">
        <v>792</v>
      </c>
      <c r="E62" s="9" t="s">
        <v>793</v>
      </c>
      <c r="F62" s="9" t="s">
        <v>794</v>
      </c>
      <c r="G62" s="9" t="s">
        <v>795</v>
      </c>
      <c r="L62" s="87">
        <f>$I$10*$L$10</f>
        <v>0</v>
      </c>
      <c r="M62" s="87">
        <f>$I$10*$M$10</f>
        <v>0</v>
      </c>
      <c r="N62" s="87">
        <f ca="1">$I$10*$N$10</f>
        <v>0</v>
      </c>
      <c r="O62" s="87">
        <f>$I$10*$O$10</f>
        <v>0</v>
      </c>
      <c r="P62" s="87">
        <f>$I$10*$P$10</f>
        <v>0</v>
      </c>
      <c r="Q62" s="87">
        <f>$I$10*$Q$10</f>
        <v>0</v>
      </c>
      <c r="R62" s="87">
        <f>$I$10*$R$10</f>
        <v>0</v>
      </c>
      <c r="S62" s="87">
        <f>$I$10*$S$10</f>
        <v>0</v>
      </c>
      <c r="T62" s="87">
        <f>$I$10*$T$10</f>
        <v>0</v>
      </c>
      <c r="U62" s="87">
        <f>$I$10*$U$10</f>
        <v>0</v>
      </c>
      <c r="V62" s="87">
        <f>$I$10*$V$10</f>
        <v>0</v>
      </c>
      <c r="W62" s="87">
        <f>$I$10*$W$10</f>
        <v>0</v>
      </c>
      <c r="X62" s="87">
        <f>$I$10*$X$10</f>
        <v>745711.94911498856</v>
      </c>
      <c r="Y62" s="87">
        <f>$I$10*$Y$10</f>
        <v>0</v>
      </c>
      <c r="Z62" s="87">
        <f>$I$10*$Z$10</f>
        <v>0</v>
      </c>
      <c r="AA62" s="87">
        <f>$I$10*$AA$10</f>
        <v>825834.66406080243</v>
      </c>
      <c r="AB62" s="87">
        <f ca="1">$I$10*$AB$10</f>
        <v>0</v>
      </c>
      <c r="AC62" s="87">
        <f ca="1">$I$10*$AC$10</f>
        <v>0</v>
      </c>
      <c r="AD62" s="87">
        <f>$I$10*$AD$10</f>
        <v>0</v>
      </c>
      <c r="AE62" s="87">
        <f>$I$10*$AE$10</f>
        <v>0</v>
      </c>
      <c r="AF62" s="87">
        <f ca="1">$I$10*$AF$10</f>
        <v>0</v>
      </c>
      <c r="AG62" s="87">
        <f ca="1">$I$10*$AG$10</f>
        <v>0</v>
      </c>
      <c r="AI62" s="87">
        <f>$I$10*$AI$10</f>
        <v>0</v>
      </c>
      <c r="AJ62" s="87">
        <f>$I$10*$AJ$10</f>
        <v>0</v>
      </c>
      <c r="AK62" s="87">
        <f>$I$10*$AK$10</f>
        <v>0</v>
      </c>
      <c r="AL62" s="87">
        <f>$I$10*$AL$10</f>
        <v>0</v>
      </c>
      <c r="AM62" s="87">
        <f>$I$10*$AM$10</f>
        <v>0</v>
      </c>
      <c r="AN62" s="87">
        <f>$I$10*$AN$10</f>
        <v>0</v>
      </c>
      <c r="AO62" s="87">
        <f>$I$10*$AO$10</f>
        <v>0</v>
      </c>
      <c r="AP62" s="87">
        <f>$I$10*$AP$10</f>
        <v>0</v>
      </c>
      <c r="AQ62" s="87">
        <f>$I$10*$AQ$10</f>
        <v>0</v>
      </c>
      <c r="AR62" s="87">
        <f>$I$10*$AR$10</f>
        <v>0</v>
      </c>
      <c r="AS62" s="87">
        <f>$I$10*$AS$10</f>
        <v>0</v>
      </c>
      <c r="AT62" s="87">
        <f>$I$10*$AT$10</f>
        <v>0</v>
      </c>
      <c r="AU62" s="87">
        <f>$I$10*$AU$10</f>
        <v>684690.1136752778</v>
      </c>
      <c r="AV62" s="87">
        <f>$I$10*$AV$10</f>
        <v>0</v>
      </c>
      <c r="AW62" s="87">
        <f>$I$10*$AW$10</f>
        <v>0</v>
      </c>
      <c r="AX62" s="87">
        <f>$I$10*$AX$10</f>
        <v>733179.23222140514</v>
      </c>
      <c r="AY62" s="87">
        <f>$I$10*$AY$10</f>
        <v>25055.713463287866</v>
      </c>
      <c r="AZ62" s="87">
        <f>$I$10*$AZ$10</f>
        <v>0</v>
      </c>
      <c r="BA62" s="87">
        <f>$I$10*$BA$10</f>
        <v>0</v>
      </c>
      <c r="BB62" s="87">
        <f>$I$10*$BB$10</f>
        <v>0</v>
      </c>
      <c r="BC62" s="87">
        <f>$I$10*$BC$10</f>
        <v>0</v>
      </c>
      <c r="BD62" s="87">
        <f>$I$10*$BD$10</f>
        <v>0</v>
      </c>
    </row>
    <row r="63" spans="1:56" ht="11.25" customHeight="1" x14ac:dyDescent="0.3">
      <c r="A63" s="9" t="s">
        <v>37</v>
      </c>
      <c r="B63" s="9" t="s">
        <v>790</v>
      </c>
      <c r="C63" s="9" t="s">
        <v>791</v>
      </c>
      <c r="D63" s="9" t="s">
        <v>792</v>
      </c>
      <c r="E63" s="9" t="s">
        <v>793</v>
      </c>
      <c r="F63" s="9" t="s">
        <v>794</v>
      </c>
      <c r="G63" s="9" t="s">
        <v>796</v>
      </c>
      <c r="L63" s="87">
        <f>$I$11*$L$11</f>
        <v>556.9084506559999</v>
      </c>
      <c r="M63" s="87">
        <f>$I$11*$M$11</f>
        <v>101.15018876467602</v>
      </c>
      <c r="N63" s="87">
        <f ca="1">$I$11*$N$11</f>
        <v>0</v>
      </c>
      <c r="O63" s="87">
        <f>$I$11*$O$11</f>
        <v>0</v>
      </c>
      <c r="P63" s="87">
        <f>$I$11*$P$11</f>
        <v>0</v>
      </c>
      <c r="Q63" s="87">
        <f>$I$11*$Q$11</f>
        <v>3677.5772630511583</v>
      </c>
      <c r="R63" s="87">
        <f>$I$11*$R$11</f>
        <v>725.81965290076721</v>
      </c>
      <c r="S63" s="87">
        <f>$I$11*$S$11</f>
        <v>0</v>
      </c>
      <c r="T63" s="87">
        <f>$I$11*$T$11</f>
        <v>0</v>
      </c>
      <c r="U63" s="87">
        <f>$I$11*$U$11</f>
        <v>0</v>
      </c>
      <c r="V63" s="87">
        <f>$I$11*$V$11</f>
        <v>0</v>
      </c>
      <c r="W63" s="87">
        <f>$I$11*$W$11</f>
        <v>0</v>
      </c>
      <c r="X63" s="87">
        <f>$I$11*$X$11</f>
        <v>80916.401140423535</v>
      </c>
      <c r="Y63" s="87">
        <f>$I$11*$Y$11</f>
        <v>0</v>
      </c>
      <c r="Z63" s="87">
        <f>$I$11*$Z$11</f>
        <v>0</v>
      </c>
      <c r="AA63" s="87">
        <f>$I$11*$AA$11</f>
        <v>152492.21416505123</v>
      </c>
      <c r="AB63" s="87">
        <f ca="1">$I$11*$AB$11</f>
        <v>0</v>
      </c>
      <c r="AC63" s="87">
        <f ca="1">$I$11*$AC$11</f>
        <v>0</v>
      </c>
      <c r="AD63" s="87">
        <f>$I$11*$AD$11</f>
        <v>610.49364024584008</v>
      </c>
      <c r="AE63" s="87">
        <f>$I$11*$AE$11</f>
        <v>0</v>
      </c>
      <c r="AF63" s="87">
        <f ca="1">$I$11*$AF$11</f>
        <v>653.38379388495321</v>
      </c>
      <c r="AG63" s="87">
        <f ca="1">$I$11*$AG$11</f>
        <v>0</v>
      </c>
      <c r="AI63" s="87">
        <f>$I$11*$AI$11</f>
        <v>0</v>
      </c>
      <c r="AJ63" s="87">
        <f>$I$11*$AJ$11</f>
        <v>80.03842053572572</v>
      </c>
      <c r="AK63" s="87">
        <f>$I$11*$AK$11</f>
        <v>0</v>
      </c>
      <c r="AL63" s="87">
        <f>$I$11*$AL$11</f>
        <v>0</v>
      </c>
      <c r="AM63" s="87">
        <f>$I$11*$AM$11</f>
        <v>0</v>
      </c>
      <c r="AN63" s="87">
        <f>$I$11*$AN$11</f>
        <v>3075.7440287698951</v>
      </c>
      <c r="AO63" s="87">
        <f>$I$11*$AO$11</f>
        <v>449.12532231502752</v>
      </c>
      <c r="AP63" s="87">
        <f>$I$11*$AP$11</f>
        <v>0</v>
      </c>
      <c r="AQ63" s="87">
        <f>$I$11*$AQ$11</f>
        <v>0</v>
      </c>
      <c r="AR63" s="87">
        <f>$I$11*$AR$11</f>
        <v>0</v>
      </c>
      <c r="AS63" s="87">
        <f>$I$11*$AS$11</f>
        <v>0</v>
      </c>
      <c r="AT63" s="87">
        <f>$I$11*$AT$11</f>
        <v>0</v>
      </c>
      <c r="AU63" s="87">
        <f>$I$11*$AU$11</f>
        <v>74293.595344560585</v>
      </c>
      <c r="AV63" s="87">
        <f>$I$11*$AV$11</f>
        <v>0</v>
      </c>
      <c r="AW63" s="87">
        <f>$I$11*$AW$11</f>
        <v>0</v>
      </c>
      <c r="AX63" s="87">
        <f>$I$11*$AX$11</f>
        <v>135383.29219750414</v>
      </c>
      <c r="AY63" s="87">
        <f>$I$11*$AY$11</f>
        <v>3953.2299033566269</v>
      </c>
      <c r="AZ63" s="87">
        <f>$I$11*$AZ$11</f>
        <v>0</v>
      </c>
      <c r="BA63" s="87">
        <f>$I$11*$BA$11</f>
        <v>756.50111409132137</v>
      </c>
      <c r="BB63" s="87">
        <f>$I$11*$BB$11</f>
        <v>0</v>
      </c>
      <c r="BC63" s="87">
        <f>$I$11*$BC$11</f>
        <v>0</v>
      </c>
      <c r="BD63" s="87">
        <f>$I$11*$BD$11</f>
        <v>0</v>
      </c>
    </row>
    <row r="64" spans="1:56" ht="11.25" customHeight="1" x14ac:dyDescent="0.3">
      <c r="A64" s="9" t="s">
        <v>37</v>
      </c>
      <c r="B64" s="9" t="s">
        <v>790</v>
      </c>
      <c r="C64" s="9" t="s">
        <v>791</v>
      </c>
      <c r="D64" s="9" t="s">
        <v>792</v>
      </c>
      <c r="E64" s="9" t="s">
        <v>793</v>
      </c>
      <c r="F64" s="9" t="s">
        <v>794</v>
      </c>
      <c r="G64" s="9" t="s">
        <v>797</v>
      </c>
      <c r="L64" s="87">
        <f>$I$12*$L$12</f>
        <v>33633.232200184837</v>
      </c>
      <c r="M64" s="87">
        <f>$I$12*$M$12</f>
        <v>6108.7379475164098</v>
      </c>
      <c r="N64" s="87">
        <f ca="1">$I$12*$N$12</f>
        <v>0</v>
      </c>
      <c r="O64" s="87">
        <f>$I$12*$O$12</f>
        <v>0</v>
      </c>
      <c r="P64" s="87">
        <f>$I$12*$P$12</f>
        <v>0</v>
      </c>
      <c r="Q64" s="87">
        <f>$I$12*$Q$12</f>
        <v>222099.00007195608</v>
      </c>
      <c r="R64" s="87">
        <f>$I$12*$R$12</f>
        <v>43834.24401751098</v>
      </c>
      <c r="S64" s="87">
        <f>$I$12*$S$12</f>
        <v>0</v>
      </c>
      <c r="T64" s="87">
        <f>$I$12*$T$12</f>
        <v>0</v>
      </c>
      <c r="U64" s="87">
        <f>$I$12*$U$12</f>
        <v>0</v>
      </c>
      <c r="V64" s="87">
        <f>$I$12*$V$12</f>
        <v>0</v>
      </c>
      <c r="W64" s="87">
        <f>$I$12*$W$12</f>
        <v>0</v>
      </c>
      <c r="X64" s="87">
        <f>$I$12*$X$12</f>
        <v>0</v>
      </c>
      <c r="Y64" s="87">
        <f>$I$12*$Y$12</f>
        <v>0</v>
      </c>
      <c r="Z64" s="87">
        <f>$I$12*$Z$12</f>
        <v>0</v>
      </c>
      <c r="AA64" s="87">
        <f>$I$12*$AA$12</f>
        <v>0</v>
      </c>
      <c r="AB64" s="87">
        <f ca="1">$I$12*$AB$12</f>
        <v>0</v>
      </c>
      <c r="AC64" s="87">
        <f ca="1">$I$12*$AC$12</f>
        <v>0</v>
      </c>
      <c r="AD64" s="87">
        <f>$I$12*$AD$12</f>
        <v>36869.389097863634</v>
      </c>
      <c r="AE64" s="87">
        <f>$I$12*$AE$12</f>
        <v>0</v>
      </c>
      <c r="AF64" s="87">
        <f ca="1">$I$12*$AF$12</f>
        <v>39459.643375288746</v>
      </c>
      <c r="AG64" s="87">
        <f ca="1">$I$12*$AG$12</f>
        <v>0</v>
      </c>
      <c r="AI64" s="87">
        <f>$I$12*$AI$12</f>
        <v>0</v>
      </c>
      <c r="AJ64" s="87">
        <f>$I$12*$AJ$12</f>
        <v>4833.7402308102401</v>
      </c>
      <c r="AK64" s="87">
        <f>$I$12*$AK$12</f>
        <v>0</v>
      </c>
      <c r="AL64" s="87">
        <f>$I$12*$AL$12</f>
        <v>0</v>
      </c>
      <c r="AM64" s="87">
        <f>$I$12*$AM$12</f>
        <v>0</v>
      </c>
      <c r="AN64" s="87">
        <f>$I$12*$AN$12</f>
        <v>185752.63669656331</v>
      </c>
      <c r="AO64" s="87">
        <f>$I$12*$AO$12</f>
        <v>27123.912798613299</v>
      </c>
      <c r="AP64" s="87">
        <f>$I$12*$AP$12</f>
        <v>0</v>
      </c>
      <c r="AQ64" s="87">
        <f>$I$12*$AQ$12</f>
        <v>0</v>
      </c>
      <c r="AR64" s="87">
        <f>$I$12*$AR$12</f>
        <v>0</v>
      </c>
      <c r="AS64" s="87">
        <f>$I$12*$AS$12</f>
        <v>0</v>
      </c>
      <c r="AT64" s="87">
        <f>$I$12*$AT$12</f>
        <v>0</v>
      </c>
      <c r="AU64" s="87">
        <f>$I$12*$AU$12</f>
        <v>0</v>
      </c>
      <c r="AV64" s="87">
        <f>$I$12*$AV$12</f>
        <v>0</v>
      </c>
      <c r="AW64" s="87">
        <f>$I$12*$AW$12</f>
        <v>0</v>
      </c>
      <c r="AX64" s="87">
        <f>$I$12*$AX$12</f>
        <v>0</v>
      </c>
      <c r="AY64" s="87">
        <f>$I$12*$AY$12</f>
        <v>4732.2588535526584</v>
      </c>
      <c r="AZ64" s="87">
        <f>$I$12*$AZ$12</f>
        <v>0</v>
      </c>
      <c r="BA64" s="87">
        <f>$I$12*$BA$12</f>
        <v>45687.1817979439</v>
      </c>
      <c r="BB64" s="87">
        <f>$I$12*$BB$12</f>
        <v>0</v>
      </c>
      <c r="BC64" s="87">
        <f>$I$12*$BC$12</f>
        <v>0</v>
      </c>
      <c r="BD64" s="87">
        <f>$I$12*$BD$12</f>
        <v>0</v>
      </c>
    </row>
    <row r="65" spans="1:56" ht="11.25" customHeight="1" x14ac:dyDescent="0.3">
      <c r="A65" s="9" t="s">
        <v>37</v>
      </c>
      <c r="B65" s="9" t="s">
        <v>790</v>
      </c>
      <c r="C65" s="9" t="s">
        <v>791</v>
      </c>
      <c r="D65" s="9" t="s">
        <v>792</v>
      </c>
      <c r="E65" s="9" t="s">
        <v>798</v>
      </c>
      <c r="F65" s="9" t="s">
        <v>799</v>
      </c>
      <c r="G65" s="9" t="s">
        <v>800</v>
      </c>
      <c r="L65" s="87">
        <f>$I$13*$L$13</f>
        <v>0</v>
      </c>
      <c r="M65" s="87">
        <f>$I$13*$M$13</f>
        <v>0</v>
      </c>
      <c r="N65" s="87">
        <f ca="1">$I$13*$N$13</f>
        <v>0</v>
      </c>
      <c r="O65" s="87">
        <f>$I$13*$O$13</f>
        <v>0</v>
      </c>
      <c r="P65" s="87">
        <f>$I$13*$P$13</f>
        <v>0</v>
      </c>
      <c r="Q65" s="87">
        <f>$I$13*$Q$13</f>
        <v>0</v>
      </c>
      <c r="R65" s="87">
        <f>$I$13*$R$13</f>
        <v>0</v>
      </c>
      <c r="S65" s="87">
        <f>$I$13*$S$13</f>
        <v>0</v>
      </c>
      <c r="T65" s="87">
        <f>$I$13*$T$13</f>
        <v>0</v>
      </c>
      <c r="U65" s="87">
        <f>$I$13*$U$13</f>
        <v>0</v>
      </c>
      <c r="V65" s="87">
        <f>$I$13*$V$13</f>
        <v>0</v>
      </c>
      <c r="W65" s="87">
        <f>$I$13*$W$13</f>
        <v>0</v>
      </c>
      <c r="X65" s="87">
        <f>$I$13*$X$13</f>
        <v>0</v>
      </c>
      <c r="Y65" s="87">
        <f>$I$13*$Y$13</f>
        <v>0</v>
      </c>
      <c r="Z65" s="87">
        <f>$I$13*$Z$13</f>
        <v>0</v>
      </c>
      <c r="AA65" s="87">
        <f>$I$13*$AA$13</f>
        <v>0</v>
      </c>
      <c r="AB65" s="87">
        <f ca="1">$I$13*$AB$13</f>
        <v>0</v>
      </c>
      <c r="AC65" s="87">
        <f ca="1">$I$13*$AC$13</f>
        <v>0</v>
      </c>
      <c r="AD65" s="87">
        <f>$I$13*$AD$13</f>
        <v>0</v>
      </c>
      <c r="AE65" s="87">
        <f>$I$13*$AE$13</f>
        <v>0</v>
      </c>
      <c r="AF65" s="87">
        <f ca="1">$I$13*$AF$13</f>
        <v>0</v>
      </c>
      <c r="AG65" s="87">
        <f ca="1">$I$13*$AG$13</f>
        <v>0</v>
      </c>
      <c r="AI65" s="87">
        <f>$I$13*$AI$13</f>
        <v>0</v>
      </c>
      <c r="AJ65" s="87">
        <f>$I$13*$AJ$13</f>
        <v>0</v>
      </c>
      <c r="AK65" s="87">
        <f>$I$13*$AK$13</f>
        <v>0</v>
      </c>
      <c r="AL65" s="87">
        <f>$I$13*$AL$13</f>
        <v>0</v>
      </c>
      <c r="AM65" s="87">
        <f>$I$13*$AM$13</f>
        <v>0</v>
      </c>
      <c r="AN65" s="87">
        <f>$I$13*$AN$13</f>
        <v>0</v>
      </c>
      <c r="AO65" s="87">
        <f>$I$13*$AO$13</f>
        <v>0</v>
      </c>
      <c r="AP65" s="87">
        <f>$I$13*$AP$13</f>
        <v>0</v>
      </c>
      <c r="AQ65" s="87">
        <f>$I$13*$AQ$13</f>
        <v>0</v>
      </c>
      <c r="AR65" s="87">
        <f>$I$13*$AR$13</f>
        <v>0</v>
      </c>
      <c r="AS65" s="87">
        <f>$I$13*$AS$13</f>
        <v>0</v>
      </c>
      <c r="AT65" s="87">
        <f>$I$13*$AT$13</f>
        <v>0</v>
      </c>
      <c r="AU65" s="87">
        <f>$I$13*$AU$13</f>
        <v>0</v>
      </c>
      <c r="AV65" s="87">
        <f>$I$13*$AV$13</f>
        <v>0</v>
      </c>
      <c r="AW65" s="87">
        <f>$I$13*$AW$13</f>
        <v>0</v>
      </c>
      <c r="AX65" s="87">
        <f>$I$13*$AX$13</f>
        <v>0</v>
      </c>
      <c r="AY65" s="87">
        <f>$I$13*$AY$13</f>
        <v>0</v>
      </c>
      <c r="AZ65" s="87">
        <f>$I$13*$AZ$13</f>
        <v>0</v>
      </c>
      <c r="BA65" s="87">
        <f>$I$13*$BA$13</f>
        <v>0</v>
      </c>
      <c r="BB65" s="87">
        <f>$I$13*$BB$13</f>
        <v>0</v>
      </c>
      <c r="BC65" s="87">
        <f>$I$13*$BC$13</f>
        <v>0</v>
      </c>
      <c r="BD65" s="87">
        <f>$I$13*$BD$13</f>
        <v>0</v>
      </c>
    </row>
    <row r="66" spans="1:56" ht="11.25" customHeight="1" x14ac:dyDescent="0.3">
      <c r="A66" s="9" t="s">
        <v>37</v>
      </c>
      <c r="B66" s="9" t="s">
        <v>790</v>
      </c>
      <c r="C66" s="9" t="s">
        <v>791</v>
      </c>
      <c r="D66" s="9" t="s">
        <v>792</v>
      </c>
      <c r="E66" s="9" t="s">
        <v>798</v>
      </c>
      <c r="F66" s="9" t="s">
        <v>799</v>
      </c>
      <c r="G66" s="9" t="s">
        <v>801</v>
      </c>
      <c r="L66" s="87">
        <f>$I$14*$L$14</f>
        <v>0</v>
      </c>
      <c r="M66" s="87">
        <f>$I$14*$M$14</f>
        <v>0</v>
      </c>
      <c r="N66" s="87">
        <f ca="1">$I$14*$N$14</f>
        <v>0</v>
      </c>
      <c r="O66" s="87">
        <f>$I$14*$O$14</f>
        <v>0</v>
      </c>
      <c r="P66" s="87">
        <f>$I$14*$P$14</f>
        <v>0</v>
      </c>
      <c r="Q66" s="87">
        <f>$I$14*$Q$14</f>
        <v>0</v>
      </c>
      <c r="R66" s="87">
        <f>$I$14*$R$14</f>
        <v>0</v>
      </c>
      <c r="S66" s="87">
        <f>$I$14*$S$14</f>
        <v>0</v>
      </c>
      <c r="T66" s="87">
        <f>$I$14*$T$14</f>
        <v>0</v>
      </c>
      <c r="U66" s="87">
        <f>$I$14*$U$14</f>
        <v>0</v>
      </c>
      <c r="V66" s="87">
        <f>$I$14*$V$14</f>
        <v>0</v>
      </c>
      <c r="W66" s="87">
        <f>$I$14*$W$14</f>
        <v>0</v>
      </c>
      <c r="X66" s="87">
        <f>$I$14*$X$14</f>
        <v>0</v>
      </c>
      <c r="Y66" s="87">
        <f>$I$14*$Y$14</f>
        <v>0</v>
      </c>
      <c r="Z66" s="87">
        <f>$I$14*$Z$14</f>
        <v>0</v>
      </c>
      <c r="AA66" s="87">
        <f>$I$14*$AA$14</f>
        <v>0</v>
      </c>
      <c r="AB66" s="87">
        <f ca="1">$I$14*$AB$14</f>
        <v>0</v>
      </c>
      <c r="AC66" s="87">
        <f ca="1">$I$14*$AC$14</f>
        <v>0</v>
      </c>
      <c r="AD66" s="87">
        <f>$I$14*$AD$14</f>
        <v>0</v>
      </c>
      <c r="AE66" s="87">
        <f>$I$14*$AE$14</f>
        <v>0</v>
      </c>
      <c r="AF66" s="87">
        <f ca="1">$I$14*$AF$14</f>
        <v>0</v>
      </c>
      <c r="AG66" s="87">
        <f ca="1">$I$14*$AG$14</f>
        <v>0</v>
      </c>
      <c r="AI66" s="87">
        <f>$I$14*$AI$14</f>
        <v>0</v>
      </c>
      <c r="AJ66" s="87">
        <f>$I$14*$AJ$14</f>
        <v>0</v>
      </c>
      <c r="AK66" s="87">
        <f>$I$14*$AK$14</f>
        <v>0</v>
      </c>
      <c r="AL66" s="87">
        <f>$I$14*$AL$14</f>
        <v>0</v>
      </c>
      <c r="AM66" s="87">
        <f>$I$14*$AM$14</f>
        <v>0</v>
      </c>
      <c r="AN66" s="87">
        <f>$I$14*$AN$14</f>
        <v>0</v>
      </c>
      <c r="AO66" s="87">
        <f>$I$14*$AO$14</f>
        <v>0</v>
      </c>
      <c r="AP66" s="87">
        <f>$I$14*$AP$14</f>
        <v>0</v>
      </c>
      <c r="AQ66" s="87">
        <f>$I$14*$AQ$14</f>
        <v>0</v>
      </c>
      <c r="AR66" s="87">
        <f>$I$14*$AR$14</f>
        <v>0</v>
      </c>
      <c r="AS66" s="87">
        <f>$I$14*$AS$14</f>
        <v>0</v>
      </c>
      <c r="AT66" s="87">
        <f>$I$14*$AT$14</f>
        <v>0</v>
      </c>
      <c r="AU66" s="87">
        <f>$I$14*$AU$14</f>
        <v>0</v>
      </c>
      <c r="AV66" s="87">
        <f>$I$14*$AV$14</f>
        <v>0</v>
      </c>
      <c r="AW66" s="87">
        <f>$I$14*$AW$14</f>
        <v>0</v>
      </c>
      <c r="AX66" s="87">
        <f>$I$14*$AX$14</f>
        <v>0</v>
      </c>
      <c r="AY66" s="87">
        <f>$I$14*$AY$14</f>
        <v>0</v>
      </c>
      <c r="AZ66" s="87">
        <f>$I$14*$AZ$14</f>
        <v>0</v>
      </c>
      <c r="BA66" s="87">
        <f>$I$14*$BA$14</f>
        <v>0</v>
      </c>
      <c r="BB66" s="87">
        <f>$I$14*$BB$14</f>
        <v>0</v>
      </c>
      <c r="BC66" s="87">
        <f>$I$14*$BC$14</f>
        <v>0</v>
      </c>
      <c r="BD66" s="87">
        <f>$I$14*$BD$14</f>
        <v>0</v>
      </c>
    </row>
    <row r="67" spans="1:56" ht="11.25" customHeight="1" x14ac:dyDescent="0.3">
      <c r="A67" s="9" t="s">
        <v>82</v>
      </c>
      <c r="B67" s="9" t="s">
        <v>802</v>
      </c>
      <c r="C67" s="9" t="s">
        <v>803</v>
      </c>
      <c r="D67" s="9" t="s">
        <v>804</v>
      </c>
      <c r="E67" s="9" t="s">
        <v>805</v>
      </c>
      <c r="F67" s="9" t="s">
        <v>806</v>
      </c>
      <c r="G67" s="9" t="s">
        <v>807</v>
      </c>
      <c r="L67" s="87">
        <f>$I$15*$L$15</f>
        <v>0</v>
      </c>
      <c r="M67" s="87">
        <f>$I$15*$M$15</f>
        <v>1.1429806540325494E-10</v>
      </c>
      <c r="N67" s="87">
        <f ca="1">$I$15*$N$15</f>
        <v>0</v>
      </c>
      <c r="O67" s="87">
        <f>$I$15*$O$15</f>
        <v>0</v>
      </c>
      <c r="P67" s="87">
        <f>$I$15*$P$15</f>
        <v>0</v>
      </c>
      <c r="Q67" s="87">
        <f>$I$15*$Q$15</f>
        <v>0</v>
      </c>
      <c r="R67" s="87">
        <f>$I$15*$R$15</f>
        <v>0</v>
      </c>
      <c r="S67" s="87">
        <f>$I$15*$S$15</f>
        <v>0</v>
      </c>
      <c r="T67" s="87">
        <f>$I$15*$T$15</f>
        <v>0</v>
      </c>
      <c r="U67" s="87">
        <f>$I$15*$U$15</f>
        <v>0</v>
      </c>
      <c r="V67" s="87">
        <f>$I$15*$V$15</f>
        <v>0</v>
      </c>
      <c r="W67" s="87">
        <f>$I$15*$W$15</f>
        <v>0</v>
      </c>
      <c r="X67" s="87">
        <f>$I$15*$X$15</f>
        <v>0</v>
      </c>
      <c r="Y67" s="87">
        <f>$I$15*$Y$15</f>
        <v>0</v>
      </c>
      <c r="Z67" s="87">
        <f>$I$15*$Z$15</f>
        <v>0</v>
      </c>
      <c r="AA67" s="87">
        <f>$I$15*$AA$15</f>
        <v>7.2725317815617312E-8</v>
      </c>
      <c r="AB67" s="87">
        <f ca="1">$I$15*$AB$15</f>
        <v>0</v>
      </c>
      <c r="AC67" s="87">
        <f ca="1">$I$15*$AC$15</f>
        <v>0</v>
      </c>
      <c r="AD67" s="87">
        <f>$I$15*$AD$15</f>
        <v>0</v>
      </c>
      <c r="AE67" s="87">
        <f>$I$15*$AE$15</f>
        <v>0</v>
      </c>
      <c r="AF67" s="87">
        <f ca="1">$I$15*$AF$15</f>
        <v>0</v>
      </c>
      <c r="AG67" s="87">
        <f ca="1">$I$15*$AG$15</f>
        <v>0</v>
      </c>
      <c r="AI67" s="87">
        <f>$I$15*$AI$15</f>
        <v>0</v>
      </c>
      <c r="AJ67" s="87">
        <f>$I$15*$AJ$15</f>
        <v>1.26628769037816E-10</v>
      </c>
      <c r="AK67" s="87">
        <f>$I$15*$AK$15</f>
        <v>0</v>
      </c>
      <c r="AL67" s="87">
        <f>$I$15*$AL$15</f>
        <v>0</v>
      </c>
      <c r="AM67" s="87">
        <f>$I$15*$AM$15</f>
        <v>0</v>
      </c>
      <c r="AN67" s="87">
        <f>$I$15*$AN$15</f>
        <v>0</v>
      </c>
      <c r="AO67" s="87">
        <f>$I$15*$AO$15</f>
        <v>0</v>
      </c>
      <c r="AP67" s="87">
        <f>$I$15*$AP$15</f>
        <v>0</v>
      </c>
      <c r="AQ67" s="87">
        <f>$I$15*$AQ$15</f>
        <v>0</v>
      </c>
      <c r="AR67" s="87">
        <f>$I$15*$AR$15</f>
        <v>0</v>
      </c>
      <c r="AS67" s="87">
        <f>$I$15*$AS$15</f>
        <v>0</v>
      </c>
      <c r="AT67" s="87">
        <f>$I$15*$AT$15</f>
        <v>0</v>
      </c>
      <c r="AU67" s="87">
        <f>$I$15*$AU$15</f>
        <v>0</v>
      </c>
      <c r="AV67" s="87">
        <f>$I$15*$AV$15</f>
        <v>0</v>
      </c>
      <c r="AW67" s="87">
        <f>$I$15*$AW$15</f>
        <v>0</v>
      </c>
      <c r="AX67" s="87">
        <f>$I$15*$AX$15</f>
        <v>6.4566810678854103E-8</v>
      </c>
      <c r="AY67" s="87">
        <f>$I$15*$AY$15</f>
        <v>1.3395031507428301E-9</v>
      </c>
      <c r="AZ67" s="87">
        <f>$I$15*$AZ$15</f>
        <v>0</v>
      </c>
      <c r="BA67" s="87">
        <f>$I$15*$BA$15</f>
        <v>0</v>
      </c>
      <c r="BB67" s="87">
        <f>$I$15*$BB$15</f>
        <v>0</v>
      </c>
      <c r="BC67" s="87">
        <f>$I$15*$BC$15</f>
        <v>0</v>
      </c>
      <c r="BD67" s="87">
        <f>$I$15*$BD$15</f>
        <v>0</v>
      </c>
    </row>
    <row r="68" spans="1:56" ht="11.25" customHeight="1" x14ac:dyDescent="0.3">
      <c r="A68" s="9" t="s">
        <v>82</v>
      </c>
      <c r="B68" s="9" t="s">
        <v>802</v>
      </c>
      <c r="C68" s="9" t="s">
        <v>803</v>
      </c>
      <c r="D68" s="9" t="s">
        <v>804</v>
      </c>
      <c r="E68" s="9" t="s">
        <v>808</v>
      </c>
      <c r="F68" s="9" t="s">
        <v>809</v>
      </c>
      <c r="G68" s="9" t="s">
        <v>810</v>
      </c>
      <c r="L68" s="87">
        <f>$I$16*$L$16</f>
        <v>0</v>
      </c>
      <c r="M68" s="87">
        <f>$I$16*$M$16</f>
        <v>1.1429806540325494E-10</v>
      </c>
      <c r="N68" s="87">
        <f ca="1">$I$16*$N$16</f>
        <v>0</v>
      </c>
      <c r="O68" s="87">
        <f>$I$16*$O$16</f>
        <v>0</v>
      </c>
      <c r="P68" s="87">
        <f>$I$16*$P$16</f>
        <v>0</v>
      </c>
      <c r="Q68" s="87">
        <f>$I$16*$Q$16</f>
        <v>0</v>
      </c>
      <c r="R68" s="87">
        <f>$I$16*$R$16</f>
        <v>0</v>
      </c>
      <c r="S68" s="87">
        <f>$I$16*$S$16</f>
        <v>0</v>
      </c>
      <c r="T68" s="87">
        <f>$I$16*$T$16</f>
        <v>0</v>
      </c>
      <c r="U68" s="87">
        <f>$I$16*$U$16</f>
        <v>0</v>
      </c>
      <c r="V68" s="87">
        <f>$I$16*$V$16</f>
        <v>0</v>
      </c>
      <c r="W68" s="87">
        <f>$I$16*$W$16</f>
        <v>0</v>
      </c>
      <c r="X68" s="87">
        <f>$I$16*$X$16</f>
        <v>0</v>
      </c>
      <c r="Y68" s="87">
        <f>$I$16*$Y$16</f>
        <v>0</v>
      </c>
      <c r="Z68" s="87">
        <f>$I$16*$Z$16</f>
        <v>0</v>
      </c>
      <c r="AA68" s="87">
        <f>$I$16*$AA$16</f>
        <v>2.3439414885056987E-7</v>
      </c>
      <c r="AB68" s="87">
        <f ca="1">$I$16*$AB$16</f>
        <v>0</v>
      </c>
      <c r="AC68" s="87">
        <f ca="1">$I$16*$AC$16</f>
        <v>0</v>
      </c>
      <c r="AD68" s="87">
        <f>$I$16*$AD$16</f>
        <v>0</v>
      </c>
      <c r="AE68" s="87">
        <f>$I$16*$AE$16</f>
        <v>0</v>
      </c>
      <c r="AF68" s="87">
        <f ca="1">$I$16*$AF$16</f>
        <v>0</v>
      </c>
      <c r="AG68" s="87">
        <f ca="1">$I$16*$AG$16</f>
        <v>0</v>
      </c>
      <c r="AI68" s="87">
        <f>$I$16*$AI$16</f>
        <v>0</v>
      </c>
      <c r="AJ68" s="87">
        <f>$I$16*$AJ$16</f>
        <v>1.26628769037816E-10</v>
      </c>
      <c r="AK68" s="87">
        <f>$I$16*$AK$16</f>
        <v>0</v>
      </c>
      <c r="AL68" s="87">
        <f>$I$16*$AL$16</f>
        <v>0</v>
      </c>
      <c r="AM68" s="87">
        <f>$I$16*$AM$16</f>
        <v>0</v>
      </c>
      <c r="AN68" s="87">
        <f>$I$16*$AN$16</f>
        <v>0</v>
      </c>
      <c r="AO68" s="87">
        <f>$I$16*$AO$16</f>
        <v>0</v>
      </c>
      <c r="AP68" s="87">
        <f>$I$16*$AP$16</f>
        <v>0</v>
      </c>
      <c r="AQ68" s="87">
        <f>$I$16*$AQ$16</f>
        <v>0</v>
      </c>
      <c r="AR68" s="87">
        <f>$I$16*$AR$16</f>
        <v>0</v>
      </c>
      <c r="AS68" s="87">
        <f>$I$16*$AS$16</f>
        <v>0</v>
      </c>
      <c r="AT68" s="87">
        <f>$I$16*$AT$16</f>
        <v>0</v>
      </c>
      <c r="AU68" s="87">
        <f>$I$16*$AU$16</f>
        <v>0</v>
      </c>
      <c r="AV68" s="87">
        <f>$I$16*$AV$16</f>
        <v>0</v>
      </c>
      <c r="AW68" s="87">
        <f>$I$16*$AW$16</f>
        <v>0</v>
      </c>
      <c r="AX68" s="87">
        <f>$I$16*$AX$16</f>
        <v>2.0809601281713001E-7</v>
      </c>
      <c r="AY68" s="87">
        <f>$I$16*$AY$16</f>
        <v>4.3118652081577305E-9</v>
      </c>
      <c r="AZ68" s="87">
        <f>$I$16*$AZ$16</f>
        <v>0</v>
      </c>
      <c r="BA68" s="87">
        <f>$I$16*$BA$16</f>
        <v>0</v>
      </c>
      <c r="BB68" s="87">
        <f>$I$16*$BB$16</f>
        <v>0</v>
      </c>
      <c r="BC68" s="87">
        <f>$I$16*$BC$16</f>
        <v>0</v>
      </c>
      <c r="BD68" s="87">
        <f>$I$16*$BD$16</f>
        <v>0</v>
      </c>
    </row>
    <row r="69" spans="1:56" ht="11.25" customHeight="1" x14ac:dyDescent="0.3">
      <c r="A69" s="9" t="s">
        <v>22</v>
      </c>
      <c r="B69" s="9" t="s">
        <v>811</v>
      </c>
      <c r="C69" s="9" t="s">
        <v>812</v>
      </c>
      <c r="D69" s="9" t="s">
        <v>813</v>
      </c>
      <c r="E69" s="9" t="s">
        <v>814</v>
      </c>
      <c r="F69" s="9" t="s">
        <v>815</v>
      </c>
      <c r="G69" s="9" t="s">
        <v>816</v>
      </c>
      <c r="L69" s="87">
        <f>$I$17*$L$17</f>
        <v>0.43272220343206841</v>
      </c>
      <c r="M69" s="87">
        <f>$I$17*$M$17</f>
        <v>0.10150396021053967</v>
      </c>
      <c r="N69" s="87">
        <f ca="1">$I$17*$N$17</f>
        <v>0</v>
      </c>
      <c r="O69" s="87">
        <f>$I$17*$O$17</f>
        <v>0</v>
      </c>
      <c r="P69" s="87">
        <f>$I$17*$P$17</f>
        <v>0</v>
      </c>
      <c r="Q69" s="87">
        <f>$I$17*$Q$17</f>
        <v>2.8575061748203838</v>
      </c>
      <c r="R69" s="87">
        <f>$I$17*$R$17</f>
        <v>0.4737327193852911</v>
      </c>
      <c r="S69" s="87">
        <f>$I$17*$S$17</f>
        <v>0</v>
      </c>
      <c r="T69" s="87">
        <f>$I$17*$T$17</f>
        <v>0</v>
      </c>
      <c r="U69" s="87">
        <f>$I$17*$U$17</f>
        <v>0</v>
      </c>
      <c r="V69" s="87">
        <f>$I$17*$V$17</f>
        <v>0</v>
      </c>
      <c r="W69" s="87">
        <f>$I$17*$W$17</f>
        <v>0</v>
      </c>
      <c r="X69" s="87">
        <f>$I$17*$X$17</f>
        <v>22.103374507370699</v>
      </c>
      <c r="Y69" s="87">
        <f>$I$17*$Y$17</f>
        <v>0</v>
      </c>
      <c r="Z69" s="87">
        <f>$I$17*$Z$17</f>
        <v>0</v>
      </c>
      <c r="AA69" s="87">
        <f>$I$17*$AA$17</f>
        <v>45.756267288892211</v>
      </c>
      <c r="AB69" s="87">
        <f ca="1">$I$17*$AB$17</f>
        <v>0</v>
      </c>
      <c r="AC69" s="87">
        <f ca="1">$I$17*$AC$17</f>
        <v>0</v>
      </c>
      <c r="AD69" s="87">
        <f>$I$17*$AD$17</f>
        <v>0.93504488797480956</v>
      </c>
      <c r="AE69" s="87">
        <f>$I$17*$AE$17</f>
        <v>0</v>
      </c>
      <c r="AF69" s="87">
        <f ca="1">$I$17*$AF$17</f>
        <v>0.51004854209348593</v>
      </c>
      <c r="AG69" s="87">
        <f ca="1">$I$17*$AG$17</f>
        <v>0</v>
      </c>
      <c r="AI69" s="87">
        <f>$I$17*$AI$17</f>
        <v>0</v>
      </c>
      <c r="AJ69" s="87">
        <f>$I$17*$AJ$17</f>
        <v>8.0408257210402456E-2</v>
      </c>
      <c r="AK69" s="87">
        <f>$I$17*$AK$17</f>
        <v>0</v>
      </c>
      <c r="AL69" s="87">
        <f>$I$17*$AL$17</f>
        <v>0</v>
      </c>
      <c r="AM69" s="87">
        <f>$I$17*$AM$17</f>
        <v>0</v>
      </c>
      <c r="AN69" s="87">
        <f>$I$17*$AN$17</f>
        <v>2.3074675106788622</v>
      </c>
      <c r="AO69" s="87">
        <f>$I$17*$AO$17</f>
        <v>0.29313805355747546</v>
      </c>
      <c r="AP69" s="87">
        <f>$I$17*$AP$17</f>
        <v>0</v>
      </c>
      <c r="AQ69" s="87">
        <f>$I$17*$AQ$17</f>
        <v>0</v>
      </c>
      <c r="AR69" s="87">
        <f>$I$17*$AR$17</f>
        <v>0</v>
      </c>
      <c r="AS69" s="87">
        <f>$I$17*$AS$17</f>
        <v>0</v>
      </c>
      <c r="AT69" s="87">
        <f>$I$17*$AT$17</f>
        <v>0</v>
      </c>
      <c r="AU69" s="87">
        <f>$I$17*$AU$17</f>
        <v>20.294288919869068</v>
      </c>
      <c r="AV69" s="87">
        <f>$I$17*$AV$17</f>
        <v>0</v>
      </c>
      <c r="AW69" s="87">
        <f>$I$17*$AW$17</f>
        <v>0</v>
      </c>
      <c r="AX69" s="87">
        <f>$I$17*$AX$17</f>
        <v>40.622628634458408</v>
      </c>
      <c r="AY69" s="87">
        <f>$I$17*$AY$17</f>
        <v>1.2012198341445715</v>
      </c>
      <c r="AZ69" s="87">
        <f>$I$17*$AZ$17</f>
        <v>0</v>
      </c>
      <c r="BA69" s="87">
        <f>$I$17*$BA$17</f>
        <v>1.1586734278665796</v>
      </c>
      <c r="BB69" s="87">
        <f>$I$17*$BB$17</f>
        <v>0</v>
      </c>
      <c r="BC69" s="87">
        <f>$I$17*$BC$17</f>
        <v>0</v>
      </c>
      <c r="BD69" s="87">
        <f>$I$17*$BD$17</f>
        <v>0</v>
      </c>
    </row>
    <row r="70" spans="1:56" ht="11.25" customHeight="1" x14ac:dyDescent="0.3">
      <c r="A70" s="9" t="s">
        <v>22</v>
      </c>
      <c r="B70" s="9" t="s">
        <v>811</v>
      </c>
      <c r="C70" s="9" t="s">
        <v>812</v>
      </c>
      <c r="D70" s="9" t="s">
        <v>813</v>
      </c>
      <c r="E70" s="9" t="s">
        <v>814</v>
      </c>
      <c r="F70" s="9" t="s">
        <v>815</v>
      </c>
      <c r="G70" s="9" t="s">
        <v>817</v>
      </c>
      <c r="L70" s="87">
        <f>$I$18*$L$18</f>
        <v>0</v>
      </c>
      <c r="M70" s="87">
        <f>$I$18*$M$18</f>
        <v>0</v>
      </c>
      <c r="N70" s="87">
        <f ca="1">$I$18*$N$18</f>
        <v>0</v>
      </c>
      <c r="O70" s="87">
        <f>$I$18*$O$18</f>
        <v>0</v>
      </c>
      <c r="P70" s="87">
        <f>$I$18*$P$18</f>
        <v>0</v>
      </c>
      <c r="Q70" s="87">
        <f>$I$18*$Q$18</f>
        <v>0</v>
      </c>
      <c r="R70" s="87">
        <f>$I$18*$R$18</f>
        <v>0</v>
      </c>
      <c r="S70" s="87">
        <f>$I$18*$S$18</f>
        <v>0</v>
      </c>
      <c r="T70" s="87">
        <f>$I$18*$T$18</f>
        <v>0</v>
      </c>
      <c r="U70" s="87">
        <f>$I$18*$U$18</f>
        <v>0</v>
      </c>
      <c r="V70" s="87">
        <f>$I$18*$V$18</f>
        <v>0</v>
      </c>
      <c r="W70" s="87">
        <f>$I$18*$W$18</f>
        <v>0</v>
      </c>
      <c r="X70" s="87">
        <f>$I$18*$X$18</f>
        <v>0</v>
      </c>
      <c r="Y70" s="87">
        <f>$I$18*$Y$18</f>
        <v>0</v>
      </c>
      <c r="Z70" s="87">
        <f>$I$18*$Z$18</f>
        <v>0</v>
      </c>
      <c r="AA70" s="87">
        <f>$I$18*$AA$18</f>
        <v>0</v>
      </c>
      <c r="AB70" s="87">
        <f ca="1">$I$18*$AB$18</f>
        <v>0</v>
      </c>
      <c r="AC70" s="87">
        <f ca="1">$I$18*$AC$18</f>
        <v>0</v>
      </c>
      <c r="AD70" s="87">
        <f>$I$18*$AD$18</f>
        <v>0</v>
      </c>
      <c r="AE70" s="87">
        <f>$I$18*$AE$18</f>
        <v>0</v>
      </c>
      <c r="AF70" s="87">
        <f ca="1">$I$18*$AF$18</f>
        <v>0</v>
      </c>
      <c r="AG70" s="87">
        <f ca="1">$I$18*$AG$18</f>
        <v>0</v>
      </c>
      <c r="AI70" s="87">
        <f>$I$18*$AI$18</f>
        <v>0</v>
      </c>
      <c r="AJ70" s="87">
        <f>$I$18*$AJ$18</f>
        <v>0</v>
      </c>
      <c r="AK70" s="87">
        <f>$I$18*$AK$18</f>
        <v>0</v>
      </c>
      <c r="AL70" s="87">
        <f>$I$18*$AL$18</f>
        <v>0</v>
      </c>
      <c r="AM70" s="87">
        <f>$I$18*$AM$18</f>
        <v>0</v>
      </c>
      <c r="AN70" s="87">
        <f>$I$18*$AN$18</f>
        <v>0</v>
      </c>
      <c r="AO70" s="87">
        <f>$I$18*$AO$18</f>
        <v>0</v>
      </c>
      <c r="AP70" s="87">
        <f>$I$18*$AP$18</f>
        <v>0</v>
      </c>
      <c r="AQ70" s="87">
        <f>$I$18*$AQ$18</f>
        <v>0</v>
      </c>
      <c r="AR70" s="87">
        <f>$I$18*$AR$18</f>
        <v>0</v>
      </c>
      <c r="AS70" s="87">
        <f>$I$18*$AS$18</f>
        <v>0</v>
      </c>
      <c r="AT70" s="87">
        <f>$I$18*$AT$18</f>
        <v>0</v>
      </c>
      <c r="AU70" s="87">
        <f>$I$18*$AU$18</f>
        <v>0</v>
      </c>
      <c r="AV70" s="87">
        <f>$I$18*$AV$18</f>
        <v>0</v>
      </c>
      <c r="AW70" s="87">
        <f>$I$18*$AW$18</f>
        <v>0</v>
      </c>
      <c r="AX70" s="87">
        <f>$I$18*$AX$18</f>
        <v>0</v>
      </c>
      <c r="AY70" s="87">
        <f>$I$18*$AY$18</f>
        <v>0</v>
      </c>
      <c r="AZ70" s="87">
        <f>$I$18*$AZ$18</f>
        <v>0</v>
      </c>
      <c r="BA70" s="87">
        <f>$I$18*$BA$18</f>
        <v>0</v>
      </c>
      <c r="BB70" s="87">
        <f>$I$18*$BB$18</f>
        <v>0</v>
      </c>
      <c r="BC70" s="87">
        <f>$I$18*$BC$18</f>
        <v>0</v>
      </c>
      <c r="BD70" s="87">
        <f>$I$18*$BD$18</f>
        <v>0</v>
      </c>
    </row>
    <row r="71" spans="1:56" ht="11.25" customHeight="1" x14ac:dyDescent="0.3">
      <c r="A71" s="9" t="s">
        <v>22</v>
      </c>
      <c r="B71" s="9" t="s">
        <v>811</v>
      </c>
      <c r="C71" s="9" t="s">
        <v>812</v>
      </c>
      <c r="D71" s="9" t="s">
        <v>813</v>
      </c>
      <c r="E71" s="9" t="s">
        <v>814</v>
      </c>
      <c r="F71" s="9" t="s">
        <v>815</v>
      </c>
      <c r="G71" s="9" t="s">
        <v>818</v>
      </c>
      <c r="L71" s="87">
        <f>$I$19*$L$19</f>
        <v>9.9246931174258251</v>
      </c>
      <c r="M71" s="87">
        <f>$I$19*$M$19</f>
        <v>2.3280424422481838</v>
      </c>
      <c r="N71" s="87">
        <f ca="1">$I$19*$N$19</f>
        <v>0</v>
      </c>
      <c r="O71" s="87">
        <f>$I$19*$O$19</f>
        <v>0</v>
      </c>
      <c r="P71" s="87">
        <f>$I$19*$P$19</f>
        <v>0</v>
      </c>
      <c r="Q71" s="87">
        <f>$I$19*$Q$19</f>
        <v>65.538286783783633</v>
      </c>
      <c r="R71" s="87">
        <f>$I$19*$R$19</f>
        <v>10.86528914461103</v>
      </c>
      <c r="S71" s="87">
        <f>$I$19*$S$19</f>
        <v>0</v>
      </c>
      <c r="T71" s="87">
        <f>$I$19*$T$19</f>
        <v>0</v>
      </c>
      <c r="U71" s="87">
        <f>$I$19*$U$19</f>
        <v>0</v>
      </c>
      <c r="V71" s="87">
        <f>$I$19*$V$19</f>
        <v>0</v>
      </c>
      <c r="W71" s="87">
        <f>$I$19*$W$19</f>
        <v>0</v>
      </c>
      <c r="X71" s="87">
        <f>$I$19*$X$19</f>
        <v>101.39138416913191</v>
      </c>
      <c r="Y71" s="87">
        <f>$I$19*$Y$19</f>
        <v>0</v>
      </c>
      <c r="Z71" s="87">
        <f>$I$19*$Z$19</f>
        <v>0</v>
      </c>
      <c r="AA71" s="87">
        <f>$I$19*$AA$19</f>
        <v>209.88836371583497</v>
      </c>
      <c r="AB71" s="87">
        <f ca="1">$I$19*$AB$19</f>
        <v>0</v>
      </c>
      <c r="AC71" s="87">
        <f ca="1">$I$19*$AC$19</f>
        <v>0</v>
      </c>
      <c r="AD71" s="87">
        <f>$I$19*$AD$19</f>
        <v>21.445706946777079</v>
      </c>
      <c r="AE71" s="87">
        <f>$I$19*$AE$19</f>
        <v>0</v>
      </c>
      <c r="AF71" s="87">
        <f ca="1">$I$19*$AF$19</f>
        <v>11.698210110595756</v>
      </c>
      <c r="AG71" s="87">
        <f ca="1">$I$19*$AG$19</f>
        <v>0</v>
      </c>
      <c r="AI71" s="87">
        <f>$I$19*$AI$19</f>
        <v>0</v>
      </c>
      <c r="AJ71" s="87">
        <f>$I$19*$AJ$19</f>
        <v>1.8442022863418108</v>
      </c>
      <c r="AK71" s="87">
        <f>$I$19*$AK$19</f>
        <v>0</v>
      </c>
      <c r="AL71" s="87">
        <f>$I$19*$AL$19</f>
        <v>0</v>
      </c>
      <c r="AM71" s="87">
        <f>$I$19*$AM$19</f>
        <v>0</v>
      </c>
      <c r="AN71" s="87">
        <f>$I$19*$AN$19</f>
        <v>52.922883873957126</v>
      </c>
      <c r="AO71" s="87">
        <f>$I$19*$AO$19</f>
        <v>6.7232630993343552</v>
      </c>
      <c r="AP71" s="87">
        <f>$I$19*$AP$19</f>
        <v>0</v>
      </c>
      <c r="AQ71" s="87">
        <f>$I$19*$AQ$19</f>
        <v>0</v>
      </c>
      <c r="AR71" s="87">
        <f>$I$19*$AR$19</f>
        <v>0</v>
      </c>
      <c r="AS71" s="87">
        <f>$I$19*$AS$19</f>
        <v>0</v>
      </c>
      <c r="AT71" s="87">
        <f>$I$19*$AT$19</f>
        <v>0</v>
      </c>
      <c r="AU71" s="87">
        <f>$I$19*$AU$19</f>
        <v>93.091538156030097</v>
      </c>
      <c r="AV71" s="87">
        <f>$I$19*$AV$19</f>
        <v>0</v>
      </c>
      <c r="AW71" s="87">
        <f>$I$19*$AW$19</f>
        <v>0</v>
      </c>
      <c r="AX71" s="87">
        <f>$I$19*$AX$19</f>
        <v>186.33985553298268</v>
      </c>
      <c r="AY71" s="87">
        <f>$I$19*$AY$19</f>
        <v>6.7458244283109625</v>
      </c>
      <c r="AZ71" s="87">
        <f>$I$19*$AZ$19</f>
        <v>0</v>
      </c>
      <c r="BA71" s="87">
        <f>$I$19*$BA$19</f>
        <v>26.574735716552837</v>
      </c>
      <c r="BB71" s="87">
        <f>$I$19*$BB$19</f>
        <v>0</v>
      </c>
      <c r="BC71" s="87">
        <f>$I$19*$BC$19</f>
        <v>0</v>
      </c>
      <c r="BD71" s="87">
        <f>$I$19*$BD$19</f>
        <v>0</v>
      </c>
    </row>
    <row r="72" spans="1:56" ht="11.25" customHeight="1" x14ac:dyDescent="0.3">
      <c r="A72" s="9" t="s">
        <v>22</v>
      </c>
      <c r="B72" s="9" t="s">
        <v>819</v>
      </c>
      <c r="C72" s="9" t="s">
        <v>820</v>
      </c>
      <c r="D72" s="9" t="s">
        <v>821</v>
      </c>
      <c r="E72" s="9" t="s">
        <v>822</v>
      </c>
      <c r="F72" s="9" t="s">
        <v>823</v>
      </c>
      <c r="G72" s="9" t="s">
        <v>824</v>
      </c>
      <c r="L72" s="87">
        <f>$I$20*$L$20</f>
        <v>137862.37662827902</v>
      </c>
      <c r="M72" s="87">
        <f>$I$20*$M$20</f>
        <v>32338.477389926844</v>
      </c>
      <c r="N72" s="87">
        <f ca="1">$I$20*$N$20</f>
        <v>0</v>
      </c>
      <c r="O72" s="87">
        <f>$I$20*$O$20</f>
        <v>0</v>
      </c>
      <c r="P72" s="87">
        <f>$I$20*$P$20</f>
        <v>0</v>
      </c>
      <c r="Q72" s="87">
        <f>$I$20*$Q$20</f>
        <v>910382.20217549882</v>
      </c>
      <c r="R72" s="87">
        <f>$I$20*$R$20</f>
        <v>150928.05052072305</v>
      </c>
      <c r="S72" s="87">
        <f>$I$20*$S$20</f>
        <v>0</v>
      </c>
      <c r="T72" s="87">
        <f>$I$20*$T$20</f>
        <v>0</v>
      </c>
      <c r="U72" s="87">
        <f>$I$20*$U$20</f>
        <v>0</v>
      </c>
      <c r="V72" s="87">
        <f>$I$20*$V$20</f>
        <v>0</v>
      </c>
      <c r="W72" s="87">
        <f>$I$20*$W$20</f>
        <v>0</v>
      </c>
      <c r="X72" s="87">
        <f>$I$20*$X$20</f>
        <v>2608146.8394348118</v>
      </c>
      <c r="Y72" s="87">
        <f>$I$20*$Y$20</f>
        <v>0</v>
      </c>
      <c r="Z72" s="87">
        <f>$I$20*$Z$20</f>
        <v>0</v>
      </c>
      <c r="AA72" s="87">
        <f>$I$20*$AA$20</f>
        <v>5399127.2913921811</v>
      </c>
      <c r="AB72" s="87">
        <f ca="1">$I$20*$AB$20</f>
        <v>0</v>
      </c>
      <c r="AC72" s="87">
        <f ca="1">$I$20*$AC$20</f>
        <v>0</v>
      </c>
      <c r="AD72" s="87">
        <f>$I$20*$AD$20</f>
        <v>297898.99729646504</v>
      </c>
      <c r="AE72" s="87">
        <f>$I$20*$AE$20</f>
        <v>0</v>
      </c>
      <c r="AF72" s="87">
        <f ca="1">$I$20*$AF$20</f>
        <v>162498.02679662019</v>
      </c>
      <c r="AG72" s="87">
        <f ca="1">$I$20*$AG$20</f>
        <v>0</v>
      </c>
      <c r="AI72" s="87">
        <f>$I$20*$AI$20</f>
        <v>0</v>
      </c>
      <c r="AJ72" s="87">
        <f>$I$20*$AJ$20</f>
        <v>25617.528639951739</v>
      </c>
      <c r="AK72" s="87">
        <f>$I$20*$AK$20</f>
        <v>0</v>
      </c>
      <c r="AL72" s="87">
        <f>$I$20*$AL$20</f>
        <v>0</v>
      </c>
      <c r="AM72" s="87">
        <f>$I$20*$AM$20</f>
        <v>0</v>
      </c>
      <c r="AN72" s="87">
        <f>$I$20*$AN$20</f>
        <v>735143.59210519737</v>
      </c>
      <c r="AO72" s="87">
        <f>$I$20*$AO$20</f>
        <v>93391.807545566728</v>
      </c>
      <c r="AP72" s="87">
        <f>$I$20*$AP$20</f>
        <v>0</v>
      </c>
      <c r="AQ72" s="87">
        <f>$I$20*$AQ$20</f>
        <v>0</v>
      </c>
      <c r="AR72" s="87">
        <f>$I$20*$AR$20</f>
        <v>0</v>
      </c>
      <c r="AS72" s="87">
        <f>$I$20*$AS$20</f>
        <v>0</v>
      </c>
      <c r="AT72" s="87">
        <f>$I$20*$AT$20</f>
        <v>0</v>
      </c>
      <c r="AU72" s="87">
        <f>$I$20*$AU$20</f>
        <v>2394670.4378752257</v>
      </c>
      <c r="AV72" s="87">
        <f>$I$20*$AV$20</f>
        <v>0</v>
      </c>
      <c r="AW72" s="87">
        <f>$I$20*$AW$20</f>
        <v>0</v>
      </c>
      <c r="AX72" s="87">
        <f>$I$20*$AX$20</f>
        <v>4793370.2821402829</v>
      </c>
      <c r="AY72" s="87">
        <f>$I$20*$AY$20</f>
        <v>155250.53527293887</v>
      </c>
      <c r="AZ72" s="87">
        <f>$I$20*$AZ$20</f>
        <v>0</v>
      </c>
      <c r="BA72" s="87">
        <f>$I$20*$BA$20</f>
        <v>369145.54241679469</v>
      </c>
      <c r="BB72" s="87">
        <f>$I$20*$BB$20</f>
        <v>0</v>
      </c>
      <c r="BC72" s="87">
        <f>$I$20*$BC$20</f>
        <v>0</v>
      </c>
      <c r="BD72" s="87">
        <f>$I$20*$BD$20</f>
        <v>0</v>
      </c>
    </row>
    <row r="73" spans="1:56" ht="11.25" customHeight="1" x14ac:dyDescent="0.3">
      <c r="A73" s="9" t="s">
        <v>22</v>
      </c>
      <c r="B73" s="9" t="s">
        <v>819</v>
      </c>
      <c r="C73" s="9" t="s">
        <v>820</v>
      </c>
      <c r="D73" s="9" t="s">
        <v>825</v>
      </c>
      <c r="E73" s="9" t="s">
        <v>826</v>
      </c>
      <c r="F73" s="9" t="s">
        <v>827</v>
      </c>
      <c r="G73" s="9" t="s">
        <v>828</v>
      </c>
      <c r="L73" s="87">
        <f>$I$21*$L$21</f>
        <v>0</v>
      </c>
      <c r="M73" s="87">
        <f>$I$21*$M$21</f>
        <v>44.213160474932813</v>
      </c>
      <c r="N73" s="87">
        <f ca="1">$I$21*$N$21</f>
        <v>0</v>
      </c>
      <c r="O73" s="87">
        <f>$I$21*$O$21</f>
        <v>0</v>
      </c>
      <c r="P73" s="87">
        <f>$I$21*$P$21</f>
        <v>0</v>
      </c>
      <c r="Q73" s="87">
        <f>$I$21*$Q$21</f>
        <v>0</v>
      </c>
      <c r="R73" s="87">
        <f>$I$21*$R$21</f>
        <v>0</v>
      </c>
      <c r="S73" s="87">
        <f>$I$21*$S$21</f>
        <v>0</v>
      </c>
      <c r="T73" s="87">
        <f>$I$21*$T$21</f>
        <v>0</v>
      </c>
      <c r="U73" s="87">
        <f>$I$21*$U$21</f>
        <v>0</v>
      </c>
      <c r="V73" s="87">
        <f>$I$21*$V$21</f>
        <v>0</v>
      </c>
      <c r="W73" s="87">
        <f>$I$21*$W$21</f>
        <v>0</v>
      </c>
      <c r="X73" s="87">
        <f>$I$21*$X$21</f>
        <v>3565.8578900823445</v>
      </c>
      <c r="Y73" s="87">
        <f>$I$21*$Y$21</f>
        <v>0</v>
      </c>
      <c r="Z73" s="87">
        <f>$I$21*$Z$21</f>
        <v>0</v>
      </c>
      <c r="AA73" s="87">
        <f>$I$21*$AA$21</f>
        <v>7381.6858623426933</v>
      </c>
      <c r="AB73" s="87">
        <f ca="1">$I$21*$AB$21</f>
        <v>0</v>
      </c>
      <c r="AC73" s="87">
        <f ca="1">$I$21*$AC$21</f>
        <v>0</v>
      </c>
      <c r="AD73" s="87">
        <f>$I$21*$AD$21</f>
        <v>407.28745555883393</v>
      </c>
      <c r="AE73" s="87">
        <f>$I$21*$AE$21</f>
        <v>0</v>
      </c>
      <c r="AF73" s="87">
        <f ca="1">$I$21*$AF$21</f>
        <v>222.16727302865613</v>
      </c>
      <c r="AG73" s="87">
        <f ca="1">$I$21*$AG$21</f>
        <v>0</v>
      </c>
      <c r="AI73" s="87">
        <f>$I$21*$AI$21</f>
        <v>0</v>
      </c>
      <c r="AJ73" s="87">
        <f>$I$21*$AJ$21</f>
        <v>35.024280552002118</v>
      </c>
      <c r="AK73" s="87">
        <f>$I$21*$AK$21</f>
        <v>0</v>
      </c>
      <c r="AL73" s="87">
        <f>$I$21*$AL$21</f>
        <v>0</v>
      </c>
      <c r="AM73" s="87">
        <f>$I$21*$AM$21</f>
        <v>0</v>
      </c>
      <c r="AN73" s="87">
        <f>$I$21*$AN$21</f>
        <v>0</v>
      </c>
      <c r="AO73" s="87">
        <f>$I$21*$AO$21</f>
        <v>0</v>
      </c>
      <c r="AP73" s="87">
        <f>$I$21*$AP$21</f>
        <v>0</v>
      </c>
      <c r="AQ73" s="87">
        <f>$I$21*$AQ$21</f>
        <v>0</v>
      </c>
      <c r="AR73" s="87">
        <f>$I$21*$AR$21</f>
        <v>0</v>
      </c>
      <c r="AS73" s="87">
        <f>$I$21*$AS$21</f>
        <v>0</v>
      </c>
      <c r="AT73" s="87">
        <f>$I$21*$AT$21</f>
        <v>0</v>
      </c>
      <c r="AU73" s="87">
        <f>$I$21*$AU$21</f>
        <v>3273.9929922407077</v>
      </c>
      <c r="AV73" s="87">
        <f>$I$21*$AV$21</f>
        <v>0</v>
      </c>
      <c r="AW73" s="87">
        <f>$I$21*$AW$21</f>
        <v>0</v>
      </c>
      <c r="AX73" s="87">
        <f>$I$21*$AX$21</f>
        <v>6553.4949881733255</v>
      </c>
      <c r="AY73" s="87">
        <f>$I$21*$AY$21</f>
        <v>191.2586949596826</v>
      </c>
      <c r="AZ73" s="87">
        <f>$I$21*$AZ$21</f>
        <v>0</v>
      </c>
      <c r="BA73" s="87">
        <f>$I$21*$BA$21</f>
        <v>504.69571924136943</v>
      </c>
      <c r="BB73" s="87">
        <f>$I$21*$BB$21</f>
        <v>0</v>
      </c>
      <c r="BC73" s="87">
        <f>$I$21*$BC$21</f>
        <v>0</v>
      </c>
      <c r="BD73" s="87">
        <f>$I$21*$BD$21</f>
        <v>0</v>
      </c>
    </row>
    <row r="74" spans="1:56" ht="11.25" customHeight="1" x14ac:dyDescent="0.3">
      <c r="A74" s="9" t="s">
        <v>22</v>
      </c>
      <c r="B74" s="9" t="s">
        <v>819</v>
      </c>
      <c r="C74" s="9" t="s">
        <v>820</v>
      </c>
      <c r="D74" s="9" t="s">
        <v>829</v>
      </c>
      <c r="E74" s="9" t="s">
        <v>830</v>
      </c>
      <c r="F74" s="9" t="s">
        <v>831</v>
      </c>
      <c r="G74" s="9" t="s">
        <v>832</v>
      </c>
      <c r="L74" s="87">
        <f>$I$22*$L$22</f>
        <v>0</v>
      </c>
      <c r="M74" s="87">
        <f>$I$22*$M$22</f>
        <v>151.51135965284573</v>
      </c>
      <c r="N74" s="87">
        <f ca="1">$I$22*$N$22</f>
        <v>0</v>
      </c>
      <c r="O74" s="87">
        <f>$I$22*$O$22</f>
        <v>0</v>
      </c>
      <c r="P74" s="87">
        <f>$I$22*$P$22</f>
        <v>0</v>
      </c>
      <c r="Q74" s="87">
        <f>$I$22*$Q$22</f>
        <v>0</v>
      </c>
      <c r="R74" s="87">
        <f>$I$22*$R$22</f>
        <v>0</v>
      </c>
      <c r="S74" s="87">
        <f>$I$22*$S$22</f>
        <v>0</v>
      </c>
      <c r="T74" s="87">
        <f>$I$22*$T$22</f>
        <v>0</v>
      </c>
      <c r="U74" s="87">
        <f>$I$22*$U$22</f>
        <v>0</v>
      </c>
      <c r="V74" s="87">
        <f>$I$22*$V$22</f>
        <v>0</v>
      </c>
      <c r="W74" s="87">
        <f>$I$22*$W$22</f>
        <v>0</v>
      </c>
      <c r="X74" s="87">
        <f>$I$22*$X$22</f>
        <v>12219.619033149991</v>
      </c>
      <c r="Y74" s="87">
        <f>$I$22*$Y$22</f>
        <v>0</v>
      </c>
      <c r="Z74" s="87">
        <f>$I$22*$Z$22</f>
        <v>0</v>
      </c>
      <c r="AA74" s="87">
        <f>$I$22*$AA$22</f>
        <v>25295.845162840738</v>
      </c>
      <c r="AB74" s="87">
        <f ca="1">$I$22*$AB$22</f>
        <v>0</v>
      </c>
      <c r="AC74" s="87">
        <f ca="1">$I$22*$AC$22</f>
        <v>0</v>
      </c>
      <c r="AD74" s="87">
        <f>$I$22*$AD$22</f>
        <v>1395.7083252678442</v>
      </c>
      <c r="AE74" s="87">
        <f>$I$22*$AE$22</f>
        <v>0</v>
      </c>
      <c r="AF74" s="87">
        <f ca="1">$I$22*$AF$22</f>
        <v>761.33136028629144</v>
      </c>
      <c r="AG74" s="87">
        <f ca="1">$I$22*$AG$22</f>
        <v>0</v>
      </c>
      <c r="AI74" s="87">
        <f>$I$22*$AI$22</f>
        <v>0</v>
      </c>
      <c r="AJ74" s="87">
        <f>$I$22*$AJ$22</f>
        <v>120.02255234174446</v>
      </c>
      <c r="AK74" s="87">
        <f>$I$22*$AK$22</f>
        <v>0</v>
      </c>
      <c r="AL74" s="87">
        <f>$I$22*$AL$22</f>
        <v>0</v>
      </c>
      <c r="AM74" s="87">
        <f>$I$22*$AM$22</f>
        <v>0</v>
      </c>
      <c r="AN74" s="87">
        <f>$I$22*$AN$22</f>
        <v>0</v>
      </c>
      <c r="AO74" s="87">
        <f>$I$22*$AO$22</f>
        <v>0</v>
      </c>
      <c r="AP74" s="87">
        <f>$I$22*$AP$22</f>
        <v>0</v>
      </c>
      <c r="AQ74" s="87">
        <f>$I$22*$AQ$22</f>
        <v>0</v>
      </c>
      <c r="AR74" s="87">
        <f>$I$22*$AR$22</f>
        <v>0</v>
      </c>
      <c r="AS74" s="87">
        <f>$I$22*$AS$22</f>
        <v>0</v>
      </c>
      <c r="AT74" s="87">
        <f>$I$22*$AT$22</f>
        <v>0</v>
      </c>
      <c r="AU74" s="87">
        <f>$I$22*$AU$22</f>
        <v>11219.445170166442</v>
      </c>
      <c r="AV74" s="87">
        <f>$I$22*$AV$22</f>
        <v>0</v>
      </c>
      <c r="AW74" s="87">
        <f>$I$22*$AW$22</f>
        <v>0</v>
      </c>
      <c r="AX74" s="87">
        <f>$I$22*$AX$22</f>
        <v>22457.768806172666</v>
      </c>
      <c r="AY74" s="87">
        <f>$I$22*$AY$22</f>
        <v>655.41265558701059</v>
      </c>
      <c r="AZ74" s="87">
        <f>$I$22*$AZ$22</f>
        <v>0</v>
      </c>
      <c r="BA74" s="87">
        <f>$I$22*$BA$22</f>
        <v>1729.5107115580349</v>
      </c>
      <c r="BB74" s="87">
        <f>$I$22*$BB$22</f>
        <v>0</v>
      </c>
      <c r="BC74" s="87">
        <f>$I$22*$BC$22</f>
        <v>0</v>
      </c>
      <c r="BD74" s="87">
        <f>$I$22*$BD$22</f>
        <v>0</v>
      </c>
    </row>
    <row r="75" spans="1:56" ht="11.25" customHeight="1" x14ac:dyDescent="0.3">
      <c r="A75" s="9" t="s">
        <v>22</v>
      </c>
      <c r="B75" s="9" t="s">
        <v>819</v>
      </c>
      <c r="C75" s="9" t="s">
        <v>820</v>
      </c>
      <c r="D75" s="9" t="s">
        <v>833</v>
      </c>
      <c r="E75" s="9" t="s">
        <v>834</v>
      </c>
      <c r="F75" s="9" t="s">
        <v>835</v>
      </c>
      <c r="G75" s="9" t="s">
        <v>836</v>
      </c>
      <c r="L75" s="87">
        <f>$I$23*$L$23</f>
        <v>0</v>
      </c>
      <c r="M75" s="87">
        <f>$I$23*$M$23</f>
        <v>160.51705294842859</v>
      </c>
      <c r="N75" s="87">
        <f ca="1">$I$23*$N$23</f>
        <v>0</v>
      </c>
      <c r="O75" s="87">
        <f>$I$23*$O$23</f>
        <v>0</v>
      </c>
      <c r="P75" s="87">
        <f>$I$23*$P$23</f>
        <v>0</v>
      </c>
      <c r="Q75" s="87">
        <f>$I$23*$Q$23</f>
        <v>0</v>
      </c>
      <c r="R75" s="87">
        <f>$I$23*$R$23</f>
        <v>0</v>
      </c>
      <c r="S75" s="87">
        <f>$I$23*$S$23</f>
        <v>0</v>
      </c>
      <c r="T75" s="87">
        <f>$I$23*$T$23</f>
        <v>0</v>
      </c>
      <c r="U75" s="87">
        <f>$I$23*$U$23</f>
        <v>0</v>
      </c>
      <c r="V75" s="87">
        <f>$I$23*$V$23</f>
        <v>0</v>
      </c>
      <c r="W75" s="87">
        <f>$I$23*$W$23</f>
        <v>0</v>
      </c>
      <c r="X75" s="87">
        <f>$I$23*$X$23</f>
        <v>12945.941742242969</v>
      </c>
      <c r="Y75" s="87">
        <f>$I$23*$Y$23</f>
        <v>0</v>
      </c>
      <c r="Z75" s="87">
        <f>$I$23*$Z$23</f>
        <v>0</v>
      </c>
      <c r="AA75" s="87">
        <f>$I$23*$AA$23</f>
        <v>26799.406504452782</v>
      </c>
      <c r="AB75" s="87">
        <f ca="1">$I$23*$AB$23</f>
        <v>0</v>
      </c>
      <c r="AC75" s="87">
        <f ca="1">$I$23*$AC$23</f>
        <v>0</v>
      </c>
      <c r="AD75" s="87">
        <f>$I$23*$AD$23</f>
        <v>1478.6679207480352</v>
      </c>
      <c r="AE75" s="87">
        <f>$I$23*$AE$23</f>
        <v>0</v>
      </c>
      <c r="AF75" s="87">
        <f ca="1">$I$23*$AF$23</f>
        <v>806.58418319512782</v>
      </c>
      <c r="AG75" s="87">
        <f ca="1">$I$23*$AG$23</f>
        <v>0</v>
      </c>
      <c r="AI75" s="87">
        <f>$I$23*$AI$23</f>
        <v>0</v>
      </c>
      <c r="AJ75" s="87">
        <f>$I$23*$AJ$23</f>
        <v>127.15658042663128</v>
      </c>
      <c r="AK75" s="87">
        <f>$I$23*$AK$23</f>
        <v>0</v>
      </c>
      <c r="AL75" s="87">
        <f>$I$23*$AL$23</f>
        <v>0</v>
      </c>
      <c r="AM75" s="87">
        <f>$I$23*$AM$23</f>
        <v>0</v>
      </c>
      <c r="AN75" s="87">
        <f>$I$23*$AN$23</f>
        <v>0</v>
      </c>
      <c r="AO75" s="87">
        <f>$I$23*$AO$23</f>
        <v>0</v>
      </c>
      <c r="AP75" s="87">
        <f>$I$23*$AP$23</f>
        <v>0</v>
      </c>
      <c r="AQ75" s="87">
        <f>$I$23*$AQ$23</f>
        <v>0</v>
      </c>
      <c r="AR75" s="87">
        <f>$I$23*$AR$23</f>
        <v>0</v>
      </c>
      <c r="AS75" s="87">
        <f>$I$23*$AS$23</f>
        <v>0</v>
      </c>
      <c r="AT75" s="87">
        <f>$I$23*$AT$23</f>
        <v>0</v>
      </c>
      <c r="AU75" s="87">
        <f>$I$23*$AU$23</f>
        <v>11886.318481716384</v>
      </c>
      <c r="AV75" s="87">
        <f>$I$23*$AV$23</f>
        <v>0</v>
      </c>
      <c r="AW75" s="87">
        <f>$I$23*$AW$23</f>
        <v>0</v>
      </c>
      <c r="AX75" s="87">
        <f>$I$23*$AX$23</f>
        <v>23792.637547598446</v>
      </c>
      <c r="AY75" s="87">
        <f>$I$23*$AY$23</f>
        <v>694.36976990361268</v>
      </c>
      <c r="AZ75" s="87">
        <f>$I$23*$AZ$23</f>
        <v>0</v>
      </c>
      <c r="BA75" s="87">
        <f>$I$23*$BA$23</f>
        <v>1832.311208203336</v>
      </c>
      <c r="BB75" s="87">
        <f>$I$23*$BB$23</f>
        <v>0</v>
      </c>
      <c r="BC75" s="87">
        <f>$I$23*$BC$23</f>
        <v>0</v>
      </c>
      <c r="BD75" s="87">
        <f>$I$23*$BD$23</f>
        <v>0</v>
      </c>
    </row>
    <row r="76" spans="1:56" ht="11.25" customHeight="1" x14ac:dyDescent="0.3">
      <c r="A76" s="9" t="s">
        <v>22</v>
      </c>
      <c r="B76" s="9" t="s">
        <v>819</v>
      </c>
      <c r="C76" s="9" t="s">
        <v>820</v>
      </c>
      <c r="D76" s="9" t="s">
        <v>837</v>
      </c>
      <c r="E76" s="9" t="s">
        <v>838</v>
      </c>
      <c r="F76" s="9" t="s">
        <v>839</v>
      </c>
      <c r="G76" s="9" t="s">
        <v>840</v>
      </c>
      <c r="L76" s="87">
        <f>$I$24*$L$24</f>
        <v>0</v>
      </c>
      <c r="M76" s="87">
        <f>$I$24*$M$24</f>
        <v>29.851987265790012</v>
      </c>
      <c r="N76" s="87">
        <f ca="1">$I$24*$N$24</f>
        <v>0</v>
      </c>
      <c r="O76" s="87">
        <f>$I$24*$O$24</f>
        <v>0</v>
      </c>
      <c r="P76" s="87">
        <f>$I$24*$P$24</f>
        <v>0</v>
      </c>
      <c r="Q76" s="87">
        <f>$I$24*$Q$24</f>
        <v>0</v>
      </c>
      <c r="R76" s="87">
        <f>$I$24*$R$24</f>
        <v>0</v>
      </c>
      <c r="S76" s="87">
        <f>$I$24*$S$24</f>
        <v>0</v>
      </c>
      <c r="T76" s="87">
        <f>$I$24*$T$24</f>
        <v>0</v>
      </c>
      <c r="U76" s="87">
        <f>$I$24*$U$24</f>
        <v>0</v>
      </c>
      <c r="V76" s="87">
        <f>$I$24*$V$24</f>
        <v>0</v>
      </c>
      <c r="W76" s="87">
        <f>$I$24*$W$24</f>
        <v>0</v>
      </c>
      <c r="X76" s="87">
        <f>$I$24*$X$24</f>
        <v>2407.6076711753494</v>
      </c>
      <c r="Y76" s="87">
        <f>$I$24*$Y$24</f>
        <v>0</v>
      </c>
      <c r="Z76" s="87">
        <f>$I$24*$Z$24</f>
        <v>0</v>
      </c>
      <c r="AA76" s="87">
        <f>$I$24*$AA$24</f>
        <v>4983.9909654875464</v>
      </c>
      <c r="AB76" s="87">
        <f ca="1">$I$24*$AB$24</f>
        <v>0</v>
      </c>
      <c r="AC76" s="87">
        <f ca="1">$I$24*$AC$24</f>
        <v>0</v>
      </c>
      <c r="AD76" s="87">
        <f>$I$24*$AD$24</f>
        <v>274.99368527955932</v>
      </c>
      <c r="AE76" s="87">
        <f>$I$24*$AE$24</f>
        <v>0</v>
      </c>
      <c r="AF76" s="87">
        <f ca="1">$I$24*$AF$24</f>
        <v>150.00363091181651</v>
      </c>
      <c r="AG76" s="87">
        <f ca="1">$I$24*$AG$24</f>
        <v>0</v>
      </c>
      <c r="AI76" s="87">
        <f>$I$24*$AI$24</f>
        <v>0</v>
      </c>
      <c r="AJ76" s="87">
        <f>$I$24*$AJ$24</f>
        <v>23.647809064104493</v>
      </c>
      <c r="AK76" s="87">
        <f>$I$24*$AK$24</f>
        <v>0</v>
      </c>
      <c r="AL76" s="87">
        <f>$I$24*$AL$24</f>
        <v>0</v>
      </c>
      <c r="AM76" s="87">
        <f>$I$24*$AM$24</f>
        <v>0</v>
      </c>
      <c r="AN76" s="87">
        <f>$I$24*$AN$24</f>
        <v>0</v>
      </c>
      <c r="AO76" s="87">
        <f>$I$24*$AO$24</f>
        <v>0</v>
      </c>
      <c r="AP76" s="87">
        <f>$I$24*$AP$24</f>
        <v>0</v>
      </c>
      <c r="AQ76" s="87">
        <f>$I$24*$AQ$24</f>
        <v>0</v>
      </c>
      <c r="AR76" s="87">
        <f>$I$24*$AR$24</f>
        <v>0</v>
      </c>
      <c r="AS76" s="87">
        <f>$I$24*$AS$24</f>
        <v>0</v>
      </c>
      <c r="AT76" s="87">
        <f>$I$24*$AT$24</f>
        <v>0</v>
      </c>
      <c r="AU76" s="87">
        <f>$I$24*$AU$24</f>
        <v>2210.5453684557888</v>
      </c>
      <c r="AV76" s="87">
        <f>$I$24*$AV$24</f>
        <v>0</v>
      </c>
      <c r="AW76" s="87">
        <f>$I$24*$AW$24</f>
        <v>0</v>
      </c>
      <c r="AX76" s="87">
        <f>$I$24*$AX$24</f>
        <v>4424.8103241632462</v>
      </c>
      <c r="AY76" s="87">
        <f>$I$24*$AY$24</f>
        <v>129.13467540157237</v>
      </c>
      <c r="AZ76" s="87">
        <f>$I$24*$AZ$24</f>
        <v>0</v>
      </c>
      <c r="BA76" s="87">
        <f>$I$24*$BA$24</f>
        <v>340.76211747934218</v>
      </c>
      <c r="BB76" s="87">
        <f>$I$24*$BB$24</f>
        <v>0</v>
      </c>
      <c r="BC76" s="87">
        <f>$I$24*$BC$24</f>
        <v>0</v>
      </c>
      <c r="BD76" s="87">
        <f>$I$24*$BD$24</f>
        <v>0</v>
      </c>
    </row>
    <row r="77" spans="1:56" ht="11.25" customHeight="1" x14ac:dyDescent="0.3">
      <c r="A77" s="9" t="s">
        <v>22</v>
      </c>
      <c r="B77" s="9" t="s">
        <v>841</v>
      </c>
      <c r="C77" s="9" t="s">
        <v>842</v>
      </c>
      <c r="D77" s="9" t="s">
        <v>843</v>
      </c>
      <c r="E77" s="9" t="s">
        <v>844</v>
      </c>
      <c r="F77" s="9" t="s">
        <v>845</v>
      </c>
      <c r="G77" s="9" t="s">
        <v>846</v>
      </c>
      <c r="L77" s="87">
        <f>$I$25*$L$25</f>
        <v>0</v>
      </c>
      <c r="M77" s="87">
        <f>$I$25*$M$25</f>
        <v>0</v>
      </c>
      <c r="N77" s="87">
        <f ca="1">$I$25*$N$25</f>
        <v>0</v>
      </c>
      <c r="O77" s="87">
        <f>$I$25*$O$25</f>
        <v>0</v>
      </c>
      <c r="P77" s="87">
        <f>$I$25*$P$25</f>
        <v>0</v>
      </c>
      <c r="Q77" s="87">
        <f>$I$25*$Q$25</f>
        <v>0</v>
      </c>
      <c r="R77" s="87">
        <f>$I$25*$R$25</f>
        <v>0</v>
      </c>
      <c r="S77" s="87">
        <f>$I$25*$S$25</f>
        <v>0</v>
      </c>
      <c r="T77" s="87">
        <f>$I$25*$T$25</f>
        <v>0</v>
      </c>
      <c r="U77" s="87">
        <f>$I$25*$U$25</f>
        <v>0</v>
      </c>
      <c r="V77" s="87">
        <f>$I$25*$V$25</f>
        <v>0</v>
      </c>
      <c r="W77" s="87">
        <f>$I$25*$W$25</f>
        <v>0</v>
      </c>
      <c r="X77" s="87">
        <f>$I$25*$X$25</f>
        <v>0</v>
      </c>
      <c r="Y77" s="87">
        <f>$I$25*$Y$25</f>
        <v>0</v>
      </c>
      <c r="Z77" s="87">
        <f>$I$25*$Z$25</f>
        <v>0</v>
      </c>
      <c r="AA77" s="87">
        <f>$I$25*$AA$25</f>
        <v>0</v>
      </c>
      <c r="AB77" s="87">
        <f ca="1">$I$25*$AB$25</f>
        <v>0</v>
      </c>
      <c r="AC77" s="87">
        <f ca="1">$I$25*$AC$25</f>
        <v>0</v>
      </c>
      <c r="AD77" s="87">
        <f>$I$25*$AD$25</f>
        <v>0</v>
      </c>
      <c r="AE77" s="87">
        <f>$I$25*$AE$25</f>
        <v>0</v>
      </c>
      <c r="AF77" s="87">
        <f ca="1">$I$25*$AF$25</f>
        <v>0</v>
      </c>
      <c r="AG77" s="87">
        <f ca="1">$I$25*$AG$25</f>
        <v>0</v>
      </c>
      <c r="AI77" s="87">
        <f>$I$25*$AI$25</f>
        <v>0</v>
      </c>
      <c r="AJ77" s="87">
        <f>$I$25*$AJ$25</f>
        <v>0</v>
      </c>
      <c r="AK77" s="87">
        <f>$I$25*$AK$25</f>
        <v>0</v>
      </c>
      <c r="AL77" s="87">
        <f>$I$25*$AL$25</f>
        <v>0</v>
      </c>
      <c r="AM77" s="87">
        <f>$I$25*$AM$25</f>
        <v>0</v>
      </c>
      <c r="AN77" s="87">
        <f>$I$25*$AN$25</f>
        <v>0</v>
      </c>
      <c r="AO77" s="87">
        <f>$I$25*$AO$25</f>
        <v>0</v>
      </c>
      <c r="AP77" s="87">
        <f>$I$25*$AP$25</f>
        <v>0</v>
      </c>
      <c r="AQ77" s="87">
        <f>$I$25*$AQ$25</f>
        <v>0</v>
      </c>
      <c r="AR77" s="87">
        <f>$I$25*$AR$25</f>
        <v>0</v>
      </c>
      <c r="AS77" s="87">
        <f>$I$25*$AS$25</f>
        <v>0</v>
      </c>
      <c r="AT77" s="87">
        <f>$I$25*$AT$25</f>
        <v>0</v>
      </c>
      <c r="AU77" s="87">
        <f>$I$25*$AU$25</f>
        <v>0</v>
      </c>
      <c r="AV77" s="87">
        <f>$I$25*$AV$25</f>
        <v>0</v>
      </c>
      <c r="AW77" s="87">
        <f>$I$25*$AW$25</f>
        <v>0</v>
      </c>
      <c r="AX77" s="87">
        <f>$I$25*$AX$25</f>
        <v>0</v>
      </c>
      <c r="AY77" s="87">
        <f>$I$25*$AY$25</f>
        <v>0</v>
      </c>
      <c r="AZ77" s="87">
        <f>$I$25*$AZ$25</f>
        <v>0</v>
      </c>
      <c r="BA77" s="87">
        <f>$I$25*$BA$25</f>
        <v>0</v>
      </c>
      <c r="BB77" s="87">
        <f>$I$25*$BB$25</f>
        <v>0</v>
      </c>
      <c r="BC77" s="87">
        <f>$I$25*$BC$25</f>
        <v>0</v>
      </c>
      <c r="BD77" s="87">
        <f>$I$25*$BD$25</f>
        <v>0</v>
      </c>
    </row>
    <row r="78" spans="1:56" ht="11.25" customHeight="1" x14ac:dyDescent="0.3">
      <c r="A78" s="9" t="s">
        <v>22</v>
      </c>
      <c r="B78" s="9" t="s">
        <v>841</v>
      </c>
      <c r="C78" s="9" t="s">
        <v>842</v>
      </c>
      <c r="D78" s="9" t="s">
        <v>847</v>
      </c>
      <c r="E78" s="9" t="s">
        <v>848</v>
      </c>
      <c r="F78" s="9" t="s">
        <v>849</v>
      </c>
      <c r="G78" s="9" t="s">
        <v>850</v>
      </c>
      <c r="L78" s="87">
        <f>$I$26*$L$26</f>
        <v>0</v>
      </c>
      <c r="M78" s="87">
        <f>$I$26*$M$26</f>
        <v>0</v>
      </c>
      <c r="N78" s="87">
        <f ca="1">$I$26*$N$26</f>
        <v>0</v>
      </c>
      <c r="O78" s="87">
        <f>$I$26*$O$26</f>
        <v>0</v>
      </c>
      <c r="P78" s="87">
        <f>$I$26*$P$26</f>
        <v>0</v>
      </c>
      <c r="Q78" s="87">
        <f>$I$26*$Q$26</f>
        <v>0</v>
      </c>
      <c r="R78" s="87">
        <f>$I$26*$R$26</f>
        <v>0</v>
      </c>
      <c r="S78" s="87">
        <f>$I$26*$S$26</f>
        <v>0</v>
      </c>
      <c r="T78" s="87">
        <f>$I$26*$T$26</f>
        <v>0</v>
      </c>
      <c r="U78" s="87">
        <f>$I$26*$U$26</f>
        <v>0</v>
      </c>
      <c r="V78" s="87">
        <f>$I$26*$V$26</f>
        <v>0</v>
      </c>
      <c r="W78" s="87">
        <f>$I$26*$W$26</f>
        <v>0</v>
      </c>
      <c r="X78" s="87">
        <f>$I$26*$X$26</f>
        <v>0</v>
      </c>
      <c r="Y78" s="87">
        <f>$I$26*$Y$26</f>
        <v>0</v>
      </c>
      <c r="Z78" s="87">
        <f>$I$26*$Z$26</f>
        <v>0</v>
      </c>
      <c r="AA78" s="87">
        <f>$I$26*$AA$26</f>
        <v>0</v>
      </c>
      <c r="AB78" s="87">
        <f ca="1">$I$26*$AB$26</f>
        <v>0</v>
      </c>
      <c r="AC78" s="87">
        <f ca="1">$I$26*$AC$26</f>
        <v>0</v>
      </c>
      <c r="AD78" s="87">
        <f>$I$26*$AD$26</f>
        <v>0</v>
      </c>
      <c r="AE78" s="87">
        <f>$I$26*$AE$26</f>
        <v>0</v>
      </c>
      <c r="AF78" s="87">
        <f ca="1">$I$26*$AF$26</f>
        <v>0</v>
      </c>
      <c r="AG78" s="87">
        <f ca="1">$I$26*$AG$26</f>
        <v>0</v>
      </c>
      <c r="AI78" s="87">
        <f>$I$26*$AI$26</f>
        <v>0</v>
      </c>
      <c r="AJ78" s="87">
        <f>$I$26*$AJ$26</f>
        <v>0</v>
      </c>
      <c r="AK78" s="87">
        <f>$I$26*$AK$26</f>
        <v>0</v>
      </c>
      <c r="AL78" s="87">
        <f>$I$26*$AL$26</f>
        <v>0</v>
      </c>
      <c r="AM78" s="87">
        <f>$I$26*$AM$26</f>
        <v>0</v>
      </c>
      <c r="AN78" s="87">
        <f>$I$26*$AN$26</f>
        <v>0</v>
      </c>
      <c r="AO78" s="87">
        <f>$I$26*$AO$26</f>
        <v>0</v>
      </c>
      <c r="AP78" s="87">
        <f>$I$26*$AP$26</f>
        <v>0</v>
      </c>
      <c r="AQ78" s="87">
        <f>$I$26*$AQ$26</f>
        <v>0</v>
      </c>
      <c r="AR78" s="87">
        <f>$I$26*$AR$26</f>
        <v>0</v>
      </c>
      <c r="AS78" s="87">
        <f>$I$26*$AS$26</f>
        <v>0</v>
      </c>
      <c r="AT78" s="87">
        <f>$I$26*$AT$26</f>
        <v>0</v>
      </c>
      <c r="AU78" s="87">
        <f>$I$26*$AU$26</f>
        <v>0</v>
      </c>
      <c r="AV78" s="87">
        <f>$I$26*$AV$26</f>
        <v>0</v>
      </c>
      <c r="AW78" s="87">
        <f>$I$26*$AW$26</f>
        <v>0</v>
      </c>
      <c r="AX78" s="87">
        <f>$I$26*$AX$26</f>
        <v>0</v>
      </c>
      <c r="AY78" s="87">
        <f>$I$26*$AY$26</f>
        <v>0</v>
      </c>
      <c r="AZ78" s="87">
        <f>$I$26*$AZ$26</f>
        <v>0</v>
      </c>
      <c r="BA78" s="87">
        <f>$I$26*$BA$26</f>
        <v>0</v>
      </c>
      <c r="BB78" s="87">
        <f>$I$26*$BB$26</f>
        <v>0</v>
      </c>
      <c r="BC78" s="87">
        <f>$I$26*$BC$26</f>
        <v>0</v>
      </c>
      <c r="BD78" s="87">
        <f>$I$26*$BD$26</f>
        <v>0</v>
      </c>
    </row>
    <row r="79" spans="1:56" ht="11.25" customHeight="1" x14ac:dyDescent="0.3">
      <c r="A79" s="9" t="s">
        <v>22</v>
      </c>
      <c r="B79" s="9" t="s">
        <v>841</v>
      </c>
      <c r="C79" s="9" t="s">
        <v>842</v>
      </c>
      <c r="D79" s="9" t="s">
        <v>851</v>
      </c>
      <c r="E79" s="9" t="s">
        <v>852</v>
      </c>
      <c r="F79" s="9" t="s">
        <v>853</v>
      </c>
      <c r="G79" s="9" t="s">
        <v>854</v>
      </c>
      <c r="L79" s="87">
        <f>$I$27*$L$27</f>
        <v>0</v>
      </c>
      <c r="M79" s="87">
        <f>$I$27*$M$27</f>
        <v>0</v>
      </c>
      <c r="N79" s="87">
        <f ca="1">$I$27*$N$27</f>
        <v>0</v>
      </c>
      <c r="O79" s="87">
        <f>$I$27*$O$27</f>
        <v>0</v>
      </c>
      <c r="P79" s="87">
        <f>$I$27*$P$27</f>
        <v>0</v>
      </c>
      <c r="Q79" s="87">
        <f>$I$27*$Q$27</f>
        <v>0</v>
      </c>
      <c r="R79" s="87">
        <f>$I$27*$R$27</f>
        <v>0</v>
      </c>
      <c r="S79" s="87">
        <f>$I$27*$S$27</f>
        <v>0</v>
      </c>
      <c r="T79" s="87">
        <f>$I$27*$T$27</f>
        <v>0</v>
      </c>
      <c r="U79" s="87">
        <f>$I$27*$U$27</f>
        <v>0</v>
      </c>
      <c r="V79" s="87">
        <f>$I$27*$V$27</f>
        <v>0</v>
      </c>
      <c r="W79" s="87">
        <f>$I$27*$W$27</f>
        <v>0</v>
      </c>
      <c r="X79" s="87">
        <f>$I$27*$X$27</f>
        <v>0</v>
      </c>
      <c r="Y79" s="87">
        <f>$I$27*$Y$27</f>
        <v>0</v>
      </c>
      <c r="Z79" s="87">
        <f>$I$27*$Z$27</f>
        <v>0</v>
      </c>
      <c r="AA79" s="87">
        <f>$I$27*$AA$27</f>
        <v>0</v>
      </c>
      <c r="AB79" s="87">
        <f ca="1">$I$27*$AB$27</f>
        <v>0</v>
      </c>
      <c r="AC79" s="87">
        <f ca="1">$I$27*$AC$27</f>
        <v>0</v>
      </c>
      <c r="AD79" s="87">
        <f>$I$27*$AD$27</f>
        <v>0</v>
      </c>
      <c r="AE79" s="87">
        <f>$I$27*$AE$27</f>
        <v>0</v>
      </c>
      <c r="AF79" s="87">
        <f ca="1">$I$27*$AF$27</f>
        <v>0</v>
      </c>
      <c r="AG79" s="87">
        <f ca="1">$I$27*$AG$27</f>
        <v>0</v>
      </c>
      <c r="AI79" s="87">
        <f>$I$27*$AI$27</f>
        <v>0</v>
      </c>
      <c r="AJ79" s="87">
        <f>$I$27*$AJ$27</f>
        <v>0</v>
      </c>
      <c r="AK79" s="87">
        <f>$I$27*$AK$27</f>
        <v>0</v>
      </c>
      <c r="AL79" s="87">
        <f>$I$27*$AL$27</f>
        <v>0</v>
      </c>
      <c r="AM79" s="87">
        <f>$I$27*$AM$27</f>
        <v>0</v>
      </c>
      <c r="AN79" s="87">
        <f>$I$27*$AN$27</f>
        <v>0</v>
      </c>
      <c r="AO79" s="87">
        <f>$I$27*$AO$27</f>
        <v>0</v>
      </c>
      <c r="AP79" s="87">
        <f>$I$27*$AP$27</f>
        <v>0</v>
      </c>
      <c r="AQ79" s="87">
        <f>$I$27*$AQ$27</f>
        <v>0</v>
      </c>
      <c r="AR79" s="87">
        <f>$I$27*$AR$27</f>
        <v>0</v>
      </c>
      <c r="AS79" s="87">
        <f>$I$27*$AS$27</f>
        <v>0</v>
      </c>
      <c r="AT79" s="87">
        <f>$I$27*$AT$27</f>
        <v>0</v>
      </c>
      <c r="AU79" s="87">
        <f>$I$27*$AU$27</f>
        <v>0</v>
      </c>
      <c r="AV79" s="87">
        <f>$I$27*$AV$27</f>
        <v>0</v>
      </c>
      <c r="AW79" s="87">
        <f>$I$27*$AW$27</f>
        <v>0</v>
      </c>
      <c r="AX79" s="87">
        <f>$I$27*$AX$27</f>
        <v>0</v>
      </c>
      <c r="AY79" s="87">
        <f>$I$27*$AY$27</f>
        <v>0</v>
      </c>
      <c r="AZ79" s="87">
        <f>$I$27*$AZ$27</f>
        <v>0</v>
      </c>
      <c r="BA79" s="87">
        <f>$I$27*$BA$27</f>
        <v>0</v>
      </c>
      <c r="BB79" s="87">
        <f>$I$27*$BB$27</f>
        <v>0</v>
      </c>
      <c r="BC79" s="87">
        <f>$I$27*$BC$27</f>
        <v>0</v>
      </c>
      <c r="BD79" s="87">
        <f>$I$27*$BD$27</f>
        <v>0</v>
      </c>
    </row>
    <row r="80" spans="1:56" ht="11.25" customHeight="1" x14ac:dyDescent="0.3">
      <c r="A80" s="9" t="s">
        <v>22</v>
      </c>
      <c r="B80" s="9" t="s">
        <v>841</v>
      </c>
      <c r="C80" s="9" t="s">
        <v>842</v>
      </c>
      <c r="D80" s="9" t="s">
        <v>855</v>
      </c>
      <c r="E80" s="9" t="s">
        <v>856</v>
      </c>
      <c r="F80" s="9" t="s">
        <v>857</v>
      </c>
      <c r="G80" s="9" t="s">
        <v>858</v>
      </c>
      <c r="L80" s="87">
        <f>$I$28*$L$28</f>
        <v>0</v>
      </c>
      <c r="M80" s="87">
        <f>$I$28*$M$28</f>
        <v>0</v>
      </c>
      <c r="N80" s="87">
        <f ca="1">$I$28*$N$28</f>
        <v>0</v>
      </c>
      <c r="O80" s="87">
        <f>$I$28*$O$28</f>
        <v>0</v>
      </c>
      <c r="P80" s="87">
        <f>$I$28*$P$28</f>
        <v>0</v>
      </c>
      <c r="Q80" s="87">
        <f>$I$28*$Q$28</f>
        <v>0</v>
      </c>
      <c r="R80" s="87">
        <f>$I$28*$R$28</f>
        <v>0</v>
      </c>
      <c r="S80" s="87">
        <f>$I$28*$S$28</f>
        <v>0</v>
      </c>
      <c r="T80" s="87">
        <f>$I$28*$T$28</f>
        <v>0</v>
      </c>
      <c r="U80" s="87">
        <f>$I$28*$U$28</f>
        <v>0</v>
      </c>
      <c r="V80" s="87">
        <f>$I$28*$V$28</f>
        <v>0</v>
      </c>
      <c r="W80" s="87">
        <f>$I$28*$W$28</f>
        <v>0</v>
      </c>
      <c r="X80" s="87">
        <f>$I$28*$X$28</f>
        <v>0</v>
      </c>
      <c r="Y80" s="87">
        <f>$I$28*$Y$28</f>
        <v>0</v>
      </c>
      <c r="Z80" s="87">
        <f>$I$28*$Z$28</f>
        <v>0</v>
      </c>
      <c r="AA80" s="87">
        <f>$I$28*$AA$28</f>
        <v>0</v>
      </c>
      <c r="AB80" s="87">
        <f ca="1">$I$28*$AB$28</f>
        <v>0</v>
      </c>
      <c r="AC80" s="87">
        <f ca="1">$I$28*$AC$28</f>
        <v>0</v>
      </c>
      <c r="AD80" s="87">
        <f>$I$28*$AD$28</f>
        <v>0</v>
      </c>
      <c r="AE80" s="87">
        <f>$I$28*$AE$28</f>
        <v>0</v>
      </c>
      <c r="AF80" s="87">
        <f ca="1">$I$28*$AF$28</f>
        <v>0</v>
      </c>
      <c r="AG80" s="87">
        <f ca="1">$I$28*$AG$28</f>
        <v>0</v>
      </c>
      <c r="AI80" s="87">
        <f>$I$28*$AI$28</f>
        <v>0</v>
      </c>
      <c r="AJ80" s="87">
        <f>$I$28*$AJ$28</f>
        <v>0</v>
      </c>
      <c r="AK80" s="87">
        <f>$I$28*$AK$28</f>
        <v>0</v>
      </c>
      <c r="AL80" s="87">
        <f>$I$28*$AL$28</f>
        <v>0</v>
      </c>
      <c r="AM80" s="87">
        <f>$I$28*$AM$28</f>
        <v>0</v>
      </c>
      <c r="AN80" s="87">
        <f>$I$28*$AN$28</f>
        <v>0</v>
      </c>
      <c r="AO80" s="87">
        <f>$I$28*$AO$28</f>
        <v>0</v>
      </c>
      <c r="AP80" s="87">
        <f>$I$28*$AP$28</f>
        <v>0</v>
      </c>
      <c r="AQ80" s="87">
        <f>$I$28*$AQ$28</f>
        <v>0</v>
      </c>
      <c r="AR80" s="87">
        <f>$I$28*$AR$28</f>
        <v>0</v>
      </c>
      <c r="AS80" s="87">
        <f>$I$28*$AS$28</f>
        <v>0</v>
      </c>
      <c r="AT80" s="87">
        <f>$I$28*$AT$28</f>
        <v>0</v>
      </c>
      <c r="AU80" s="87">
        <f>$I$28*$AU$28</f>
        <v>0</v>
      </c>
      <c r="AV80" s="87">
        <f>$I$28*$AV$28</f>
        <v>0</v>
      </c>
      <c r="AW80" s="87">
        <f>$I$28*$AW$28</f>
        <v>0</v>
      </c>
      <c r="AX80" s="87">
        <f>$I$28*$AX$28</f>
        <v>0</v>
      </c>
      <c r="AY80" s="87">
        <f>$I$28*$AY$28</f>
        <v>0</v>
      </c>
      <c r="AZ80" s="87">
        <f>$I$28*$AZ$28</f>
        <v>0</v>
      </c>
      <c r="BA80" s="87">
        <f>$I$28*$BA$28</f>
        <v>0</v>
      </c>
      <c r="BB80" s="87">
        <f>$I$28*$BB$28</f>
        <v>0</v>
      </c>
      <c r="BC80" s="87">
        <f>$I$28*$BC$28</f>
        <v>0</v>
      </c>
      <c r="BD80" s="87">
        <f>$I$28*$BD$28</f>
        <v>0</v>
      </c>
    </row>
    <row r="81" spans="1:56" ht="11.25" customHeight="1" x14ac:dyDescent="0.3">
      <c r="A81" s="9" t="s">
        <v>22</v>
      </c>
      <c r="B81" s="9" t="s">
        <v>841</v>
      </c>
      <c r="C81" s="9" t="s">
        <v>842</v>
      </c>
      <c r="D81" s="9" t="s">
        <v>859</v>
      </c>
      <c r="E81" s="9" t="s">
        <v>860</v>
      </c>
      <c r="F81" s="9" t="s">
        <v>861</v>
      </c>
      <c r="G81" s="9" t="s">
        <v>862</v>
      </c>
      <c r="L81" s="87">
        <f>$I$29*$L$29</f>
        <v>0</v>
      </c>
      <c r="M81" s="87">
        <f>$I$29*$M$29</f>
        <v>0</v>
      </c>
      <c r="N81" s="87">
        <f ca="1">$I$29*$N$29</f>
        <v>0</v>
      </c>
      <c r="O81" s="87">
        <f>$I$29*$O$29</f>
        <v>0</v>
      </c>
      <c r="P81" s="87">
        <f>$I$29*$P$29</f>
        <v>0</v>
      </c>
      <c r="Q81" s="87">
        <f>$I$29*$Q$29</f>
        <v>0</v>
      </c>
      <c r="R81" s="87">
        <f>$I$29*$R$29</f>
        <v>0</v>
      </c>
      <c r="S81" s="87">
        <f>$I$29*$S$29</f>
        <v>0</v>
      </c>
      <c r="T81" s="87">
        <f>$I$29*$T$29</f>
        <v>0</v>
      </c>
      <c r="U81" s="87">
        <f>$I$29*$U$29</f>
        <v>0</v>
      </c>
      <c r="V81" s="87">
        <f>$I$29*$V$29</f>
        <v>0</v>
      </c>
      <c r="W81" s="87">
        <f>$I$29*$W$29</f>
        <v>0</v>
      </c>
      <c r="X81" s="87">
        <f>$I$29*$X$29</f>
        <v>0</v>
      </c>
      <c r="Y81" s="87">
        <f>$I$29*$Y$29</f>
        <v>0</v>
      </c>
      <c r="Z81" s="87">
        <f>$I$29*$Z$29</f>
        <v>0</v>
      </c>
      <c r="AA81" s="87">
        <f>$I$29*$AA$29</f>
        <v>0</v>
      </c>
      <c r="AB81" s="87">
        <f ca="1">$I$29*$AB$29</f>
        <v>0</v>
      </c>
      <c r="AC81" s="87">
        <f ca="1">$I$29*$AC$29</f>
        <v>0</v>
      </c>
      <c r="AD81" s="87">
        <f>$I$29*$AD$29</f>
        <v>0</v>
      </c>
      <c r="AE81" s="87">
        <f>$I$29*$AE$29</f>
        <v>0</v>
      </c>
      <c r="AF81" s="87">
        <f ca="1">$I$29*$AF$29</f>
        <v>0</v>
      </c>
      <c r="AG81" s="87">
        <f ca="1">$I$29*$AG$29</f>
        <v>0</v>
      </c>
      <c r="AI81" s="87">
        <f>$I$29*$AI$29</f>
        <v>0</v>
      </c>
      <c r="AJ81" s="87">
        <f>$I$29*$AJ$29</f>
        <v>0</v>
      </c>
      <c r="AK81" s="87">
        <f>$I$29*$AK$29</f>
        <v>0</v>
      </c>
      <c r="AL81" s="87">
        <f>$I$29*$AL$29</f>
        <v>0</v>
      </c>
      <c r="AM81" s="87">
        <f>$I$29*$AM$29</f>
        <v>0</v>
      </c>
      <c r="AN81" s="87">
        <f>$I$29*$AN$29</f>
        <v>0</v>
      </c>
      <c r="AO81" s="87">
        <f>$I$29*$AO$29</f>
        <v>0</v>
      </c>
      <c r="AP81" s="87">
        <f>$I$29*$AP$29</f>
        <v>0</v>
      </c>
      <c r="AQ81" s="87">
        <f>$I$29*$AQ$29</f>
        <v>0</v>
      </c>
      <c r="AR81" s="87">
        <f>$I$29*$AR$29</f>
        <v>0</v>
      </c>
      <c r="AS81" s="87">
        <f>$I$29*$AS$29</f>
        <v>0</v>
      </c>
      <c r="AT81" s="87">
        <f>$I$29*$AT$29</f>
        <v>0</v>
      </c>
      <c r="AU81" s="87">
        <f>$I$29*$AU$29</f>
        <v>0</v>
      </c>
      <c r="AV81" s="87">
        <f>$I$29*$AV$29</f>
        <v>0</v>
      </c>
      <c r="AW81" s="87">
        <f>$I$29*$AW$29</f>
        <v>0</v>
      </c>
      <c r="AX81" s="87">
        <f>$I$29*$AX$29</f>
        <v>0</v>
      </c>
      <c r="AY81" s="87">
        <f>$I$29*$AY$29</f>
        <v>0</v>
      </c>
      <c r="AZ81" s="87">
        <f>$I$29*$AZ$29</f>
        <v>0</v>
      </c>
      <c r="BA81" s="87">
        <f>$I$29*$BA$29</f>
        <v>0</v>
      </c>
      <c r="BB81" s="87">
        <f>$I$29*$BB$29</f>
        <v>0</v>
      </c>
      <c r="BC81" s="87">
        <f>$I$29*$BC$29</f>
        <v>0</v>
      </c>
      <c r="BD81" s="87">
        <f>$I$29*$BD$29</f>
        <v>0</v>
      </c>
    </row>
    <row r="82" spans="1:56" ht="11.25" customHeight="1" x14ac:dyDescent="0.3">
      <c r="A82" s="9" t="s">
        <v>43</v>
      </c>
      <c r="B82" s="9" t="s">
        <v>863</v>
      </c>
      <c r="C82" s="9" t="s">
        <v>864</v>
      </c>
      <c r="D82" s="9" t="s">
        <v>865</v>
      </c>
      <c r="E82" s="9" t="s">
        <v>866</v>
      </c>
      <c r="F82" s="9" t="s">
        <v>867</v>
      </c>
      <c r="G82" s="9" t="s">
        <v>868</v>
      </c>
      <c r="L82" s="87">
        <f>$I$30*$L$30</f>
        <v>0</v>
      </c>
      <c r="M82" s="87">
        <f>$I$30*$M$30</f>
        <v>0</v>
      </c>
      <c r="N82" s="87">
        <f ca="1">$I$30*$N$30</f>
        <v>0</v>
      </c>
      <c r="O82" s="87">
        <f>$I$30*$O$30</f>
        <v>0</v>
      </c>
      <c r="P82" s="87">
        <f>$I$30*$P$30</f>
        <v>0</v>
      </c>
      <c r="Q82" s="87">
        <f>$I$30*$Q$30</f>
        <v>0</v>
      </c>
      <c r="R82" s="87">
        <f>$I$30*$R$30</f>
        <v>0</v>
      </c>
      <c r="S82" s="87">
        <f>$I$30*$S$30</f>
        <v>0</v>
      </c>
      <c r="T82" s="87">
        <f>$I$30*$T$30</f>
        <v>0</v>
      </c>
      <c r="U82" s="87">
        <f>$I$30*$U$30</f>
        <v>0</v>
      </c>
      <c r="V82" s="87">
        <f>$I$30*$V$30</f>
        <v>0</v>
      </c>
      <c r="W82" s="87">
        <f>$I$30*$W$30</f>
        <v>0</v>
      </c>
      <c r="X82" s="87">
        <f>$I$30*$X$30</f>
        <v>0</v>
      </c>
      <c r="Y82" s="87">
        <f>$I$30*$Y$30</f>
        <v>0</v>
      </c>
      <c r="Z82" s="87">
        <f>$I$30*$Z$30</f>
        <v>0</v>
      </c>
      <c r="AA82" s="87">
        <f>$I$30*$AA$30</f>
        <v>0</v>
      </c>
      <c r="AB82" s="87">
        <f ca="1">$I$30*$AB$30</f>
        <v>0</v>
      </c>
      <c r="AC82" s="87">
        <f ca="1">$I$30*$AC$30</f>
        <v>0</v>
      </c>
      <c r="AD82" s="87">
        <f>$I$30*$AD$30</f>
        <v>0</v>
      </c>
      <c r="AE82" s="87">
        <f>$I$30*$AE$30</f>
        <v>0</v>
      </c>
      <c r="AF82" s="87">
        <f ca="1">$I$30*$AF$30</f>
        <v>0</v>
      </c>
      <c r="AG82" s="87">
        <f ca="1">$I$30*$AG$30</f>
        <v>0</v>
      </c>
      <c r="AI82" s="87">
        <f>$I$30*$AI$30</f>
        <v>0</v>
      </c>
      <c r="AJ82" s="87">
        <f>$I$30*$AJ$30</f>
        <v>0</v>
      </c>
      <c r="AK82" s="87">
        <f>$I$30*$AK$30</f>
        <v>0</v>
      </c>
      <c r="AL82" s="87">
        <f>$I$30*$AL$30</f>
        <v>0</v>
      </c>
      <c r="AM82" s="87">
        <f>$I$30*$AM$30</f>
        <v>0</v>
      </c>
      <c r="AN82" s="87">
        <f>$I$30*$AN$30</f>
        <v>0</v>
      </c>
      <c r="AO82" s="87">
        <f>$I$30*$AO$30</f>
        <v>0</v>
      </c>
      <c r="AP82" s="87">
        <f>$I$30*$AP$30</f>
        <v>0</v>
      </c>
      <c r="AQ82" s="87">
        <f>$I$30*$AQ$30</f>
        <v>0</v>
      </c>
      <c r="AR82" s="87">
        <f>$I$30*$AR$30</f>
        <v>0</v>
      </c>
      <c r="AS82" s="87">
        <f>$I$30*$AS$30</f>
        <v>0</v>
      </c>
      <c r="AT82" s="87">
        <f>$I$30*$AT$30</f>
        <v>0</v>
      </c>
      <c r="AU82" s="87">
        <f>$I$30*$AU$30</f>
        <v>0</v>
      </c>
      <c r="AV82" s="87">
        <f>$I$30*$AV$30</f>
        <v>0</v>
      </c>
      <c r="AW82" s="87">
        <f>$I$30*$AW$30</f>
        <v>0</v>
      </c>
      <c r="AX82" s="87">
        <f>$I$30*$AX$30</f>
        <v>0</v>
      </c>
      <c r="AY82" s="87">
        <f>$I$30*$AY$30</f>
        <v>0</v>
      </c>
      <c r="AZ82" s="87">
        <f>$I$30*$AZ$30</f>
        <v>0</v>
      </c>
      <c r="BA82" s="87">
        <f>$I$30*$BA$30</f>
        <v>0</v>
      </c>
      <c r="BB82" s="87">
        <f>$I$30*$BB$30</f>
        <v>0</v>
      </c>
      <c r="BC82" s="87">
        <f>$I$30*$BC$30</f>
        <v>0</v>
      </c>
      <c r="BD82" s="87">
        <f>$I$30*$BD$30</f>
        <v>0</v>
      </c>
    </row>
    <row r="83" spans="1:56" ht="11.25" customHeight="1" x14ac:dyDescent="0.3">
      <c r="A83" s="9" t="s">
        <v>43</v>
      </c>
      <c r="B83" s="9" t="s">
        <v>863</v>
      </c>
      <c r="C83" s="9" t="s">
        <v>864</v>
      </c>
      <c r="D83" s="9" t="s">
        <v>865</v>
      </c>
      <c r="E83" s="9" t="s">
        <v>866</v>
      </c>
      <c r="F83" s="9" t="s">
        <v>867</v>
      </c>
      <c r="G83" s="9" t="s">
        <v>869</v>
      </c>
      <c r="L83" s="87">
        <f>$I$31*$L$31</f>
        <v>0</v>
      </c>
      <c r="M83" s="87">
        <f>$I$31*$M$31</f>
        <v>0</v>
      </c>
      <c r="N83" s="87">
        <f ca="1">$I$31*$N$31</f>
        <v>0</v>
      </c>
      <c r="O83" s="87">
        <f>$I$31*$O$31</f>
        <v>0</v>
      </c>
      <c r="P83" s="87">
        <f>$I$31*$P$31</f>
        <v>0</v>
      </c>
      <c r="Q83" s="87">
        <f>$I$31*$Q$31</f>
        <v>0</v>
      </c>
      <c r="R83" s="87">
        <f>$I$31*$R$31</f>
        <v>0</v>
      </c>
      <c r="S83" s="87">
        <f>$I$31*$S$31</f>
        <v>0</v>
      </c>
      <c r="T83" s="87">
        <f>$I$31*$T$31</f>
        <v>0</v>
      </c>
      <c r="U83" s="87">
        <f>$I$31*$U$31</f>
        <v>0</v>
      </c>
      <c r="V83" s="87">
        <f>$I$31*$V$31</f>
        <v>0</v>
      </c>
      <c r="W83" s="87">
        <f>$I$31*$W$31</f>
        <v>0</v>
      </c>
      <c r="X83" s="87">
        <f>$I$31*$X$31</f>
        <v>0</v>
      </c>
      <c r="Y83" s="87">
        <f>$I$31*$Y$31</f>
        <v>0</v>
      </c>
      <c r="Z83" s="87">
        <f>$I$31*$Z$31</f>
        <v>0</v>
      </c>
      <c r="AA83" s="87">
        <f>$I$31*$AA$31</f>
        <v>0</v>
      </c>
      <c r="AB83" s="87">
        <f ca="1">$I$31*$AB$31</f>
        <v>0</v>
      </c>
      <c r="AC83" s="87">
        <f ca="1">$I$31*$AC$31</f>
        <v>0</v>
      </c>
      <c r="AD83" s="87">
        <f>$I$31*$AD$31</f>
        <v>0</v>
      </c>
      <c r="AE83" s="87">
        <f>$I$31*$AE$31</f>
        <v>0</v>
      </c>
      <c r="AF83" s="87">
        <f ca="1">$I$31*$AF$31</f>
        <v>0</v>
      </c>
      <c r="AG83" s="87">
        <f ca="1">$I$31*$AG$31</f>
        <v>0</v>
      </c>
      <c r="AI83" s="87">
        <f>$I$31*$AI$31</f>
        <v>0</v>
      </c>
      <c r="AJ83" s="87">
        <f>$I$31*$AJ$31</f>
        <v>0</v>
      </c>
      <c r="AK83" s="87">
        <f>$I$31*$AK$31</f>
        <v>0</v>
      </c>
      <c r="AL83" s="87">
        <f>$I$31*$AL$31</f>
        <v>0</v>
      </c>
      <c r="AM83" s="87">
        <f>$I$31*$AM$31</f>
        <v>0</v>
      </c>
      <c r="AN83" s="87">
        <f>$I$31*$AN$31</f>
        <v>0</v>
      </c>
      <c r="AO83" s="87">
        <f>$I$31*$AO$31</f>
        <v>0</v>
      </c>
      <c r="AP83" s="87">
        <f>$I$31*$AP$31</f>
        <v>0</v>
      </c>
      <c r="AQ83" s="87">
        <f>$I$31*$AQ$31</f>
        <v>0</v>
      </c>
      <c r="AR83" s="87">
        <f>$I$31*$AR$31</f>
        <v>0</v>
      </c>
      <c r="AS83" s="87">
        <f>$I$31*$AS$31</f>
        <v>0</v>
      </c>
      <c r="AT83" s="87">
        <f>$I$31*$AT$31</f>
        <v>0</v>
      </c>
      <c r="AU83" s="87">
        <f>$I$31*$AU$31</f>
        <v>0</v>
      </c>
      <c r="AV83" s="87">
        <f>$I$31*$AV$31</f>
        <v>0</v>
      </c>
      <c r="AW83" s="87">
        <f>$I$31*$AW$31</f>
        <v>0</v>
      </c>
      <c r="AX83" s="87">
        <f>$I$31*$AX$31</f>
        <v>0</v>
      </c>
      <c r="AY83" s="87">
        <f>$I$31*$AY$31</f>
        <v>0</v>
      </c>
      <c r="AZ83" s="87">
        <f>$I$31*$AZ$31</f>
        <v>0</v>
      </c>
      <c r="BA83" s="87">
        <f>$I$31*$BA$31</f>
        <v>0</v>
      </c>
      <c r="BB83" s="87">
        <f>$I$31*$BB$31</f>
        <v>0</v>
      </c>
      <c r="BC83" s="87">
        <f>$I$31*$BC$31</f>
        <v>0</v>
      </c>
      <c r="BD83" s="87">
        <f>$I$31*$BD$31</f>
        <v>0</v>
      </c>
    </row>
    <row r="84" spans="1:56" ht="11.25" customHeight="1" x14ac:dyDescent="0.3">
      <c r="A84" s="9" t="s">
        <v>43</v>
      </c>
      <c r="B84" s="9" t="s">
        <v>863</v>
      </c>
      <c r="C84" s="9" t="s">
        <v>864</v>
      </c>
      <c r="D84" s="9" t="s">
        <v>865</v>
      </c>
      <c r="E84" s="9" t="s">
        <v>866</v>
      </c>
      <c r="F84" s="9" t="s">
        <v>867</v>
      </c>
      <c r="G84" s="9" t="s">
        <v>870</v>
      </c>
      <c r="L84" s="87">
        <f>$I$32*$L$32</f>
        <v>0</v>
      </c>
      <c r="M84" s="87">
        <f>$I$32*$M$32</f>
        <v>0</v>
      </c>
      <c r="N84" s="87">
        <f ca="1">$I$32*$N$32</f>
        <v>0</v>
      </c>
      <c r="O84" s="87">
        <f>$I$32*$O$32</f>
        <v>0</v>
      </c>
      <c r="P84" s="87">
        <f>$I$32*$P$32</f>
        <v>0</v>
      </c>
      <c r="Q84" s="87">
        <f>$I$32*$Q$32</f>
        <v>0</v>
      </c>
      <c r="R84" s="87">
        <f>$I$32*$R$32</f>
        <v>0</v>
      </c>
      <c r="S84" s="87">
        <f>$I$32*$S$32</f>
        <v>0</v>
      </c>
      <c r="T84" s="87">
        <f>$I$32*$T$32</f>
        <v>0</v>
      </c>
      <c r="U84" s="87">
        <f>$I$32*$U$32</f>
        <v>0</v>
      </c>
      <c r="V84" s="87">
        <f>$I$32*$V$32</f>
        <v>0</v>
      </c>
      <c r="W84" s="87">
        <f>$I$32*$W$32</f>
        <v>0</v>
      </c>
      <c r="X84" s="87">
        <f>$I$32*$X$32</f>
        <v>0</v>
      </c>
      <c r="Y84" s="87">
        <f>$I$32*$Y$32</f>
        <v>0</v>
      </c>
      <c r="Z84" s="87">
        <f>$I$32*$Z$32</f>
        <v>0</v>
      </c>
      <c r="AA84" s="87">
        <f>$I$32*$AA$32</f>
        <v>0</v>
      </c>
      <c r="AB84" s="87">
        <f ca="1">$I$32*$AB$32</f>
        <v>0</v>
      </c>
      <c r="AC84" s="87">
        <f ca="1">$I$32*$AC$32</f>
        <v>0</v>
      </c>
      <c r="AD84" s="87">
        <f>$I$32*$AD$32</f>
        <v>0</v>
      </c>
      <c r="AE84" s="87">
        <f>$I$32*$AE$32</f>
        <v>0</v>
      </c>
      <c r="AF84" s="87">
        <f ca="1">$I$32*$AF$32</f>
        <v>0</v>
      </c>
      <c r="AG84" s="87">
        <f ca="1">$I$32*$AG$32</f>
        <v>0</v>
      </c>
      <c r="AI84" s="87">
        <f>$I$32*$AI$32</f>
        <v>0</v>
      </c>
      <c r="AJ84" s="87">
        <f>$I$32*$AJ$32</f>
        <v>0</v>
      </c>
      <c r="AK84" s="87">
        <f>$I$32*$AK$32</f>
        <v>0</v>
      </c>
      <c r="AL84" s="87">
        <f>$I$32*$AL$32</f>
        <v>0</v>
      </c>
      <c r="AM84" s="87">
        <f>$I$32*$AM$32</f>
        <v>0</v>
      </c>
      <c r="AN84" s="87">
        <f>$I$32*$AN$32</f>
        <v>0</v>
      </c>
      <c r="AO84" s="87">
        <f>$I$32*$AO$32</f>
        <v>0</v>
      </c>
      <c r="AP84" s="87">
        <f>$I$32*$AP$32</f>
        <v>0</v>
      </c>
      <c r="AQ84" s="87">
        <f>$I$32*$AQ$32</f>
        <v>0</v>
      </c>
      <c r="AR84" s="87">
        <f>$I$32*$AR$32</f>
        <v>0</v>
      </c>
      <c r="AS84" s="87">
        <f>$I$32*$AS$32</f>
        <v>0</v>
      </c>
      <c r="AT84" s="87">
        <f>$I$32*$AT$32</f>
        <v>0</v>
      </c>
      <c r="AU84" s="87">
        <f>$I$32*$AU$32</f>
        <v>0</v>
      </c>
      <c r="AV84" s="87">
        <f>$I$32*$AV$32</f>
        <v>0</v>
      </c>
      <c r="AW84" s="87">
        <f>$I$32*$AW$32</f>
        <v>0</v>
      </c>
      <c r="AX84" s="87">
        <f>$I$32*$AX$32</f>
        <v>0</v>
      </c>
      <c r="AY84" s="87">
        <f>$I$32*$AY$32</f>
        <v>0</v>
      </c>
      <c r="AZ84" s="87">
        <f>$I$32*$AZ$32</f>
        <v>0</v>
      </c>
      <c r="BA84" s="87">
        <f>$I$32*$BA$32</f>
        <v>0</v>
      </c>
      <c r="BB84" s="87">
        <f>$I$32*$BB$32</f>
        <v>0</v>
      </c>
      <c r="BC84" s="87">
        <f>$I$32*$BC$32</f>
        <v>0</v>
      </c>
      <c r="BD84" s="87">
        <f>$I$32*$BD$32</f>
        <v>0</v>
      </c>
    </row>
    <row r="85" spans="1:56" ht="11.25" customHeight="1" x14ac:dyDescent="0.3">
      <c r="A85" s="9" t="s">
        <v>43</v>
      </c>
      <c r="B85" s="9" t="s">
        <v>871</v>
      </c>
      <c r="C85" s="9" t="s">
        <v>872</v>
      </c>
      <c r="D85" s="9" t="s">
        <v>873</v>
      </c>
      <c r="E85" s="9" t="s">
        <v>874</v>
      </c>
      <c r="F85" s="9" t="s">
        <v>875</v>
      </c>
      <c r="G85" s="9" t="s">
        <v>876</v>
      </c>
      <c r="L85" s="87">
        <f>$I$33*$L$33</f>
        <v>7876.0195385361903</v>
      </c>
      <c r="M85" s="87">
        <f>$I$33*$M$33</f>
        <v>1847.4835992152018</v>
      </c>
      <c r="N85" s="87">
        <f ca="1">$I$33*$N$33</f>
        <v>0</v>
      </c>
      <c r="O85" s="87">
        <f>$I$33*$O$33</f>
        <v>0</v>
      </c>
      <c r="P85" s="87">
        <f>$I$33*$P$33</f>
        <v>0</v>
      </c>
      <c r="Q85" s="87">
        <f>$I$33*$Q$33</f>
        <v>52009.751951418541</v>
      </c>
      <c r="R85" s="87">
        <f>$I$33*$R$33</f>
        <v>8622.4559875355972</v>
      </c>
      <c r="S85" s="87">
        <f>$I$33*$S$33</f>
        <v>0</v>
      </c>
      <c r="T85" s="87">
        <f>$I$33*$T$33</f>
        <v>0</v>
      </c>
      <c r="U85" s="87">
        <f>$I$33*$U$33</f>
        <v>0</v>
      </c>
      <c r="V85" s="87">
        <f>$I$33*$V$33</f>
        <v>0</v>
      </c>
      <c r="W85" s="87">
        <f>$I$33*$W$33</f>
        <v>0</v>
      </c>
      <c r="X85" s="87">
        <f>$I$33*$X$33</f>
        <v>149002.330941583</v>
      </c>
      <c r="Y85" s="87">
        <f>$I$33*$Y$33</f>
        <v>0</v>
      </c>
      <c r="Z85" s="87">
        <f>$I$33*$Z$33</f>
        <v>0</v>
      </c>
      <c r="AA85" s="87">
        <f>$I$33*$AA$33</f>
        <v>308449.86919604678</v>
      </c>
      <c r="AB85" s="87">
        <f ca="1">$I$33*$AB$33</f>
        <v>0</v>
      </c>
      <c r="AC85" s="87">
        <f ca="1">$I$33*$AC$33</f>
        <v>0</v>
      </c>
      <c r="AD85" s="87">
        <f>$I$33*$AD$33</f>
        <v>17018.844304008773</v>
      </c>
      <c r="AE85" s="87">
        <f>$I$33*$AE$33</f>
        <v>0</v>
      </c>
      <c r="AF85" s="87">
        <f ca="1">$I$33*$AF$33</f>
        <v>9283.4438613705952</v>
      </c>
      <c r="AG85" s="87">
        <f ca="1">$I$33*$AG$33</f>
        <v>0</v>
      </c>
      <c r="AI85" s="87">
        <f>$I$33*$AI$33</f>
        <v>0</v>
      </c>
      <c r="AJ85" s="87">
        <f>$I$33*$AJ$33</f>
        <v>1370.1025440133042</v>
      </c>
      <c r="AK85" s="87">
        <f>$I$33*$AK$33</f>
        <v>0</v>
      </c>
      <c r="AL85" s="87">
        <f>$I$33*$AL$33</f>
        <v>0</v>
      </c>
      <c r="AM85" s="87">
        <f>$I$33*$AM$33</f>
        <v>0</v>
      </c>
      <c r="AN85" s="87">
        <f>$I$33*$AN$33</f>
        <v>39317.692190947695</v>
      </c>
      <c r="AO85" s="87">
        <f>$I$33*$AO$33</f>
        <v>4994.8749899562072</v>
      </c>
      <c r="AP85" s="87">
        <f>$I$33*$AP$33</f>
        <v>0</v>
      </c>
      <c r="AQ85" s="87">
        <f>$I$33*$AQ$33</f>
        <v>0</v>
      </c>
      <c r="AR85" s="87">
        <f>$I$33*$AR$33</f>
        <v>0</v>
      </c>
      <c r="AS85" s="87">
        <f>$I$33*$AS$33</f>
        <v>0</v>
      </c>
      <c r="AT85" s="87">
        <f>$I$33*$AT$33</f>
        <v>0</v>
      </c>
      <c r="AU85" s="87">
        <f>$I$33*$AU$33</f>
        <v>128074.18331093513</v>
      </c>
      <c r="AV85" s="87">
        <f>$I$33*$AV$33</f>
        <v>0</v>
      </c>
      <c r="AW85" s="87">
        <f>$I$33*$AW$33</f>
        <v>0</v>
      </c>
      <c r="AX85" s="87">
        <f>$I$33*$AX$33</f>
        <v>256363.87140467539</v>
      </c>
      <c r="AY85" s="87">
        <f>$I$33*$AY$33</f>
        <v>8303.2659522492213</v>
      </c>
      <c r="AZ85" s="87">
        <f>$I$33*$AZ$33</f>
        <v>0</v>
      </c>
      <c r="BA85" s="87">
        <f>$I$33*$BA$33</f>
        <v>19743.014788228025</v>
      </c>
      <c r="BB85" s="87">
        <f>$I$33*$BB$33</f>
        <v>0</v>
      </c>
      <c r="BC85" s="87">
        <f>$I$33*$BC$33</f>
        <v>0</v>
      </c>
      <c r="BD85" s="87">
        <f>$I$33*$BD$33</f>
        <v>0</v>
      </c>
    </row>
    <row r="86" spans="1:56" ht="11.25" customHeight="1" x14ac:dyDescent="0.3">
      <c r="A86" s="9" t="s">
        <v>43</v>
      </c>
      <c r="B86" s="9" t="s">
        <v>863</v>
      </c>
      <c r="C86" s="9" t="s">
        <v>864</v>
      </c>
      <c r="D86" s="9" t="s">
        <v>877</v>
      </c>
      <c r="E86" s="9" t="s">
        <v>878</v>
      </c>
      <c r="F86" s="9" t="s">
        <v>879</v>
      </c>
      <c r="G86" s="9" t="s">
        <v>880</v>
      </c>
      <c r="L86" s="87">
        <f>$I$34*$L$34</f>
        <v>0</v>
      </c>
      <c r="M86" s="87">
        <f>$I$34*$M$34</f>
        <v>0</v>
      </c>
      <c r="N86" s="87">
        <f ca="1">$I$34*$N$34</f>
        <v>0</v>
      </c>
      <c r="O86" s="87">
        <f>$I$34*$O$34</f>
        <v>0</v>
      </c>
      <c r="P86" s="87">
        <f>$I$34*$P$34</f>
        <v>0</v>
      </c>
      <c r="Q86" s="87">
        <f>$I$34*$Q$34</f>
        <v>0</v>
      </c>
      <c r="R86" s="87">
        <f>$I$34*$R$34</f>
        <v>0</v>
      </c>
      <c r="S86" s="87">
        <f>$I$34*$S$34</f>
        <v>0</v>
      </c>
      <c r="T86" s="87">
        <f>$I$34*$T$34</f>
        <v>0</v>
      </c>
      <c r="U86" s="87">
        <f>$I$34*$U$34</f>
        <v>0</v>
      </c>
      <c r="V86" s="87">
        <f>$I$34*$V$34</f>
        <v>0</v>
      </c>
      <c r="W86" s="87">
        <f>$I$34*$W$34</f>
        <v>0</v>
      </c>
      <c r="X86" s="87">
        <f>$I$34*$X$34</f>
        <v>0</v>
      </c>
      <c r="Y86" s="87">
        <f>$I$34*$Y$34</f>
        <v>0</v>
      </c>
      <c r="Z86" s="87">
        <f>$I$34*$Z$34</f>
        <v>0</v>
      </c>
      <c r="AA86" s="87">
        <f>$I$34*$AA$34</f>
        <v>0</v>
      </c>
      <c r="AB86" s="87">
        <f ca="1">$I$34*$AB$34</f>
        <v>0</v>
      </c>
      <c r="AC86" s="87">
        <f ca="1">$I$34*$AC$34</f>
        <v>0</v>
      </c>
      <c r="AD86" s="87">
        <f>$I$34*$AD$34</f>
        <v>0</v>
      </c>
      <c r="AE86" s="87">
        <f>$I$34*$AE$34</f>
        <v>0</v>
      </c>
      <c r="AF86" s="87">
        <f ca="1">$I$34*$AF$34</f>
        <v>0</v>
      </c>
      <c r="AG86" s="87">
        <f ca="1">$I$34*$AG$34</f>
        <v>0</v>
      </c>
      <c r="AI86" s="87">
        <f>$I$34*$AI$34</f>
        <v>0</v>
      </c>
      <c r="AJ86" s="87">
        <f>$I$34*$AJ$34</f>
        <v>0</v>
      </c>
      <c r="AK86" s="87">
        <f>$I$34*$AK$34</f>
        <v>0</v>
      </c>
      <c r="AL86" s="87">
        <f>$I$34*$AL$34</f>
        <v>0</v>
      </c>
      <c r="AM86" s="87">
        <f>$I$34*$AM$34</f>
        <v>0</v>
      </c>
      <c r="AN86" s="87">
        <f>$I$34*$AN$34</f>
        <v>0</v>
      </c>
      <c r="AO86" s="87">
        <f>$I$34*$AO$34</f>
        <v>0</v>
      </c>
      <c r="AP86" s="87">
        <f>$I$34*$AP$34</f>
        <v>0</v>
      </c>
      <c r="AQ86" s="87">
        <f>$I$34*$AQ$34</f>
        <v>0</v>
      </c>
      <c r="AR86" s="87">
        <f>$I$34*$AR$34</f>
        <v>0</v>
      </c>
      <c r="AS86" s="87">
        <f>$I$34*$AS$34</f>
        <v>0</v>
      </c>
      <c r="AT86" s="87">
        <f>$I$34*$AT$34</f>
        <v>0</v>
      </c>
      <c r="AU86" s="87">
        <f>$I$34*$AU$34</f>
        <v>0</v>
      </c>
      <c r="AV86" s="87">
        <f>$I$34*$AV$34</f>
        <v>0</v>
      </c>
      <c r="AW86" s="87">
        <f>$I$34*$AW$34</f>
        <v>0</v>
      </c>
      <c r="AX86" s="87">
        <f>$I$34*$AX$34</f>
        <v>0</v>
      </c>
      <c r="AY86" s="87">
        <f>$I$34*$AY$34</f>
        <v>0</v>
      </c>
      <c r="AZ86" s="87">
        <f>$I$34*$AZ$34</f>
        <v>0</v>
      </c>
      <c r="BA86" s="87">
        <f>$I$34*$BA$34</f>
        <v>0</v>
      </c>
      <c r="BB86" s="87">
        <f>$I$34*$BB$34</f>
        <v>0</v>
      </c>
      <c r="BC86" s="87">
        <f>$I$34*$BC$34</f>
        <v>0</v>
      </c>
      <c r="BD86" s="87">
        <f>$I$34*$BD$34</f>
        <v>0</v>
      </c>
    </row>
    <row r="87" spans="1:56" ht="11.25" customHeight="1" x14ac:dyDescent="0.3">
      <c r="A87" s="9" t="s">
        <v>43</v>
      </c>
      <c r="B87" s="9" t="s">
        <v>863</v>
      </c>
      <c r="C87" s="9" t="s">
        <v>864</v>
      </c>
      <c r="D87" s="9" t="s">
        <v>877</v>
      </c>
      <c r="E87" s="9" t="s">
        <v>878</v>
      </c>
      <c r="F87" s="9" t="s">
        <v>879</v>
      </c>
      <c r="G87" s="9" t="s">
        <v>881</v>
      </c>
      <c r="L87" s="87">
        <f>$I$35*$L$35</f>
        <v>0</v>
      </c>
      <c r="M87" s="87">
        <f>$I$35*$M$35</f>
        <v>0</v>
      </c>
      <c r="N87" s="87">
        <f ca="1">$I$35*$N$35</f>
        <v>0</v>
      </c>
      <c r="O87" s="87">
        <f>$I$35*$O$35</f>
        <v>0</v>
      </c>
      <c r="P87" s="87">
        <f>$I$35*$P$35</f>
        <v>0</v>
      </c>
      <c r="Q87" s="87">
        <f>$I$35*$Q$35</f>
        <v>0</v>
      </c>
      <c r="R87" s="87">
        <f>$I$35*$R$35</f>
        <v>0</v>
      </c>
      <c r="S87" s="87">
        <f>$I$35*$S$35</f>
        <v>0</v>
      </c>
      <c r="T87" s="87">
        <f>$I$35*$T$35</f>
        <v>0</v>
      </c>
      <c r="U87" s="87">
        <f>$I$35*$U$35</f>
        <v>0</v>
      </c>
      <c r="V87" s="87">
        <f>$I$35*$V$35</f>
        <v>0</v>
      </c>
      <c r="W87" s="87">
        <f>$I$35*$W$35</f>
        <v>0</v>
      </c>
      <c r="X87" s="87">
        <f>$I$35*$X$35</f>
        <v>0</v>
      </c>
      <c r="Y87" s="87">
        <f>$I$35*$Y$35</f>
        <v>0</v>
      </c>
      <c r="Z87" s="87">
        <f>$I$35*$Z$35</f>
        <v>0</v>
      </c>
      <c r="AA87" s="87">
        <f>$I$35*$AA$35</f>
        <v>0</v>
      </c>
      <c r="AB87" s="87">
        <f ca="1">$I$35*$AB$35</f>
        <v>0</v>
      </c>
      <c r="AC87" s="87">
        <f ca="1">$I$35*$AC$35</f>
        <v>0</v>
      </c>
      <c r="AD87" s="87">
        <f>$I$35*$AD$35</f>
        <v>0</v>
      </c>
      <c r="AE87" s="87">
        <f>$I$35*$AE$35</f>
        <v>0</v>
      </c>
      <c r="AF87" s="87">
        <f ca="1">$I$35*$AF$35</f>
        <v>0</v>
      </c>
      <c r="AG87" s="87">
        <f ca="1">$I$35*$AG$35</f>
        <v>0</v>
      </c>
      <c r="AI87" s="87">
        <f>$I$35*$AI$35</f>
        <v>0</v>
      </c>
      <c r="AJ87" s="87">
        <f>$I$35*$AJ$35</f>
        <v>0</v>
      </c>
      <c r="AK87" s="87">
        <f>$I$35*$AK$35</f>
        <v>0</v>
      </c>
      <c r="AL87" s="87">
        <f>$I$35*$AL$35</f>
        <v>0</v>
      </c>
      <c r="AM87" s="87">
        <f>$I$35*$AM$35</f>
        <v>0</v>
      </c>
      <c r="AN87" s="87">
        <f>$I$35*$AN$35</f>
        <v>0</v>
      </c>
      <c r="AO87" s="87">
        <f>$I$35*$AO$35</f>
        <v>0</v>
      </c>
      <c r="AP87" s="87">
        <f>$I$35*$AP$35</f>
        <v>0</v>
      </c>
      <c r="AQ87" s="87">
        <f>$I$35*$AQ$35</f>
        <v>0</v>
      </c>
      <c r="AR87" s="87">
        <f>$I$35*$AR$35</f>
        <v>0</v>
      </c>
      <c r="AS87" s="87">
        <f>$I$35*$AS$35</f>
        <v>0</v>
      </c>
      <c r="AT87" s="87">
        <f>$I$35*$AT$35</f>
        <v>0</v>
      </c>
      <c r="AU87" s="87">
        <f>$I$35*$AU$35</f>
        <v>0</v>
      </c>
      <c r="AV87" s="87">
        <f>$I$35*$AV$35</f>
        <v>0</v>
      </c>
      <c r="AW87" s="87">
        <f>$I$35*$AW$35</f>
        <v>0</v>
      </c>
      <c r="AX87" s="87">
        <f>$I$35*$AX$35</f>
        <v>0</v>
      </c>
      <c r="AY87" s="87">
        <f>$I$35*$AY$35</f>
        <v>0</v>
      </c>
      <c r="AZ87" s="87">
        <f>$I$35*$AZ$35</f>
        <v>0</v>
      </c>
      <c r="BA87" s="87">
        <f>$I$35*$BA$35</f>
        <v>0</v>
      </c>
      <c r="BB87" s="87">
        <f>$I$35*$BB$35</f>
        <v>0</v>
      </c>
      <c r="BC87" s="87">
        <f>$I$35*$BC$35</f>
        <v>0</v>
      </c>
      <c r="BD87" s="87">
        <f>$I$35*$BD$35</f>
        <v>0</v>
      </c>
    </row>
    <row r="88" spans="1:56" ht="11.25" customHeight="1" x14ac:dyDescent="0.3">
      <c r="A88" s="9" t="s">
        <v>43</v>
      </c>
      <c r="B88" s="9" t="s">
        <v>863</v>
      </c>
      <c r="C88" s="9" t="s">
        <v>864</v>
      </c>
      <c r="D88" s="9" t="s">
        <v>877</v>
      </c>
      <c r="E88" s="9" t="s">
        <v>878</v>
      </c>
      <c r="F88" s="9" t="s">
        <v>879</v>
      </c>
      <c r="G88" s="9" t="s">
        <v>882</v>
      </c>
      <c r="L88" s="87">
        <f>$I$36*$L$36</f>
        <v>0</v>
      </c>
      <c r="M88" s="87">
        <f>$I$36*$M$36</f>
        <v>0</v>
      </c>
      <c r="N88" s="87">
        <f ca="1">$I$36*$N$36</f>
        <v>0</v>
      </c>
      <c r="O88" s="87">
        <f>$I$36*$O$36</f>
        <v>0</v>
      </c>
      <c r="P88" s="87">
        <f>$I$36*$P$36</f>
        <v>0</v>
      </c>
      <c r="Q88" s="87">
        <f>$I$36*$Q$36</f>
        <v>0</v>
      </c>
      <c r="R88" s="87">
        <f>$I$36*$R$36</f>
        <v>0</v>
      </c>
      <c r="S88" s="87">
        <f>$I$36*$S$36</f>
        <v>0</v>
      </c>
      <c r="T88" s="87">
        <f>$I$36*$T$36</f>
        <v>0</v>
      </c>
      <c r="U88" s="87">
        <f>$I$36*$U$36</f>
        <v>0</v>
      </c>
      <c r="V88" s="87">
        <f>$I$36*$V$36</f>
        <v>0</v>
      </c>
      <c r="W88" s="87">
        <f>$I$36*$W$36</f>
        <v>0</v>
      </c>
      <c r="X88" s="87">
        <f>$I$36*$X$36</f>
        <v>0</v>
      </c>
      <c r="Y88" s="87">
        <f>$I$36*$Y$36</f>
        <v>0</v>
      </c>
      <c r="Z88" s="87">
        <f>$I$36*$Z$36</f>
        <v>0</v>
      </c>
      <c r="AA88" s="87">
        <f>$I$36*$AA$36</f>
        <v>0</v>
      </c>
      <c r="AB88" s="87">
        <f ca="1">$I$36*$AB$36</f>
        <v>0</v>
      </c>
      <c r="AC88" s="87">
        <f ca="1">$I$36*$AC$36</f>
        <v>0</v>
      </c>
      <c r="AD88" s="87">
        <f>$I$36*$AD$36</f>
        <v>0</v>
      </c>
      <c r="AE88" s="87">
        <f>$I$36*$AE$36</f>
        <v>0</v>
      </c>
      <c r="AF88" s="87">
        <f ca="1">$I$36*$AF$36</f>
        <v>0</v>
      </c>
      <c r="AG88" s="87">
        <f ca="1">$I$36*$AG$36</f>
        <v>0</v>
      </c>
      <c r="AI88" s="87">
        <f>$I$36*$AI$36</f>
        <v>0</v>
      </c>
      <c r="AJ88" s="87">
        <f>$I$36*$AJ$36</f>
        <v>0</v>
      </c>
      <c r="AK88" s="87">
        <f>$I$36*$AK$36</f>
        <v>0</v>
      </c>
      <c r="AL88" s="87">
        <f>$I$36*$AL$36</f>
        <v>0</v>
      </c>
      <c r="AM88" s="87">
        <f>$I$36*$AM$36</f>
        <v>0</v>
      </c>
      <c r="AN88" s="87">
        <f>$I$36*$AN$36</f>
        <v>0</v>
      </c>
      <c r="AO88" s="87">
        <f>$I$36*$AO$36</f>
        <v>0</v>
      </c>
      <c r="AP88" s="87">
        <f>$I$36*$AP$36</f>
        <v>0</v>
      </c>
      <c r="AQ88" s="87">
        <f>$I$36*$AQ$36</f>
        <v>0</v>
      </c>
      <c r="AR88" s="87">
        <f>$I$36*$AR$36</f>
        <v>0</v>
      </c>
      <c r="AS88" s="87">
        <f>$I$36*$AS$36</f>
        <v>0</v>
      </c>
      <c r="AT88" s="87">
        <f>$I$36*$AT$36</f>
        <v>0</v>
      </c>
      <c r="AU88" s="87">
        <f>$I$36*$AU$36</f>
        <v>0</v>
      </c>
      <c r="AV88" s="87">
        <f>$I$36*$AV$36</f>
        <v>0</v>
      </c>
      <c r="AW88" s="87">
        <f>$I$36*$AW$36</f>
        <v>0</v>
      </c>
      <c r="AX88" s="87">
        <f>$I$36*$AX$36</f>
        <v>0</v>
      </c>
      <c r="AY88" s="87">
        <f>$I$36*$AY$36</f>
        <v>0</v>
      </c>
      <c r="AZ88" s="87">
        <f>$I$36*$AZ$36</f>
        <v>0</v>
      </c>
      <c r="BA88" s="87">
        <f>$I$36*$BA$36</f>
        <v>0</v>
      </c>
      <c r="BB88" s="87">
        <f>$I$36*$BB$36</f>
        <v>0</v>
      </c>
      <c r="BC88" s="87">
        <f>$I$36*$BC$36</f>
        <v>0</v>
      </c>
      <c r="BD88" s="87">
        <f>$I$36*$BD$36</f>
        <v>0</v>
      </c>
    </row>
    <row r="89" spans="1:56" ht="11.25" customHeight="1" x14ac:dyDescent="0.3">
      <c r="A89" s="9" t="s">
        <v>43</v>
      </c>
      <c r="B89" s="9" t="s">
        <v>871</v>
      </c>
      <c r="C89" s="9" t="s">
        <v>872</v>
      </c>
      <c r="D89" s="9" t="s">
        <v>883</v>
      </c>
      <c r="E89" s="9" t="s">
        <v>884</v>
      </c>
      <c r="F89" s="9" t="s">
        <v>885</v>
      </c>
      <c r="G89" s="9" t="s">
        <v>886</v>
      </c>
      <c r="L89" s="87">
        <f>$I$37*$L$37</f>
        <v>0</v>
      </c>
      <c r="M89" s="87">
        <f>$I$37*$M$37</f>
        <v>0</v>
      </c>
      <c r="N89" s="87">
        <f ca="1">$I$37*$N$37</f>
        <v>0</v>
      </c>
      <c r="O89" s="87">
        <f>$I$37*$O$37</f>
        <v>0</v>
      </c>
      <c r="P89" s="87">
        <f>$I$37*$P$37</f>
        <v>0</v>
      </c>
      <c r="Q89" s="87">
        <f>$I$37*$Q$37</f>
        <v>0</v>
      </c>
      <c r="R89" s="87">
        <f>$I$37*$R$37</f>
        <v>0</v>
      </c>
      <c r="S89" s="87">
        <f>$I$37*$S$37</f>
        <v>0</v>
      </c>
      <c r="T89" s="87">
        <f>$I$37*$T$37</f>
        <v>0</v>
      </c>
      <c r="U89" s="87">
        <f>$I$37*$U$37</f>
        <v>0</v>
      </c>
      <c r="V89" s="87">
        <f>$I$37*$V$37</f>
        <v>0</v>
      </c>
      <c r="W89" s="87">
        <f>$I$37*$W$37</f>
        <v>0</v>
      </c>
      <c r="X89" s="87">
        <f>$I$37*$X$37</f>
        <v>0</v>
      </c>
      <c r="Y89" s="87">
        <f>$I$37*$Y$37</f>
        <v>0</v>
      </c>
      <c r="Z89" s="87">
        <f>$I$37*$Z$37</f>
        <v>0</v>
      </c>
      <c r="AA89" s="87">
        <f>$I$37*$AA$37</f>
        <v>0</v>
      </c>
      <c r="AB89" s="87">
        <f ca="1">$I$37*$AB$37</f>
        <v>0</v>
      </c>
      <c r="AC89" s="87">
        <f ca="1">$I$37*$AC$37</f>
        <v>0</v>
      </c>
      <c r="AD89" s="87">
        <f>$I$37*$AD$37</f>
        <v>0</v>
      </c>
      <c r="AE89" s="87">
        <f>$I$37*$AE$37</f>
        <v>0</v>
      </c>
      <c r="AF89" s="87">
        <f ca="1">$I$37*$AF$37</f>
        <v>0</v>
      </c>
      <c r="AG89" s="87">
        <f ca="1">$I$37*$AG$37</f>
        <v>0</v>
      </c>
      <c r="AI89" s="87">
        <f>$I$37*$AI$37</f>
        <v>0</v>
      </c>
      <c r="AJ89" s="87">
        <f>$I$37*$AJ$37</f>
        <v>0</v>
      </c>
      <c r="AK89" s="87">
        <f>$I$37*$AK$37</f>
        <v>0</v>
      </c>
      <c r="AL89" s="87">
        <f>$I$37*$AL$37</f>
        <v>0</v>
      </c>
      <c r="AM89" s="87">
        <f>$I$37*$AM$37</f>
        <v>0</v>
      </c>
      <c r="AN89" s="87">
        <f>$I$37*$AN$37</f>
        <v>0</v>
      </c>
      <c r="AO89" s="87">
        <f>$I$37*$AO$37</f>
        <v>0</v>
      </c>
      <c r="AP89" s="87">
        <f>$I$37*$AP$37</f>
        <v>0</v>
      </c>
      <c r="AQ89" s="87">
        <f>$I$37*$AQ$37</f>
        <v>0</v>
      </c>
      <c r="AR89" s="87">
        <f>$I$37*$AR$37</f>
        <v>0</v>
      </c>
      <c r="AS89" s="87">
        <f>$I$37*$AS$37</f>
        <v>0</v>
      </c>
      <c r="AT89" s="87">
        <f>$I$37*$AT$37</f>
        <v>0</v>
      </c>
      <c r="AU89" s="87">
        <f>$I$37*$AU$37</f>
        <v>0</v>
      </c>
      <c r="AV89" s="87">
        <f>$I$37*$AV$37</f>
        <v>0</v>
      </c>
      <c r="AW89" s="87">
        <f>$I$37*$AW$37</f>
        <v>0</v>
      </c>
      <c r="AX89" s="87">
        <f>$I$37*$AX$37</f>
        <v>0</v>
      </c>
      <c r="AY89" s="87">
        <f>$I$37*$AY$37</f>
        <v>0</v>
      </c>
      <c r="AZ89" s="87">
        <f>$I$37*$AZ$37</f>
        <v>0</v>
      </c>
      <c r="BA89" s="87">
        <f>$I$37*$BA$37</f>
        <v>0</v>
      </c>
      <c r="BB89" s="87">
        <f>$I$37*$BB$37</f>
        <v>0</v>
      </c>
      <c r="BC89" s="87">
        <f>$I$37*$BC$37</f>
        <v>0</v>
      </c>
      <c r="BD89" s="87">
        <f>$I$37*$BD$37</f>
        <v>0</v>
      </c>
    </row>
    <row r="90" spans="1:56" ht="11.25" customHeight="1" x14ac:dyDescent="0.3">
      <c r="A90" s="9" t="s">
        <v>43</v>
      </c>
      <c r="B90" s="9" t="s">
        <v>863</v>
      </c>
      <c r="C90" s="9" t="s">
        <v>864</v>
      </c>
      <c r="D90" s="9" t="s">
        <v>887</v>
      </c>
      <c r="E90" s="9" t="s">
        <v>888</v>
      </c>
      <c r="F90" s="9" t="s">
        <v>889</v>
      </c>
      <c r="G90" s="9" t="s">
        <v>890</v>
      </c>
      <c r="L90" s="87">
        <f>$I$38*$L$38</f>
        <v>0</v>
      </c>
      <c r="M90" s="87">
        <f>$I$38*$M$38</f>
        <v>0</v>
      </c>
      <c r="N90" s="87">
        <f ca="1">$I$38*$N$38</f>
        <v>0</v>
      </c>
      <c r="O90" s="87">
        <f>$I$38*$O$38</f>
        <v>0</v>
      </c>
      <c r="P90" s="87">
        <f>$I$38*$P$38</f>
        <v>0</v>
      </c>
      <c r="Q90" s="87">
        <f>$I$38*$Q$38</f>
        <v>0</v>
      </c>
      <c r="R90" s="87">
        <f>$I$38*$R$38</f>
        <v>0</v>
      </c>
      <c r="S90" s="87">
        <f>$I$38*$S$38</f>
        <v>0</v>
      </c>
      <c r="T90" s="87">
        <f>$I$38*$T$38</f>
        <v>0</v>
      </c>
      <c r="U90" s="87">
        <f>$I$38*$U$38</f>
        <v>0</v>
      </c>
      <c r="V90" s="87">
        <f>$I$38*$V$38</f>
        <v>0</v>
      </c>
      <c r="W90" s="87">
        <f>$I$38*$W$38</f>
        <v>0</v>
      </c>
      <c r="X90" s="87">
        <f>$I$38*$X$38</f>
        <v>0</v>
      </c>
      <c r="Y90" s="87">
        <f>$I$38*$Y$38</f>
        <v>0</v>
      </c>
      <c r="Z90" s="87">
        <f>$I$38*$Z$38</f>
        <v>0</v>
      </c>
      <c r="AA90" s="87">
        <f>$I$38*$AA$38</f>
        <v>0</v>
      </c>
      <c r="AB90" s="87">
        <f ca="1">$I$38*$AB$38</f>
        <v>0</v>
      </c>
      <c r="AC90" s="87">
        <f ca="1">$I$38*$AC$38</f>
        <v>0</v>
      </c>
      <c r="AD90" s="87">
        <f>$I$38*$AD$38</f>
        <v>0</v>
      </c>
      <c r="AE90" s="87">
        <f>$I$38*$AE$38</f>
        <v>0</v>
      </c>
      <c r="AF90" s="87">
        <f ca="1">$I$38*$AF$38</f>
        <v>0</v>
      </c>
      <c r="AG90" s="87">
        <f ca="1">$I$38*$AG$38</f>
        <v>0</v>
      </c>
      <c r="AI90" s="87">
        <f>$I$38*$AI$38</f>
        <v>0</v>
      </c>
      <c r="AJ90" s="87">
        <f>$I$38*$AJ$38</f>
        <v>0</v>
      </c>
      <c r="AK90" s="87">
        <f>$I$38*$AK$38</f>
        <v>0</v>
      </c>
      <c r="AL90" s="87">
        <f>$I$38*$AL$38</f>
        <v>0</v>
      </c>
      <c r="AM90" s="87">
        <f>$I$38*$AM$38</f>
        <v>0</v>
      </c>
      <c r="AN90" s="87">
        <f>$I$38*$AN$38</f>
        <v>0</v>
      </c>
      <c r="AO90" s="87">
        <f>$I$38*$AO$38</f>
        <v>0</v>
      </c>
      <c r="AP90" s="87">
        <f>$I$38*$AP$38</f>
        <v>0</v>
      </c>
      <c r="AQ90" s="87">
        <f>$I$38*$AQ$38</f>
        <v>0</v>
      </c>
      <c r="AR90" s="87">
        <f>$I$38*$AR$38</f>
        <v>0</v>
      </c>
      <c r="AS90" s="87">
        <f>$I$38*$AS$38</f>
        <v>0</v>
      </c>
      <c r="AT90" s="87">
        <f>$I$38*$AT$38</f>
        <v>0</v>
      </c>
      <c r="AU90" s="87">
        <f>$I$38*$AU$38</f>
        <v>0</v>
      </c>
      <c r="AV90" s="87">
        <f>$I$38*$AV$38</f>
        <v>0</v>
      </c>
      <c r="AW90" s="87">
        <f>$I$38*$AW$38</f>
        <v>0</v>
      </c>
      <c r="AX90" s="87">
        <f>$I$38*$AX$38</f>
        <v>0</v>
      </c>
      <c r="AY90" s="87">
        <f>$I$38*$AY$38</f>
        <v>0</v>
      </c>
      <c r="AZ90" s="87">
        <f>$I$38*$AZ$38</f>
        <v>0</v>
      </c>
      <c r="BA90" s="87">
        <f>$I$38*$BA$38</f>
        <v>0</v>
      </c>
      <c r="BB90" s="87">
        <f>$I$38*$BB$38</f>
        <v>0</v>
      </c>
      <c r="BC90" s="87">
        <f>$I$38*$BC$38</f>
        <v>0</v>
      </c>
      <c r="BD90" s="87">
        <f>$I$38*$BD$38</f>
        <v>0</v>
      </c>
    </row>
    <row r="91" spans="1:56" ht="11.25" customHeight="1" x14ac:dyDescent="0.3">
      <c r="A91" s="9" t="s">
        <v>43</v>
      </c>
      <c r="B91" s="9" t="s">
        <v>863</v>
      </c>
      <c r="C91" s="9" t="s">
        <v>864</v>
      </c>
      <c r="D91" s="9" t="s">
        <v>887</v>
      </c>
      <c r="E91" s="9" t="s">
        <v>888</v>
      </c>
      <c r="F91" s="9" t="s">
        <v>889</v>
      </c>
      <c r="G91" s="9" t="s">
        <v>891</v>
      </c>
      <c r="L91" s="87">
        <f>$I$39*$L$39</f>
        <v>0</v>
      </c>
      <c r="M91" s="87">
        <f>$I$39*$M$39</f>
        <v>0</v>
      </c>
      <c r="N91" s="87">
        <f ca="1">$I$39*$N$39</f>
        <v>0</v>
      </c>
      <c r="O91" s="87">
        <f>$I$39*$O$39</f>
        <v>0</v>
      </c>
      <c r="P91" s="87">
        <f>$I$39*$P$39</f>
        <v>0</v>
      </c>
      <c r="Q91" s="87">
        <f>$I$39*$Q$39</f>
        <v>0</v>
      </c>
      <c r="R91" s="87">
        <f>$I$39*$R$39</f>
        <v>0</v>
      </c>
      <c r="S91" s="87">
        <f>$I$39*$S$39</f>
        <v>0</v>
      </c>
      <c r="T91" s="87">
        <f>$I$39*$T$39</f>
        <v>0</v>
      </c>
      <c r="U91" s="87">
        <f>$I$39*$U$39</f>
        <v>0</v>
      </c>
      <c r="V91" s="87">
        <f>$I$39*$V$39</f>
        <v>0</v>
      </c>
      <c r="W91" s="87">
        <f>$I$39*$W$39</f>
        <v>0</v>
      </c>
      <c r="X91" s="87">
        <f>$I$39*$X$39</f>
        <v>0</v>
      </c>
      <c r="Y91" s="87">
        <f>$I$39*$Y$39</f>
        <v>0</v>
      </c>
      <c r="Z91" s="87">
        <f>$I$39*$Z$39</f>
        <v>0</v>
      </c>
      <c r="AA91" s="87">
        <f>$I$39*$AA$39</f>
        <v>0</v>
      </c>
      <c r="AB91" s="87">
        <f ca="1">$I$39*$AB$39</f>
        <v>0</v>
      </c>
      <c r="AC91" s="87">
        <f ca="1">$I$39*$AC$39</f>
        <v>0</v>
      </c>
      <c r="AD91" s="87">
        <f>$I$39*$AD$39</f>
        <v>0</v>
      </c>
      <c r="AE91" s="87">
        <f>$I$39*$AE$39</f>
        <v>0</v>
      </c>
      <c r="AF91" s="87">
        <f ca="1">$I$39*$AF$39</f>
        <v>0</v>
      </c>
      <c r="AG91" s="87">
        <f ca="1">$I$39*$AG$39</f>
        <v>0</v>
      </c>
      <c r="AI91" s="87">
        <f>$I$39*$AI$39</f>
        <v>0</v>
      </c>
      <c r="AJ91" s="87">
        <f>$I$39*$AJ$39</f>
        <v>0</v>
      </c>
      <c r="AK91" s="87">
        <f>$I$39*$AK$39</f>
        <v>0</v>
      </c>
      <c r="AL91" s="87">
        <f>$I$39*$AL$39</f>
        <v>0</v>
      </c>
      <c r="AM91" s="87">
        <f>$I$39*$AM$39</f>
        <v>0</v>
      </c>
      <c r="AN91" s="87">
        <f>$I$39*$AN$39</f>
        <v>0</v>
      </c>
      <c r="AO91" s="87">
        <f>$I$39*$AO$39</f>
        <v>0</v>
      </c>
      <c r="AP91" s="87">
        <f>$I$39*$AP$39</f>
        <v>0</v>
      </c>
      <c r="AQ91" s="87">
        <f>$I$39*$AQ$39</f>
        <v>0</v>
      </c>
      <c r="AR91" s="87">
        <f>$I$39*$AR$39</f>
        <v>0</v>
      </c>
      <c r="AS91" s="87">
        <f>$I$39*$AS$39</f>
        <v>0</v>
      </c>
      <c r="AT91" s="87">
        <f>$I$39*$AT$39</f>
        <v>0</v>
      </c>
      <c r="AU91" s="87">
        <f>$I$39*$AU$39</f>
        <v>0</v>
      </c>
      <c r="AV91" s="87">
        <f>$I$39*$AV$39</f>
        <v>0</v>
      </c>
      <c r="AW91" s="87">
        <f>$I$39*$AW$39</f>
        <v>0</v>
      </c>
      <c r="AX91" s="87">
        <f>$I$39*$AX$39</f>
        <v>0</v>
      </c>
      <c r="AY91" s="87">
        <f>$I$39*$AY$39</f>
        <v>0</v>
      </c>
      <c r="AZ91" s="87">
        <f>$I$39*$AZ$39</f>
        <v>0</v>
      </c>
      <c r="BA91" s="87">
        <f>$I$39*$BA$39</f>
        <v>0</v>
      </c>
      <c r="BB91" s="87">
        <f>$I$39*$BB$39</f>
        <v>0</v>
      </c>
      <c r="BC91" s="87">
        <f>$I$39*$BC$39</f>
        <v>0</v>
      </c>
      <c r="BD91" s="87">
        <f>$I$39*$BD$39</f>
        <v>0</v>
      </c>
    </row>
    <row r="92" spans="1:56" ht="11.25" customHeight="1" x14ac:dyDescent="0.3">
      <c r="A92" s="9" t="s">
        <v>43</v>
      </c>
      <c r="B92" s="9" t="s">
        <v>863</v>
      </c>
      <c r="C92" s="9" t="s">
        <v>864</v>
      </c>
      <c r="D92" s="9" t="s">
        <v>887</v>
      </c>
      <c r="E92" s="9" t="s">
        <v>888</v>
      </c>
      <c r="F92" s="9" t="s">
        <v>889</v>
      </c>
      <c r="G92" s="9" t="s">
        <v>892</v>
      </c>
      <c r="L92" s="87">
        <f>$I$40*$L$40</f>
        <v>0</v>
      </c>
      <c r="M92" s="87">
        <f>$I$40*$M$40</f>
        <v>0</v>
      </c>
      <c r="N92" s="87">
        <f ca="1">$I$40*$N$40</f>
        <v>0</v>
      </c>
      <c r="O92" s="87">
        <f>$I$40*$O$40</f>
        <v>0</v>
      </c>
      <c r="P92" s="87">
        <f>$I$40*$P$40</f>
        <v>0</v>
      </c>
      <c r="Q92" s="87">
        <f>$I$40*$Q$40</f>
        <v>0</v>
      </c>
      <c r="R92" s="87">
        <f>$I$40*$R$40</f>
        <v>0</v>
      </c>
      <c r="S92" s="87">
        <f>$I$40*$S$40</f>
        <v>0</v>
      </c>
      <c r="T92" s="87">
        <f>$I$40*$T$40</f>
        <v>0</v>
      </c>
      <c r="U92" s="87">
        <f>$I$40*$U$40</f>
        <v>0</v>
      </c>
      <c r="V92" s="87">
        <f>$I$40*$V$40</f>
        <v>0</v>
      </c>
      <c r="W92" s="87">
        <f>$I$40*$W$40</f>
        <v>0</v>
      </c>
      <c r="X92" s="87">
        <f>$I$40*$X$40</f>
        <v>0</v>
      </c>
      <c r="Y92" s="87">
        <f>$I$40*$Y$40</f>
        <v>0</v>
      </c>
      <c r="Z92" s="87">
        <f>$I$40*$Z$40</f>
        <v>0</v>
      </c>
      <c r="AA92" s="87">
        <f>$I$40*$AA$40</f>
        <v>0</v>
      </c>
      <c r="AB92" s="87">
        <f ca="1">$I$40*$AB$40</f>
        <v>0</v>
      </c>
      <c r="AC92" s="87">
        <f ca="1">$I$40*$AC$40</f>
        <v>0</v>
      </c>
      <c r="AD92" s="87">
        <f>$I$40*$AD$40</f>
        <v>0</v>
      </c>
      <c r="AE92" s="87">
        <f>$I$40*$AE$40</f>
        <v>0</v>
      </c>
      <c r="AF92" s="87">
        <f ca="1">$I$40*$AF$40</f>
        <v>0</v>
      </c>
      <c r="AG92" s="87">
        <f ca="1">$I$40*$AG$40</f>
        <v>0</v>
      </c>
      <c r="AI92" s="87">
        <f>$I$40*$AI$40</f>
        <v>0</v>
      </c>
      <c r="AJ92" s="87">
        <f>$I$40*$AJ$40</f>
        <v>0</v>
      </c>
      <c r="AK92" s="87">
        <f>$I$40*$AK$40</f>
        <v>0</v>
      </c>
      <c r="AL92" s="87">
        <f>$I$40*$AL$40</f>
        <v>0</v>
      </c>
      <c r="AM92" s="87">
        <f>$I$40*$AM$40</f>
        <v>0</v>
      </c>
      <c r="AN92" s="87">
        <f>$I$40*$AN$40</f>
        <v>0</v>
      </c>
      <c r="AO92" s="87">
        <f>$I$40*$AO$40</f>
        <v>0</v>
      </c>
      <c r="AP92" s="87">
        <f>$I$40*$AP$40</f>
        <v>0</v>
      </c>
      <c r="AQ92" s="87">
        <f>$I$40*$AQ$40</f>
        <v>0</v>
      </c>
      <c r="AR92" s="87">
        <f>$I$40*$AR$40</f>
        <v>0</v>
      </c>
      <c r="AS92" s="87">
        <f>$I$40*$AS$40</f>
        <v>0</v>
      </c>
      <c r="AT92" s="87">
        <f>$I$40*$AT$40</f>
        <v>0</v>
      </c>
      <c r="AU92" s="87">
        <f>$I$40*$AU$40</f>
        <v>0</v>
      </c>
      <c r="AV92" s="87">
        <f>$I$40*$AV$40</f>
        <v>0</v>
      </c>
      <c r="AW92" s="87">
        <f>$I$40*$AW$40</f>
        <v>0</v>
      </c>
      <c r="AX92" s="87">
        <f>$I$40*$AX$40</f>
        <v>0</v>
      </c>
      <c r="AY92" s="87">
        <f>$I$40*$AY$40</f>
        <v>0</v>
      </c>
      <c r="AZ92" s="87">
        <f>$I$40*$AZ$40</f>
        <v>0</v>
      </c>
      <c r="BA92" s="87">
        <f>$I$40*$BA$40</f>
        <v>0</v>
      </c>
      <c r="BB92" s="87">
        <f>$I$40*$BB$40</f>
        <v>0</v>
      </c>
      <c r="BC92" s="87">
        <f>$I$40*$BC$40</f>
        <v>0</v>
      </c>
      <c r="BD92" s="87">
        <f>$I$40*$BD$40</f>
        <v>0</v>
      </c>
    </row>
    <row r="93" spans="1:56" ht="11.25" customHeight="1" x14ac:dyDescent="0.3">
      <c r="A93" s="9" t="s">
        <v>43</v>
      </c>
      <c r="B93" s="9" t="s">
        <v>871</v>
      </c>
      <c r="C93" s="9" t="s">
        <v>872</v>
      </c>
      <c r="D93" s="9" t="s">
        <v>893</v>
      </c>
      <c r="E93" s="9" t="s">
        <v>894</v>
      </c>
      <c r="F93" s="9" t="s">
        <v>895</v>
      </c>
      <c r="G93" s="9" t="s">
        <v>896</v>
      </c>
      <c r="L93" s="87">
        <f>$I$41*$L$41</f>
        <v>0</v>
      </c>
      <c r="M93" s="87">
        <f>$I$41*$M$41</f>
        <v>0</v>
      </c>
      <c r="N93" s="87">
        <f ca="1">$I$41*$N$41</f>
        <v>0</v>
      </c>
      <c r="O93" s="87">
        <f>$I$41*$O$41</f>
        <v>0</v>
      </c>
      <c r="P93" s="87">
        <f>$I$41*$P$41</f>
        <v>0</v>
      </c>
      <c r="Q93" s="87">
        <f>$I$41*$Q$41</f>
        <v>0</v>
      </c>
      <c r="R93" s="87">
        <f>$I$41*$R$41</f>
        <v>0</v>
      </c>
      <c r="S93" s="87">
        <f>$I$41*$S$41</f>
        <v>0</v>
      </c>
      <c r="T93" s="87">
        <f>$I$41*$T$41</f>
        <v>0</v>
      </c>
      <c r="U93" s="87">
        <f>$I$41*$U$41</f>
        <v>0</v>
      </c>
      <c r="V93" s="87">
        <f>$I$41*$V$41</f>
        <v>0</v>
      </c>
      <c r="W93" s="87">
        <f>$I$41*$W$41</f>
        <v>0</v>
      </c>
      <c r="X93" s="87">
        <f>$I$41*$X$41</f>
        <v>0</v>
      </c>
      <c r="Y93" s="87">
        <f>$I$41*$Y$41</f>
        <v>0</v>
      </c>
      <c r="Z93" s="87">
        <f>$I$41*$Z$41</f>
        <v>0</v>
      </c>
      <c r="AA93" s="87">
        <f>$I$41*$AA$41</f>
        <v>0</v>
      </c>
      <c r="AB93" s="87">
        <f ca="1">$I$41*$AB$41</f>
        <v>0</v>
      </c>
      <c r="AC93" s="87">
        <f ca="1">$I$41*$AC$41</f>
        <v>0</v>
      </c>
      <c r="AD93" s="87">
        <f>$I$41*$AD$41</f>
        <v>0</v>
      </c>
      <c r="AE93" s="87">
        <f>$I$41*$AE$41</f>
        <v>0</v>
      </c>
      <c r="AF93" s="87">
        <f ca="1">$I$41*$AF$41</f>
        <v>0</v>
      </c>
      <c r="AG93" s="87">
        <f ca="1">$I$41*$AG$41</f>
        <v>0</v>
      </c>
      <c r="AI93" s="87">
        <f>$I$41*$AI$41</f>
        <v>0</v>
      </c>
      <c r="AJ93" s="87">
        <f>$I$41*$AJ$41</f>
        <v>0</v>
      </c>
      <c r="AK93" s="87">
        <f>$I$41*$AK$41</f>
        <v>0</v>
      </c>
      <c r="AL93" s="87">
        <f>$I$41*$AL$41</f>
        <v>0</v>
      </c>
      <c r="AM93" s="87">
        <f>$I$41*$AM$41</f>
        <v>0</v>
      </c>
      <c r="AN93" s="87">
        <f>$I$41*$AN$41</f>
        <v>0</v>
      </c>
      <c r="AO93" s="87">
        <f>$I$41*$AO$41</f>
        <v>0</v>
      </c>
      <c r="AP93" s="87">
        <f>$I$41*$AP$41</f>
        <v>0</v>
      </c>
      <c r="AQ93" s="87">
        <f>$I$41*$AQ$41</f>
        <v>0</v>
      </c>
      <c r="AR93" s="87">
        <f>$I$41*$AR$41</f>
        <v>0</v>
      </c>
      <c r="AS93" s="87">
        <f>$I$41*$AS$41</f>
        <v>0</v>
      </c>
      <c r="AT93" s="87">
        <f>$I$41*$AT$41</f>
        <v>0</v>
      </c>
      <c r="AU93" s="87">
        <f>$I$41*$AU$41</f>
        <v>0</v>
      </c>
      <c r="AV93" s="87">
        <f>$I$41*$AV$41</f>
        <v>0</v>
      </c>
      <c r="AW93" s="87">
        <f>$I$41*$AW$41</f>
        <v>0</v>
      </c>
      <c r="AX93" s="87">
        <f>$I$41*$AX$41</f>
        <v>0</v>
      </c>
      <c r="AY93" s="87">
        <f>$I$41*$AY$41</f>
        <v>0</v>
      </c>
      <c r="AZ93" s="87">
        <f>$I$41*$AZ$41</f>
        <v>0</v>
      </c>
      <c r="BA93" s="87">
        <f>$I$41*$BA$41</f>
        <v>0</v>
      </c>
      <c r="BB93" s="87">
        <f>$I$41*$BB$41</f>
        <v>0</v>
      </c>
      <c r="BC93" s="87">
        <f>$I$41*$BC$41</f>
        <v>0</v>
      </c>
      <c r="BD93" s="87">
        <f>$I$41*$BD$41</f>
        <v>0</v>
      </c>
    </row>
    <row r="94" spans="1:56" ht="11.25" customHeight="1" x14ac:dyDescent="0.3">
      <c r="A94" s="9" t="s">
        <v>43</v>
      </c>
      <c r="B94" s="9" t="s">
        <v>897</v>
      </c>
      <c r="C94" s="9" t="s">
        <v>898</v>
      </c>
      <c r="D94" s="9" t="s">
        <v>899</v>
      </c>
      <c r="E94" s="9" t="s">
        <v>900</v>
      </c>
      <c r="F94" s="9" t="s">
        <v>901</v>
      </c>
      <c r="G94" s="9" t="s">
        <v>902</v>
      </c>
      <c r="L94" s="87">
        <f>$I$42*$L$42</f>
        <v>0</v>
      </c>
      <c r="M94" s="87">
        <f>$I$42*$M$42</f>
        <v>0</v>
      </c>
      <c r="N94" s="87">
        <f ca="1">$I$42*$N$42</f>
        <v>0</v>
      </c>
      <c r="O94" s="87">
        <f>$I$42*$O$42</f>
        <v>0</v>
      </c>
      <c r="P94" s="87">
        <f>$I$42*$P$42</f>
        <v>0</v>
      </c>
      <c r="Q94" s="87">
        <f>$I$42*$Q$42</f>
        <v>0</v>
      </c>
      <c r="R94" s="87">
        <f>$I$42*$R$42</f>
        <v>0</v>
      </c>
      <c r="S94" s="87">
        <f>$I$42*$S$42</f>
        <v>0</v>
      </c>
      <c r="T94" s="87">
        <f>$I$42*$T$42</f>
        <v>0</v>
      </c>
      <c r="U94" s="87">
        <f>$I$42*$U$42</f>
        <v>0</v>
      </c>
      <c r="V94" s="87">
        <f>$I$42*$V$42</f>
        <v>0</v>
      </c>
      <c r="W94" s="87">
        <f>$I$42*$W$42</f>
        <v>0</v>
      </c>
      <c r="X94" s="87">
        <f>$I$42*$X$42</f>
        <v>0</v>
      </c>
      <c r="Y94" s="87">
        <f>$I$42*$Y$42</f>
        <v>0</v>
      </c>
      <c r="Z94" s="87">
        <f>$I$42*$Z$42</f>
        <v>0</v>
      </c>
      <c r="AA94" s="87">
        <f>$I$42*$AA$42</f>
        <v>0</v>
      </c>
      <c r="AB94" s="87">
        <f ca="1">$I$42*$AB$42</f>
        <v>0</v>
      </c>
      <c r="AC94" s="87">
        <f ca="1">$I$42*$AC$42</f>
        <v>0</v>
      </c>
      <c r="AD94" s="87">
        <f>$I$42*$AD$42</f>
        <v>0</v>
      </c>
      <c r="AE94" s="87">
        <f>$I$42*$AE$42</f>
        <v>0</v>
      </c>
      <c r="AF94" s="87">
        <f ca="1">$I$42*$AF$42</f>
        <v>0</v>
      </c>
      <c r="AG94" s="87">
        <f ca="1">$I$42*$AG$42</f>
        <v>0</v>
      </c>
      <c r="AI94" s="87">
        <f>$I$42*$AI$42</f>
        <v>0</v>
      </c>
      <c r="AJ94" s="87">
        <f>$I$42*$AJ$42</f>
        <v>0</v>
      </c>
      <c r="AK94" s="87">
        <f>$I$42*$AK$42</f>
        <v>0</v>
      </c>
      <c r="AL94" s="87">
        <f>$I$42*$AL$42</f>
        <v>0</v>
      </c>
      <c r="AM94" s="87">
        <f>$I$42*$AM$42</f>
        <v>0</v>
      </c>
      <c r="AN94" s="87">
        <f>$I$42*$AN$42</f>
        <v>0</v>
      </c>
      <c r="AO94" s="87">
        <f>$I$42*$AO$42</f>
        <v>0</v>
      </c>
      <c r="AP94" s="87">
        <f>$I$42*$AP$42</f>
        <v>0</v>
      </c>
      <c r="AQ94" s="87">
        <f>$I$42*$AQ$42</f>
        <v>0</v>
      </c>
      <c r="AR94" s="87">
        <f>$I$42*$AR$42</f>
        <v>0</v>
      </c>
      <c r="AS94" s="87">
        <f>$I$42*$AS$42</f>
        <v>0</v>
      </c>
      <c r="AT94" s="87">
        <f>$I$42*$AT$42</f>
        <v>0</v>
      </c>
      <c r="AU94" s="87">
        <f>$I$42*$AU$42</f>
        <v>0</v>
      </c>
      <c r="AV94" s="87">
        <f>$I$42*$AV$42</f>
        <v>0</v>
      </c>
      <c r="AW94" s="87">
        <f>$I$42*$AW$42</f>
        <v>0</v>
      </c>
      <c r="AX94" s="87">
        <f>$I$42*$AX$42</f>
        <v>0</v>
      </c>
      <c r="AY94" s="87">
        <f>$I$42*$AY$42</f>
        <v>0</v>
      </c>
      <c r="AZ94" s="87">
        <f>$I$42*$AZ$42</f>
        <v>0</v>
      </c>
      <c r="BA94" s="87">
        <f>$I$42*$BA$42</f>
        <v>0</v>
      </c>
      <c r="BB94" s="87">
        <f>$I$42*$BB$42</f>
        <v>0</v>
      </c>
      <c r="BC94" s="87">
        <f>$I$42*$BC$42</f>
        <v>0</v>
      </c>
      <c r="BD94" s="87">
        <f>$I$42*$BD$42</f>
        <v>0</v>
      </c>
    </row>
    <row r="95" spans="1:56" ht="11.25" customHeight="1" x14ac:dyDescent="0.3">
      <c r="A95" s="9" t="s">
        <v>43</v>
      </c>
      <c r="B95" s="9" t="s">
        <v>897</v>
      </c>
      <c r="C95" s="9" t="s">
        <v>898</v>
      </c>
      <c r="D95" s="9" t="s">
        <v>903</v>
      </c>
      <c r="E95" s="9" t="s">
        <v>904</v>
      </c>
      <c r="F95" s="9" t="s">
        <v>905</v>
      </c>
      <c r="G95" s="9" t="s">
        <v>906</v>
      </c>
      <c r="L95" s="87">
        <f>$I$43*$L$43</f>
        <v>0</v>
      </c>
      <c r="M95" s="87">
        <f>$I$43*$M$43</f>
        <v>0</v>
      </c>
      <c r="N95" s="87">
        <f ca="1">$I$43*$N$43</f>
        <v>0</v>
      </c>
      <c r="O95" s="87">
        <f>$I$43*$O$43</f>
        <v>0</v>
      </c>
      <c r="P95" s="87">
        <f>$I$43*$P$43</f>
        <v>0</v>
      </c>
      <c r="Q95" s="87">
        <f>$I$43*$Q$43</f>
        <v>0</v>
      </c>
      <c r="R95" s="87">
        <f>$I$43*$R$43</f>
        <v>0</v>
      </c>
      <c r="S95" s="87">
        <f>$I$43*$S$43</f>
        <v>0</v>
      </c>
      <c r="T95" s="87">
        <f>$I$43*$T$43</f>
        <v>0</v>
      </c>
      <c r="U95" s="87">
        <f>$I$43*$U$43</f>
        <v>0</v>
      </c>
      <c r="V95" s="87">
        <f>$I$43*$V$43</f>
        <v>0</v>
      </c>
      <c r="W95" s="87">
        <f>$I$43*$W$43</f>
        <v>0</v>
      </c>
      <c r="X95" s="87">
        <f>$I$43*$X$43</f>
        <v>0</v>
      </c>
      <c r="Y95" s="87">
        <f>$I$43*$Y$43</f>
        <v>0</v>
      </c>
      <c r="Z95" s="87">
        <f>$I$43*$Z$43</f>
        <v>0</v>
      </c>
      <c r="AA95" s="87">
        <f>$I$43*$AA$43</f>
        <v>0</v>
      </c>
      <c r="AB95" s="87">
        <f ca="1">$I$43*$AB$43</f>
        <v>0</v>
      </c>
      <c r="AC95" s="87">
        <f ca="1">$I$43*$AC$43</f>
        <v>0</v>
      </c>
      <c r="AD95" s="87">
        <f>$I$43*$AD$43</f>
        <v>0</v>
      </c>
      <c r="AE95" s="87">
        <f>$I$43*$AE$43</f>
        <v>0</v>
      </c>
      <c r="AF95" s="87">
        <f ca="1">$I$43*$AF$43</f>
        <v>0</v>
      </c>
      <c r="AG95" s="87">
        <f ca="1">$I$43*$AG$43</f>
        <v>0</v>
      </c>
      <c r="AI95" s="87">
        <f>$I$43*$AI$43</f>
        <v>0</v>
      </c>
      <c r="AJ95" s="87">
        <f>$I$43*$AJ$43</f>
        <v>0</v>
      </c>
      <c r="AK95" s="87">
        <f>$I$43*$AK$43</f>
        <v>0</v>
      </c>
      <c r="AL95" s="87">
        <f>$I$43*$AL$43</f>
        <v>0</v>
      </c>
      <c r="AM95" s="87">
        <f>$I$43*$AM$43</f>
        <v>0</v>
      </c>
      <c r="AN95" s="87">
        <f>$I$43*$AN$43</f>
        <v>0</v>
      </c>
      <c r="AO95" s="87">
        <f>$I$43*$AO$43</f>
        <v>0</v>
      </c>
      <c r="AP95" s="87">
        <f>$I$43*$AP$43</f>
        <v>0</v>
      </c>
      <c r="AQ95" s="87">
        <f>$I$43*$AQ$43</f>
        <v>0</v>
      </c>
      <c r="AR95" s="87">
        <f>$I$43*$AR$43</f>
        <v>0</v>
      </c>
      <c r="AS95" s="87">
        <f>$I$43*$AS$43</f>
        <v>0</v>
      </c>
      <c r="AT95" s="87">
        <f>$I$43*$AT$43</f>
        <v>0</v>
      </c>
      <c r="AU95" s="87">
        <f>$I$43*$AU$43</f>
        <v>0</v>
      </c>
      <c r="AV95" s="87">
        <f>$I$43*$AV$43</f>
        <v>0</v>
      </c>
      <c r="AW95" s="87">
        <f>$I$43*$AW$43</f>
        <v>0</v>
      </c>
      <c r="AX95" s="87">
        <f>$I$43*$AX$43</f>
        <v>0</v>
      </c>
      <c r="AY95" s="87">
        <f>$I$43*$AY$43</f>
        <v>0</v>
      </c>
      <c r="AZ95" s="87">
        <f>$I$43*$AZ$43</f>
        <v>0</v>
      </c>
      <c r="BA95" s="87">
        <f>$I$43*$BA$43</f>
        <v>0</v>
      </c>
      <c r="BB95" s="87">
        <f>$I$43*$BB$43</f>
        <v>0</v>
      </c>
      <c r="BC95" s="87">
        <f>$I$43*$BC$43</f>
        <v>0</v>
      </c>
      <c r="BD95" s="87">
        <f>$I$43*$BD$43</f>
        <v>0</v>
      </c>
    </row>
    <row r="96" spans="1:56" ht="11.25" customHeight="1" x14ac:dyDescent="0.3">
      <c r="A96" s="9" t="s">
        <v>43</v>
      </c>
      <c r="B96" s="9" t="s">
        <v>897</v>
      </c>
      <c r="C96" s="9" t="s">
        <v>898</v>
      </c>
      <c r="D96" s="9" t="s">
        <v>907</v>
      </c>
      <c r="E96" s="9" t="s">
        <v>908</v>
      </c>
      <c r="F96" s="9" t="s">
        <v>909</v>
      </c>
      <c r="G96" s="9" t="s">
        <v>910</v>
      </c>
      <c r="L96" s="87">
        <f>$I$44*$L$44</f>
        <v>0</v>
      </c>
      <c r="M96" s="87">
        <f>$I$44*$M$44</f>
        <v>0</v>
      </c>
      <c r="N96" s="87">
        <f ca="1">$I$44*$N$44</f>
        <v>0</v>
      </c>
      <c r="O96" s="87">
        <f>$I$44*$O$44</f>
        <v>0</v>
      </c>
      <c r="P96" s="87">
        <f>$I$44*$P$44</f>
        <v>0</v>
      </c>
      <c r="Q96" s="87">
        <f>$I$44*$Q$44</f>
        <v>0</v>
      </c>
      <c r="R96" s="87">
        <f>$I$44*$R$44</f>
        <v>0</v>
      </c>
      <c r="S96" s="87">
        <f>$I$44*$S$44</f>
        <v>0</v>
      </c>
      <c r="T96" s="87">
        <f>$I$44*$T$44</f>
        <v>0</v>
      </c>
      <c r="U96" s="87">
        <f>$I$44*$U$44</f>
        <v>0</v>
      </c>
      <c r="V96" s="87">
        <f>$I$44*$V$44</f>
        <v>0</v>
      </c>
      <c r="W96" s="87">
        <f>$I$44*$W$44</f>
        <v>0</v>
      </c>
      <c r="X96" s="87">
        <f>$I$44*$X$44</f>
        <v>0</v>
      </c>
      <c r="Y96" s="87">
        <f>$I$44*$Y$44</f>
        <v>0</v>
      </c>
      <c r="Z96" s="87">
        <f>$I$44*$Z$44</f>
        <v>0</v>
      </c>
      <c r="AA96" s="87">
        <f>$I$44*$AA$44</f>
        <v>0</v>
      </c>
      <c r="AB96" s="87">
        <f ca="1">$I$44*$AB$44</f>
        <v>0</v>
      </c>
      <c r="AC96" s="87">
        <f ca="1">$I$44*$AC$44</f>
        <v>0</v>
      </c>
      <c r="AD96" s="87">
        <f>$I$44*$AD$44</f>
        <v>0</v>
      </c>
      <c r="AE96" s="87">
        <f>$I$44*$AE$44</f>
        <v>0</v>
      </c>
      <c r="AF96" s="87">
        <f ca="1">$I$44*$AF$44</f>
        <v>0</v>
      </c>
      <c r="AG96" s="87">
        <f ca="1">$I$44*$AG$44</f>
        <v>0</v>
      </c>
      <c r="AI96" s="87">
        <f>$I$44*$AI$44</f>
        <v>0</v>
      </c>
      <c r="AJ96" s="87">
        <f>$I$44*$AJ$44</f>
        <v>0</v>
      </c>
      <c r="AK96" s="87">
        <f>$I$44*$AK$44</f>
        <v>0</v>
      </c>
      <c r="AL96" s="87">
        <f>$I$44*$AL$44</f>
        <v>0</v>
      </c>
      <c r="AM96" s="87">
        <f>$I$44*$AM$44</f>
        <v>0</v>
      </c>
      <c r="AN96" s="87">
        <f>$I$44*$AN$44</f>
        <v>0</v>
      </c>
      <c r="AO96" s="87">
        <f>$I$44*$AO$44</f>
        <v>0</v>
      </c>
      <c r="AP96" s="87">
        <f>$I$44*$AP$44</f>
        <v>0</v>
      </c>
      <c r="AQ96" s="87">
        <f>$I$44*$AQ$44</f>
        <v>0</v>
      </c>
      <c r="AR96" s="87">
        <f>$I$44*$AR$44</f>
        <v>0</v>
      </c>
      <c r="AS96" s="87">
        <f>$I$44*$AS$44</f>
        <v>0</v>
      </c>
      <c r="AT96" s="87">
        <f>$I$44*$AT$44</f>
        <v>0</v>
      </c>
      <c r="AU96" s="87">
        <f>$I$44*$AU$44</f>
        <v>0</v>
      </c>
      <c r="AV96" s="87">
        <f>$I$44*$AV$44</f>
        <v>0</v>
      </c>
      <c r="AW96" s="87">
        <f>$I$44*$AW$44</f>
        <v>0</v>
      </c>
      <c r="AX96" s="87">
        <f>$I$44*$AX$44</f>
        <v>0</v>
      </c>
      <c r="AY96" s="87">
        <f>$I$44*$AY$44</f>
        <v>0</v>
      </c>
      <c r="AZ96" s="87">
        <f>$I$44*$AZ$44</f>
        <v>0</v>
      </c>
      <c r="BA96" s="87">
        <f>$I$44*$BA$44</f>
        <v>0</v>
      </c>
      <c r="BB96" s="87">
        <f>$I$44*$BB$44</f>
        <v>0</v>
      </c>
      <c r="BC96" s="87">
        <f>$I$44*$BC$44</f>
        <v>0</v>
      </c>
      <c r="BD96" s="87">
        <f>$I$44*$BD$44</f>
        <v>0</v>
      </c>
    </row>
    <row r="97" spans="1:56" ht="11.25" customHeight="1" x14ac:dyDescent="0.3">
      <c r="A97" s="9" t="s">
        <v>35</v>
      </c>
      <c r="B97" s="9" t="s">
        <v>911</v>
      </c>
      <c r="C97" s="9" t="s">
        <v>912</v>
      </c>
      <c r="D97" s="9" t="s">
        <v>913</v>
      </c>
      <c r="E97" s="9" t="s">
        <v>914</v>
      </c>
      <c r="F97" s="9" t="s">
        <v>915</v>
      </c>
      <c r="G97" s="9" t="s">
        <v>916</v>
      </c>
      <c r="L97" s="87">
        <f>$I$45*$L$45</f>
        <v>5.4299657140346653</v>
      </c>
      <c r="M97" s="87">
        <f>$I$45*$M$45</f>
        <v>1.2737109845774173</v>
      </c>
      <c r="N97" s="87">
        <f ca="1">$I$45*$N$45</f>
        <v>0</v>
      </c>
      <c r="O97" s="87">
        <f>$I$45*$O$45</f>
        <v>0</v>
      </c>
      <c r="P97" s="87">
        <f>$I$45*$P$45</f>
        <v>0</v>
      </c>
      <c r="Q97" s="87">
        <f>$I$45*$Q$45</f>
        <v>35.857093613068685</v>
      </c>
      <c r="R97" s="87">
        <f>$I$45*$R$45</f>
        <v>5.9445815432541371</v>
      </c>
      <c r="S97" s="87">
        <f>$I$45*$S$45</f>
        <v>0</v>
      </c>
      <c r="T97" s="87">
        <f>$I$45*$T$45</f>
        <v>0</v>
      </c>
      <c r="U97" s="87">
        <f>$I$45*$U$45</f>
        <v>0</v>
      </c>
      <c r="V97" s="87">
        <f>$I$45*$V$45</f>
        <v>0</v>
      </c>
      <c r="W97" s="87">
        <f>$I$45*$W$45</f>
        <v>0</v>
      </c>
      <c r="X97" s="87">
        <f>$I$45*$X$45</f>
        <v>313.3167176527993</v>
      </c>
      <c r="Y97" s="87">
        <f>$I$45*$Y$45</f>
        <v>0</v>
      </c>
      <c r="Z97" s="87">
        <f>$I$45*$Z$45</f>
        <v>0</v>
      </c>
      <c r="AA97" s="87">
        <f>$I$45*$AA$45</f>
        <v>648.59641916269743</v>
      </c>
      <c r="AB97" s="87">
        <f ca="1">$I$45*$AB$45</f>
        <v>0</v>
      </c>
      <c r="AC97" s="87">
        <f ca="1">$I$45*$AC$45</f>
        <v>0</v>
      </c>
      <c r="AD97" s="87">
        <f>$I$45*$AD$45</f>
        <v>11.733305207167772</v>
      </c>
      <c r="AE97" s="87">
        <f>$I$45*$AE$45</f>
        <v>0</v>
      </c>
      <c r="AF97" s="87">
        <f ca="1">$I$45*$AF$45</f>
        <v>6.4002865443343886</v>
      </c>
      <c r="AG97" s="87">
        <f ca="1">$I$45*$AG$45</f>
        <v>0</v>
      </c>
      <c r="AI97" s="87">
        <f>$I$45*$AI$45</f>
        <v>0</v>
      </c>
      <c r="AJ97" s="87">
        <f>$I$45*$AJ$45</f>
        <v>1.0089939372531147</v>
      </c>
      <c r="AK97" s="87">
        <f>$I$45*$AK$45</f>
        <v>0</v>
      </c>
      <c r="AL97" s="87">
        <f>$I$45*$AL$45</f>
        <v>0</v>
      </c>
      <c r="AM97" s="87">
        <f>$I$45*$AM$45</f>
        <v>0</v>
      </c>
      <c r="AN97" s="87">
        <f>$I$45*$AN$45</f>
        <v>28.954995537228307</v>
      </c>
      <c r="AO97" s="87">
        <f>$I$45*$AO$45</f>
        <v>3.6784097688341277</v>
      </c>
      <c r="AP97" s="87">
        <f>$I$45*$AP$45</f>
        <v>0</v>
      </c>
      <c r="AQ97" s="87">
        <f>$I$45*$AQ$45</f>
        <v>0</v>
      </c>
      <c r="AR97" s="87">
        <f>$I$45*$AR$45</f>
        <v>0</v>
      </c>
      <c r="AS97" s="87">
        <f>$I$45*$AS$45</f>
        <v>0</v>
      </c>
      <c r="AT97" s="87">
        <f>$I$45*$AT$45</f>
        <v>0</v>
      </c>
      <c r="AU97" s="87">
        <f>$I$45*$AU$45</f>
        <v>287.67189761320168</v>
      </c>
      <c r="AV97" s="87">
        <f>$I$45*$AV$45</f>
        <v>0</v>
      </c>
      <c r="AW97" s="87">
        <f>$I$45*$AW$45</f>
        <v>0</v>
      </c>
      <c r="AX97" s="87">
        <f>$I$45*$AX$45</f>
        <v>575.82693033159683</v>
      </c>
      <c r="AY97" s="87">
        <f>$I$45*$AY$45</f>
        <v>16.917772038070087</v>
      </c>
      <c r="AZ97" s="87">
        <f>$I$45*$AZ$45</f>
        <v>0</v>
      </c>
      <c r="BA97" s="87">
        <f>$I$45*$BA$45</f>
        <v>14.539482691616112</v>
      </c>
      <c r="BB97" s="87">
        <f>$I$45*$BB$45</f>
        <v>0</v>
      </c>
      <c r="BC97" s="87">
        <f>$I$45*$BC$45</f>
        <v>0</v>
      </c>
      <c r="BD97" s="87">
        <f>$I$45*$BD$45</f>
        <v>0</v>
      </c>
    </row>
    <row r="98" spans="1:56" ht="11.25" customHeight="1" x14ac:dyDescent="0.3">
      <c r="A98" s="9" t="s">
        <v>35</v>
      </c>
      <c r="B98" s="9" t="s">
        <v>911</v>
      </c>
      <c r="C98" s="9" t="s">
        <v>912</v>
      </c>
      <c r="D98" s="9" t="s">
        <v>913</v>
      </c>
      <c r="E98" s="9" t="s">
        <v>914</v>
      </c>
      <c r="F98" s="9" t="s">
        <v>915</v>
      </c>
      <c r="G98" s="9" t="s">
        <v>917</v>
      </c>
      <c r="L98" s="87">
        <f>$I$46*$L$46</f>
        <v>3.3221898198978153</v>
      </c>
      <c r="M98" s="87">
        <f>$I$46*$M$46</f>
        <v>0.77928846871317559</v>
      </c>
      <c r="N98" s="87">
        <f ca="1">$I$46*$N$46</f>
        <v>0</v>
      </c>
      <c r="O98" s="87">
        <f>$I$46*$O$46</f>
        <v>0</v>
      </c>
      <c r="P98" s="87">
        <f>$I$46*$P$46</f>
        <v>0</v>
      </c>
      <c r="Q98" s="87">
        <f>$I$46*$Q$46</f>
        <v>21.938273213137137</v>
      </c>
      <c r="R98" s="87">
        <f>$I$46*$R$46</f>
        <v>3.637044748829009</v>
      </c>
      <c r="S98" s="87">
        <f>$I$46*$S$46</f>
        <v>0</v>
      </c>
      <c r="T98" s="87">
        <f>$I$46*$T$46</f>
        <v>0</v>
      </c>
      <c r="U98" s="87">
        <f>$I$46*$U$46</f>
        <v>0</v>
      </c>
      <c r="V98" s="87">
        <f>$I$46*$V$46</f>
        <v>0</v>
      </c>
      <c r="W98" s="87">
        <f>$I$46*$W$46</f>
        <v>0</v>
      </c>
      <c r="X98" s="87">
        <f>$I$46*$X$46</f>
        <v>115.01710809605882</v>
      </c>
      <c r="Y98" s="87">
        <f>$I$46*$Y$46</f>
        <v>0</v>
      </c>
      <c r="Z98" s="87">
        <f>$I$46*$Z$46</f>
        <v>0</v>
      </c>
      <c r="AA98" s="87">
        <f>$I$46*$AA$46</f>
        <v>238.09659839873794</v>
      </c>
      <c r="AB98" s="87">
        <f ca="1">$I$46*$AB$46</f>
        <v>0</v>
      </c>
      <c r="AC98" s="87">
        <f ca="1">$I$46*$AC$46</f>
        <v>0</v>
      </c>
      <c r="AD98" s="87">
        <f>$I$46*$AD$46</f>
        <v>7.1787317205807959</v>
      </c>
      <c r="AE98" s="87">
        <f>$I$46*$AE$46</f>
        <v>0</v>
      </c>
      <c r="AF98" s="87">
        <f ca="1">$I$46*$AF$46</f>
        <v>3.9158565489757953</v>
      </c>
      <c r="AG98" s="87">
        <f ca="1">$I$46*$AG$46</f>
        <v>0</v>
      </c>
      <c r="AI98" s="87">
        <f>$I$46*$AI$46</f>
        <v>0</v>
      </c>
      <c r="AJ98" s="87">
        <f>$I$46*$AJ$46</f>
        <v>0.61732791019599309</v>
      </c>
      <c r="AK98" s="87">
        <f>$I$46*$AK$46</f>
        <v>0</v>
      </c>
      <c r="AL98" s="87">
        <f>$I$46*$AL$46</f>
        <v>0</v>
      </c>
      <c r="AM98" s="87">
        <f>$I$46*$AM$46</f>
        <v>0</v>
      </c>
      <c r="AN98" s="87">
        <f>$I$46*$AN$46</f>
        <v>17.715395727147396</v>
      </c>
      <c r="AO98" s="87">
        <f>$I$46*$AO$46</f>
        <v>2.2505437660219081</v>
      </c>
      <c r="AP98" s="87">
        <f>$I$46*$AP$46</f>
        <v>0</v>
      </c>
      <c r="AQ98" s="87">
        <f>$I$46*$AQ$46</f>
        <v>0</v>
      </c>
      <c r="AR98" s="87">
        <f>$I$46*$AR$46</f>
        <v>0</v>
      </c>
      <c r="AS98" s="87">
        <f>$I$46*$AS$46</f>
        <v>0</v>
      </c>
      <c r="AT98" s="87">
        <f>$I$46*$AT$46</f>
        <v>0</v>
      </c>
      <c r="AU98" s="87">
        <f>$I$46*$AU$46</f>
        <v>105.60281245610437</v>
      </c>
      <c r="AV98" s="87">
        <f>$I$46*$AV$46</f>
        <v>0</v>
      </c>
      <c r="AW98" s="87">
        <f>$I$46*$AW$46</f>
        <v>0</v>
      </c>
      <c r="AX98" s="87">
        <f>$I$46*$AX$46</f>
        <v>211.38323317344387</v>
      </c>
      <c r="AY98" s="87">
        <f>$I$46*$AY$46</f>
        <v>6.4172512762998828</v>
      </c>
      <c r="AZ98" s="87">
        <f>$I$46*$AZ$46</f>
        <v>0</v>
      </c>
      <c r="BA98" s="87">
        <f>$I$46*$BA$46</f>
        <v>8.8956218010401908</v>
      </c>
      <c r="BB98" s="87">
        <f>$I$46*$BB$46</f>
        <v>0</v>
      </c>
      <c r="BC98" s="87">
        <f>$I$46*$BC$46</f>
        <v>0</v>
      </c>
      <c r="BD98" s="87">
        <f>$I$46*$BD$46</f>
        <v>0</v>
      </c>
    </row>
    <row r="99" spans="1:56" ht="11.25" customHeight="1" x14ac:dyDescent="0.3">
      <c r="A99" s="9" t="s">
        <v>35</v>
      </c>
      <c r="B99" s="9" t="s">
        <v>911</v>
      </c>
      <c r="C99" s="9" t="s">
        <v>912</v>
      </c>
      <c r="D99" s="9" t="s">
        <v>913</v>
      </c>
      <c r="E99" s="9" t="s">
        <v>914</v>
      </c>
      <c r="F99" s="9" t="s">
        <v>915</v>
      </c>
      <c r="G99" s="9" t="s">
        <v>918</v>
      </c>
      <c r="L99" s="87">
        <f>$I$47*$L$47</f>
        <v>39.475431977609333</v>
      </c>
      <c r="M99" s="87">
        <f>$I$47*$M$47</f>
        <v>9.259780628238909</v>
      </c>
      <c r="N99" s="87">
        <f ca="1">$I$47*$N$47</f>
        <v>0</v>
      </c>
      <c r="O99" s="87">
        <f>$I$47*$O$47</f>
        <v>0</v>
      </c>
      <c r="P99" s="87">
        <f>$I$47*$P$47</f>
        <v>0</v>
      </c>
      <c r="Q99" s="87">
        <f>$I$47*$Q$47</f>
        <v>260.67830523845305</v>
      </c>
      <c r="R99" s="87">
        <f>$I$47*$R$47</f>
        <v>43.216649368438816</v>
      </c>
      <c r="S99" s="87">
        <f>$I$47*$S$47</f>
        <v>0</v>
      </c>
      <c r="T99" s="87">
        <f>$I$47*$T$47</f>
        <v>0</v>
      </c>
      <c r="U99" s="87">
        <f>$I$47*$U$47</f>
        <v>0</v>
      </c>
      <c r="V99" s="87">
        <f>$I$47*$V$47</f>
        <v>0</v>
      </c>
      <c r="W99" s="87">
        <f>$I$47*$W$47</f>
        <v>0</v>
      </c>
      <c r="X99" s="87">
        <f>$I$47*$X$47</f>
        <v>455.55937124878875</v>
      </c>
      <c r="Y99" s="87">
        <f>$I$47*$Y$47</f>
        <v>0</v>
      </c>
      <c r="Z99" s="87">
        <f>$I$47*$Z$47</f>
        <v>0</v>
      </c>
      <c r="AA99" s="87">
        <f>$I$47*$AA$47</f>
        <v>943.04906537802924</v>
      </c>
      <c r="AB99" s="87">
        <f ca="1">$I$47*$AB$47</f>
        <v>0</v>
      </c>
      <c r="AC99" s="87">
        <f ca="1">$I$47*$AC$47</f>
        <v>0</v>
      </c>
      <c r="AD99" s="87">
        <f>$I$47*$AD$47</f>
        <v>85.300223973960044</v>
      </c>
      <c r="AE99" s="87">
        <f>$I$47*$AE$47</f>
        <v>0</v>
      </c>
      <c r="AF99" s="87">
        <f ca="1">$I$47*$AF$47</f>
        <v>46.529589581947683</v>
      </c>
      <c r="AG99" s="87">
        <f ca="1">$I$47*$AG$47</f>
        <v>0</v>
      </c>
      <c r="AI99" s="87">
        <f>$I$47*$AI$47</f>
        <v>0</v>
      </c>
      <c r="AJ99" s="87">
        <f>$I$47*$AJ$47</f>
        <v>7.3353081093876815</v>
      </c>
      <c r="AK99" s="87">
        <f>$I$47*$AK$47</f>
        <v>0</v>
      </c>
      <c r="AL99" s="87">
        <f>$I$47*$AL$47</f>
        <v>0</v>
      </c>
      <c r="AM99" s="87">
        <f>$I$47*$AM$47</f>
        <v>0</v>
      </c>
      <c r="AN99" s="87">
        <f>$I$47*$AN$47</f>
        <v>210.50058452257494</v>
      </c>
      <c r="AO99" s="87">
        <f>$I$47*$AO$47</f>
        <v>26.741755337436793</v>
      </c>
      <c r="AP99" s="87">
        <f>$I$47*$AP$47</f>
        <v>0</v>
      </c>
      <c r="AQ99" s="87">
        <f>$I$47*$AQ$47</f>
        <v>0</v>
      </c>
      <c r="AR99" s="87">
        <f>$I$47*$AR$47</f>
        <v>0</v>
      </c>
      <c r="AS99" s="87">
        <f>$I$47*$AS$47</f>
        <v>0</v>
      </c>
      <c r="AT99" s="87">
        <f>$I$47*$AT$47</f>
        <v>0</v>
      </c>
      <c r="AU99" s="87">
        <f>$I$47*$AU$47</f>
        <v>418.26649825760694</v>
      </c>
      <c r="AV99" s="87">
        <f>$I$47*$AV$47</f>
        <v>0</v>
      </c>
      <c r="AW99" s="87">
        <f>$I$47*$AW$47</f>
        <v>0</v>
      </c>
      <c r="AX99" s="87">
        <f>$I$47*$AX$47</f>
        <v>837.24371779746571</v>
      </c>
      <c r="AY99" s="87">
        <f>$I$47*$AY$47</f>
        <v>29.51319512958521</v>
      </c>
      <c r="AZ99" s="87">
        <f>$I$47*$AZ$47</f>
        <v>0</v>
      </c>
      <c r="BA99" s="87">
        <f>$I$47*$BA$47</f>
        <v>105.70091787118345</v>
      </c>
      <c r="BB99" s="87">
        <f>$I$47*$BB$47</f>
        <v>0</v>
      </c>
      <c r="BC99" s="87">
        <f>$I$47*$BC$47</f>
        <v>0</v>
      </c>
      <c r="BD99" s="87">
        <f>$I$47*$BD$47</f>
        <v>0</v>
      </c>
    </row>
    <row r="100" spans="1:56" ht="11.25" customHeight="1" x14ac:dyDescent="0.3">
      <c r="A100" s="9" t="s">
        <v>35</v>
      </c>
      <c r="B100" s="9" t="s">
        <v>919</v>
      </c>
      <c r="C100" s="9" t="s">
        <v>920</v>
      </c>
      <c r="D100" s="9" t="s">
        <v>921</v>
      </c>
      <c r="E100" s="9" t="s">
        <v>922</v>
      </c>
      <c r="F100" s="9" t="s">
        <v>923</v>
      </c>
      <c r="G100" s="9" t="s">
        <v>924</v>
      </c>
      <c r="L100" s="87">
        <f>$I$48*$L$48</f>
        <v>25111.790744692818</v>
      </c>
      <c r="M100" s="87">
        <f>$I$48*$M$48</f>
        <v>5890.490916223227</v>
      </c>
      <c r="N100" s="87">
        <f ca="1">$I$48*$N$48</f>
        <v>0</v>
      </c>
      <c r="O100" s="87">
        <f>$I$48*$O$48</f>
        <v>0</v>
      </c>
      <c r="P100" s="87">
        <f>$I$48*$P$48</f>
        <v>0</v>
      </c>
      <c r="Q100" s="87">
        <f>$I$48*$Q$48</f>
        <v>165827.1670476507</v>
      </c>
      <c r="R100" s="87">
        <f>$I$48*$R$48</f>
        <v>27491.718298169719</v>
      </c>
      <c r="S100" s="87">
        <f>$I$48*$S$48</f>
        <v>0</v>
      </c>
      <c r="T100" s="87">
        <f>$I$48*$T$48</f>
        <v>0</v>
      </c>
      <c r="U100" s="87">
        <f>$I$48*$U$48</f>
        <v>0</v>
      </c>
      <c r="V100" s="87">
        <f>$I$48*$V$48</f>
        <v>0</v>
      </c>
      <c r="W100" s="87">
        <f>$I$48*$W$48</f>
        <v>0</v>
      </c>
      <c r="X100" s="87">
        <f>$I$48*$X$48</f>
        <v>475076.95184970595</v>
      </c>
      <c r="Y100" s="87">
        <f>$I$48*$Y$48</f>
        <v>0</v>
      </c>
      <c r="Z100" s="87">
        <f>$I$48*$Z$48</f>
        <v>0</v>
      </c>
      <c r="AA100" s="87">
        <f>$I$48*$AA$48</f>
        <v>983457.25687706855</v>
      </c>
      <c r="AB100" s="87">
        <f ca="1">$I$48*$AB$48</f>
        <v>0</v>
      </c>
      <c r="AC100" s="87">
        <f ca="1">$I$48*$AC$48</f>
        <v>0</v>
      </c>
      <c r="AD100" s="87">
        <f>$I$48*$AD$48</f>
        <v>54262.645589907435</v>
      </c>
      <c r="AE100" s="87">
        <f>$I$48*$AE$48</f>
        <v>0</v>
      </c>
      <c r="AF100" s="87">
        <f ca="1">$I$48*$AF$48</f>
        <v>29599.202807484286</v>
      </c>
      <c r="AG100" s="87">
        <f ca="1">$I$48*$AG$48</f>
        <v>0</v>
      </c>
      <c r="AI100" s="87">
        <f>$I$48*$AI$48</f>
        <v>0</v>
      </c>
      <c r="AJ100" s="87">
        <f>$I$48*$AJ$48</f>
        <v>4666.262357693071</v>
      </c>
      <c r="AK100" s="87">
        <f>$I$48*$AK$48</f>
        <v>0</v>
      </c>
      <c r="AL100" s="87">
        <f>$I$48*$AL$48</f>
        <v>0</v>
      </c>
      <c r="AM100" s="87">
        <f>$I$48*$AM$48</f>
        <v>0</v>
      </c>
      <c r="AN100" s="87">
        <f>$I$48*$AN$48</f>
        <v>133907.25231745906</v>
      </c>
      <c r="AO100" s="87">
        <f>$I$48*$AO$48</f>
        <v>17011.42534831239</v>
      </c>
      <c r="AP100" s="87">
        <f>$I$48*$AP$48</f>
        <v>0</v>
      </c>
      <c r="AQ100" s="87">
        <f>$I$48*$AQ$48</f>
        <v>0</v>
      </c>
      <c r="AR100" s="87">
        <f>$I$48*$AR$48</f>
        <v>0</v>
      </c>
      <c r="AS100" s="87">
        <f>$I$48*$AS$48</f>
        <v>0</v>
      </c>
      <c r="AT100" s="87">
        <f>$I$48*$AT$48</f>
        <v>0</v>
      </c>
      <c r="AU100" s="87">
        <f>$I$48*$AU$48</f>
        <v>436191.97934303939</v>
      </c>
      <c r="AV100" s="87">
        <f>$I$48*$AV$48</f>
        <v>0</v>
      </c>
      <c r="AW100" s="87">
        <f>$I$48*$AW$48</f>
        <v>0</v>
      </c>
      <c r="AX100" s="87">
        <f>$I$48*$AX$48</f>
        <v>873117.91970257566</v>
      </c>
      <c r="AY100" s="87">
        <f>$I$48*$AY$48</f>
        <v>28279.0638760531</v>
      </c>
      <c r="AZ100" s="87">
        <f>$I$48*$AZ$48</f>
        <v>0</v>
      </c>
      <c r="BA100" s="87">
        <f>$I$48*$BA$48</f>
        <v>67240.285872202105</v>
      </c>
      <c r="BB100" s="87">
        <f>$I$48*$BB$48</f>
        <v>0</v>
      </c>
      <c r="BC100" s="87">
        <f>$I$48*$BC$48</f>
        <v>0</v>
      </c>
      <c r="BD100" s="87">
        <f>$I$48*$BD$48</f>
        <v>0</v>
      </c>
    </row>
    <row r="101" spans="1:56" ht="11.25" customHeight="1" x14ac:dyDescent="0.3">
      <c r="A101" s="9" t="s">
        <v>35</v>
      </c>
      <c r="B101" s="9" t="s">
        <v>925</v>
      </c>
      <c r="C101" s="9" t="s">
        <v>926</v>
      </c>
      <c r="D101" s="9" t="s">
        <v>927</v>
      </c>
      <c r="E101" s="9" t="s">
        <v>928</v>
      </c>
      <c r="F101" s="9" t="s">
        <v>929</v>
      </c>
      <c r="G101" s="9" t="s">
        <v>930</v>
      </c>
      <c r="L101" s="87">
        <f>$I$49*$L$49</f>
        <v>0</v>
      </c>
      <c r="M101" s="87">
        <f>$I$49*$M$49</f>
        <v>0</v>
      </c>
      <c r="N101" s="87">
        <f ca="1">$I$49*$N$49</f>
        <v>0</v>
      </c>
      <c r="O101" s="87">
        <f>$I$49*$O$49</f>
        <v>0</v>
      </c>
      <c r="P101" s="87">
        <f>$I$49*$P$49</f>
        <v>0</v>
      </c>
      <c r="Q101" s="87">
        <f>$I$49*$Q$49</f>
        <v>0</v>
      </c>
      <c r="R101" s="87">
        <f>$I$49*$R$49</f>
        <v>0</v>
      </c>
      <c r="S101" s="87">
        <f>$I$49*$S$49</f>
        <v>0</v>
      </c>
      <c r="T101" s="87">
        <f>$I$49*$T$49</f>
        <v>0</v>
      </c>
      <c r="U101" s="87">
        <f>$I$49*$U$49</f>
        <v>0</v>
      </c>
      <c r="V101" s="87">
        <f>$I$49*$V$49</f>
        <v>0</v>
      </c>
      <c r="W101" s="87">
        <f>$I$49*$W$49</f>
        <v>0</v>
      </c>
      <c r="X101" s="87">
        <f>$I$49*$X$49</f>
        <v>0</v>
      </c>
      <c r="Y101" s="87">
        <f>$I$49*$Y$49</f>
        <v>0</v>
      </c>
      <c r="Z101" s="87">
        <f>$I$49*$Z$49</f>
        <v>0</v>
      </c>
      <c r="AA101" s="87">
        <f>$I$49*$AA$49</f>
        <v>0</v>
      </c>
      <c r="AB101" s="87">
        <f ca="1">$I$49*$AB$49</f>
        <v>0</v>
      </c>
      <c r="AC101" s="87">
        <f ca="1">$I$49*$AC$49</f>
        <v>0</v>
      </c>
      <c r="AD101" s="87">
        <f>$I$49*$AD$49</f>
        <v>0</v>
      </c>
      <c r="AE101" s="87">
        <f>$I$49*$AE$49</f>
        <v>0</v>
      </c>
      <c r="AF101" s="87">
        <f ca="1">$I$49*$AF$49</f>
        <v>0</v>
      </c>
      <c r="AG101" s="87">
        <f ca="1">$I$49*$AG$49</f>
        <v>0</v>
      </c>
      <c r="AI101" s="87">
        <f>$I$49*$AI$49</f>
        <v>0</v>
      </c>
      <c r="AJ101" s="87">
        <f>$I$49*$AJ$49</f>
        <v>0</v>
      </c>
      <c r="AK101" s="87">
        <f>$I$49*$AK$49</f>
        <v>0</v>
      </c>
      <c r="AL101" s="87">
        <f>$I$49*$AL$49</f>
        <v>0</v>
      </c>
      <c r="AM101" s="87">
        <f>$I$49*$AM$49</f>
        <v>0</v>
      </c>
      <c r="AN101" s="87">
        <f>$I$49*$AN$49</f>
        <v>0</v>
      </c>
      <c r="AO101" s="87">
        <f>$I$49*$AO$49</f>
        <v>0</v>
      </c>
      <c r="AP101" s="87">
        <f>$I$49*$AP$49</f>
        <v>0</v>
      </c>
      <c r="AQ101" s="87">
        <f>$I$49*$AQ$49</f>
        <v>0</v>
      </c>
      <c r="AR101" s="87">
        <f>$I$49*$AR$49</f>
        <v>0</v>
      </c>
      <c r="AS101" s="87">
        <f>$I$49*$AS$49</f>
        <v>0</v>
      </c>
      <c r="AT101" s="87">
        <f>$I$49*$AT$49</f>
        <v>0</v>
      </c>
      <c r="AU101" s="87">
        <f>$I$49*$AU$49</f>
        <v>0</v>
      </c>
      <c r="AV101" s="87">
        <f>$I$49*$AV$49</f>
        <v>0</v>
      </c>
      <c r="AW101" s="87">
        <f>$I$49*$AW$49</f>
        <v>0</v>
      </c>
      <c r="AX101" s="87">
        <f>$I$49*$AX$49</f>
        <v>0</v>
      </c>
      <c r="AY101" s="87">
        <f>$I$49*$AY$49</f>
        <v>0</v>
      </c>
      <c r="AZ101" s="87">
        <f>$I$49*$AZ$49</f>
        <v>0</v>
      </c>
      <c r="BA101" s="87">
        <f>$I$49*$BA$49</f>
        <v>0</v>
      </c>
      <c r="BB101" s="87">
        <f>$I$49*$BB$49</f>
        <v>0</v>
      </c>
      <c r="BC101" s="87">
        <f>$I$49*$BC$49</f>
        <v>0</v>
      </c>
      <c r="BD101" s="87">
        <f>$I$49*$BD$49</f>
        <v>0</v>
      </c>
    </row>
    <row r="102" spans="1:56" ht="11.25" customHeight="1" x14ac:dyDescent="0.3">
      <c r="A102" s="9" t="s">
        <v>46</v>
      </c>
      <c r="B102" s="9" t="s">
        <v>931</v>
      </c>
      <c r="C102" s="9" t="s">
        <v>932</v>
      </c>
      <c r="D102" s="9" t="s">
        <v>933</v>
      </c>
      <c r="E102" s="9" t="s">
        <v>934</v>
      </c>
      <c r="F102" s="9" t="s">
        <v>935</v>
      </c>
      <c r="G102" s="9" t="s">
        <v>936</v>
      </c>
      <c r="L102" s="87">
        <f>$I$50*$L$50</f>
        <v>24294.264040407445</v>
      </c>
      <c r="M102" s="87">
        <f>$I$50*$M$50</f>
        <v>5698.7230859508818</v>
      </c>
      <c r="N102" s="87">
        <f ca="1">$I$50*$N$50</f>
        <v>0</v>
      </c>
      <c r="O102" s="87">
        <f>$I$50*$O$50</f>
        <v>0</v>
      </c>
      <c r="P102" s="87">
        <f>$I$50*$P$50</f>
        <v>0</v>
      </c>
      <c r="Q102" s="87">
        <f>$I$50*$Q$50</f>
        <v>160428.58202694295</v>
      </c>
      <c r="R102" s="87">
        <f>$I$50*$R$50</f>
        <v>26596.711881305775</v>
      </c>
      <c r="S102" s="87">
        <f>$I$50*$S$50</f>
        <v>0</v>
      </c>
      <c r="T102" s="87">
        <f>$I$50*$T$50</f>
        <v>0</v>
      </c>
      <c r="U102" s="87">
        <f>$I$50*$U$50</f>
        <v>0</v>
      </c>
      <c r="V102" s="87">
        <f>$I$50*$V$50</f>
        <v>0</v>
      </c>
      <c r="W102" s="87">
        <f>$I$50*$W$50</f>
        <v>0</v>
      </c>
      <c r="X102" s="87">
        <f>$I$50*$X$50</f>
        <v>459610.58791428199</v>
      </c>
      <c r="Y102" s="87">
        <f>$I$50*$Y$50</f>
        <v>0</v>
      </c>
      <c r="Z102" s="87">
        <f>$I$50*$Z$50</f>
        <v>0</v>
      </c>
      <c r="AA102" s="87">
        <f>$I$50*$AA$50</f>
        <v>951440.32195616234</v>
      </c>
      <c r="AB102" s="87">
        <f ca="1">$I$50*$AB$50</f>
        <v>0</v>
      </c>
      <c r="AC102" s="87">
        <f ca="1">$I$50*$AC$50</f>
        <v>0</v>
      </c>
      <c r="AD102" s="87">
        <f>$I$50*$AD$50</f>
        <v>52496.098462068774</v>
      </c>
      <c r="AE102" s="87">
        <f>$I$50*$AE$50</f>
        <v>0</v>
      </c>
      <c r="AF102" s="87">
        <f ca="1">$I$50*$AF$50</f>
        <v>28635.58619540371</v>
      </c>
      <c r="AG102" s="87">
        <f ca="1">$I$50*$AG$50</f>
        <v>0</v>
      </c>
      <c r="AI102" s="87">
        <f>$I$50*$AI$50</f>
        <v>0</v>
      </c>
      <c r="AJ102" s="87">
        <f>$I$50*$AJ$50</f>
        <v>4514.3498905416709</v>
      </c>
      <c r="AK102" s="87">
        <f>$I$50*$AK$50</f>
        <v>0</v>
      </c>
      <c r="AL102" s="87">
        <f>$I$50*$AL$50</f>
        <v>0</v>
      </c>
      <c r="AM102" s="87">
        <f>$I$50*$AM$50</f>
        <v>0</v>
      </c>
      <c r="AN102" s="87">
        <f>$I$50*$AN$50</f>
        <v>129547.83582741283</v>
      </c>
      <c r="AO102" s="87">
        <f>$I$50*$AO$50</f>
        <v>16457.610025399114</v>
      </c>
      <c r="AP102" s="87">
        <f>$I$50*$AP$50</f>
        <v>0</v>
      </c>
      <c r="AQ102" s="87">
        <f>$I$50*$AQ$50</f>
        <v>0</v>
      </c>
      <c r="AR102" s="87">
        <f>$I$50*$AR$50</f>
        <v>0</v>
      </c>
      <c r="AS102" s="87">
        <f>$I$50*$AS$50</f>
        <v>0</v>
      </c>
      <c r="AT102" s="87">
        <f>$I$50*$AT$50</f>
        <v>0</v>
      </c>
      <c r="AU102" s="87">
        <f>$I$50*$AU$50</f>
        <v>421991.53482143919</v>
      </c>
      <c r="AV102" s="87">
        <f>$I$50*$AV$50</f>
        <v>0</v>
      </c>
      <c r="AW102" s="87">
        <f>$I$50*$AW$50</f>
        <v>0</v>
      </c>
      <c r="AX102" s="87">
        <f>$I$50*$AX$50</f>
        <v>844693.1361973281</v>
      </c>
      <c r="AY102" s="87">
        <f>$I$50*$AY$50</f>
        <v>27358.425036477307</v>
      </c>
      <c r="AZ102" s="87">
        <f>$I$50*$AZ$50</f>
        <v>0</v>
      </c>
      <c r="BA102" s="87">
        <f>$I$50*$BA$50</f>
        <v>65051.245279152252</v>
      </c>
      <c r="BB102" s="87">
        <f>$I$50*$BB$50</f>
        <v>0</v>
      </c>
      <c r="BC102" s="87">
        <f>$I$50*$BC$50</f>
        <v>0</v>
      </c>
      <c r="BD102" s="87">
        <f>$I$50*$BD$50</f>
        <v>0</v>
      </c>
    </row>
    <row r="103" spans="1:56" ht="11.25" customHeight="1" x14ac:dyDescent="0.3">
      <c r="A103" s="9" t="s">
        <v>46</v>
      </c>
      <c r="B103" s="9" t="s">
        <v>931</v>
      </c>
      <c r="C103" s="9" t="s">
        <v>932</v>
      </c>
      <c r="D103" s="9" t="s">
        <v>937</v>
      </c>
      <c r="E103" s="9" t="s">
        <v>938</v>
      </c>
      <c r="F103" s="9" t="s">
        <v>939</v>
      </c>
      <c r="G103" s="9" t="s">
        <v>940</v>
      </c>
      <c r="L103" s="87">
        <f>$I$51*$L$51</f>
        <v>0</v>
      </c>
      <c r="M103" s="87">
        <f>$I$51*$M$51</f>
        <v>0</v>
      </c>
      <c r="N103" s="87">
        <f ca="1">$I$51*$N$51</f>
        <v>0</v>
      </c>
      <c r="O103" s="87">
        <f>$I$51*$O$51</f>
        <v>0</v>
      </c>
      <c r="P103" s="87">
        <f>$I$51*$P$51</f>
        <v>0</v>
      </c>
      <c r="Q103" s="87">
        <f>$I$51*$Q$51</f>
        <v>0</v>
      </c>
      <c r="R103" s="87">
        <f>$I$51*$R$51</f>
        <v>0</v>
      </c>
      <c r="S103" s="87">
        <f>$I$51*$S$51</f>
        <v>0</v>
      </c>
      <c r="T103" s="87">
        <f>$I$51*$T$51</f>
        <v>0</v>
      </c>
      <c r="U103" s="87">
        <f>$I$51*$U$51</f>
        <v>0</v>
      </c>
      <c r="V103" s="87">
        <f>$I$51*$V$51</f>
        <v>0</v>
      </c>
      <c r="W103" s="87">
        <f>$I$51*$W$51</f>
        <v>0</v>
      </c>
      <c r="X103" s="87">
        <f>$I$51*$X$51</f>
        <v>0</v>
      </c>
      <c r="Y103" s="87">
        <f>$I$51*$Y$51</f>
        <v>0</v>
      </c>
      <c r="Z103" s="87">
        <f>$I$51*$Z$51</f>
        <v>0</v>
      </c>
      <c r="AA103" s="87">
        <f>$I$51*$AA$51</f>
        <v>0</v>
      </c>
      <c r="AB103" s="87">
        <f ca="1">$I$51*$AB$51</f>
        <v>0</v>
      </c>
      <c r="AC103" s="87">
        <f ca="1">$I$51*$AC$51</f>
        <v>0</v>
      </c>
      <c r="AD103" s="87">
        <f>$I$51*$AD$51</f>
        <v>0</v>
      </c>
      <c r="AE103" s="87">
        <f>$I$51*$AE$51</f>
        <v>0</v>
      </c>
      <c r="AF103" s="87">
        <f ca="1">$I$51*$AF$51</f>
        <v>0</v>
      </c>
      <c r="AG103" s="87">
        <f ca="1">$I$51*$AG$51</f>
        <v>0</v>
      </c>
      <c r="AI103" s="87">
        <f>$I$51*$AI$51</f>
        <v>0</v>
      </c>
      <c r="AJ103" s="87">
        <f>$I$51*$AJ$51</f>
        <v>0</v>
      </c>
      <c r="AK103" s="87">
        <f>$I$51*$AK$51</f>
        <v>0</v>
      </c>
      <c r="AL103" s="87">
        <f>$I$51*$AL$51</f>
        <v>0</v>
      </c>
      <c r="AM103" s="87">
        <f>$I$51*$AM$51</f>
        <v>0</v>
      </c>
      <c r="AN103" s="87">
        <f>$I$51*$AN$51</f>
        <v>0</v>
      </c>
      <c r="AO103" s="87">
        <f>$I$51*$AO$51</f>
        <v>0</v>
      </c>
      <c r="AP103" s="87">
        <f>$I$51*$AP$51</f>
        <v>0</v>
      </c>
      <c r="AQ103" s="87">
        <f>$I$51*$AQ$51</f>
        <v>0</v>
      </c>
      <c r="AR103" s="87">
        <f>$I$51*$AR$51</f>
        <v>0</v>
      </c>
      <c r="AS103" s="87">
        <f>$I$51*$AS$51</f>
        <v>0</v>
      </c>
      <c r="AT103" s="87">
        <f>$I$51*$AT$51</f>
        <v>0</v>
      </c>
      <c r="AU103" s="87">
        <f>$I$51*$AU$51</f>
        <v>0</v>
      </c>
      <c r="AV103" s="87">
        <f>$I$51*$AV$51</f>
        <v>0</v>
      </c>
      <c r="AW103" s="87">
        <f>$I$51*$AW$51</f>
        <v>0</v>
      </c>
      <c r="AX103" s="87">
        <f>$I$51*$AX$51</f>
        <v>0</v>
      </c>
      <c r="AY103" s="87">
        <f>$I$51*$AY$51</f>
        <v>0</v>
      </c>
      <c r="AZ103" s="87">
        <f>$I$51*$AZ$51</f>
        <v>0</v>
      </c>
      <c r="BA103" s="87">
        <f>$I$51*$BA$51</f>
        <v>0</v>
      </c>
      <c r="BB103" s="87">
        <f>$I$51*$BB$51</f>
        <v>0</v>
      </c>
      <c r="BC103" s="87">
        <f>$I$51*$BC$51</f>
        <v>0</v>
      </c>
      <c r="BD103" s="87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C36A-C9D5-48C1-8CA1-6F418B0C1E5A}">
  <dimension ref="A1:AF85"/>
  <sheetViews>
    <sheetView showGridLines="0" topLeftCell="L29" workbookViewId="0">
      <selection activeCell="V43" sqref="V43"/>
    </sheetView>
  </sheetViews>
  <sheetFormatPr defaultColWidth="9.109375" defaultRowHeight="11.25" customHeight="1" x14ac:dyDescent="0.3"/>
  <cols>
    <col min="1" max="1" width="9.33203125" style="9" bestFit="1" customWidth="1"/>
    <col min="2" max="2" width="29" style="9" bestFit="1" customWidth="1"/>
    <col min="3" max="3" width="38.6640625" style="9" bestFit="1" customWidth="1"/>
    <col min="4" max="4" width="61.6640625" style="9" bestFit="1" customWidth="1"/>
    <col min="5" max="5" width="71.44140625" style="9" bestFit="1" customWidth="1"/>
    <col min="6" max="6" width="81" style="9" bestFit="1" customWidth="1"/>
    <col min="7" max="7" width="81.88671875" style="9" bestFit="1" customWidth="1"/>
    <col min="8" max="8" width="7.44140625" style="9" bestFit="1" customWidth="1"/>
    <col min="9" max="9" width="7" style="9" bestFit="1" customWidth="1"/>
    <col min="10" max="10" width="9.109375" style="9"/>
    <col min="11" max="11" width="20" style="9" bestFit="1" customWidth="1"/>
    <col min="12" max="12" width="4.109375" style="9" bestFit="1" customWidth="1"/>
    <col min="13" max="13" width="7.109375" style="9" bestFit="1" customWidth="1"/>
    <col min="14" max="14" width="6" style="9" bestFit="1" customWidth="1"/>
    <col min="15" max="15" width="11.109375" style="9" bestFit="1" customWidth="1"/>
    <col min="16" max="16" width="15" style="9" bestFit="1" customWidth="1"/>
    <col min="17" max="17" width="6" style="9" bestFit="1" customWidth="1"/>
    <col min="18" max="18" width="10.44140625" style="9" bestFit="1" customWidth="1"/>
    <col min="19" max="19" width="7" style="9" bestFit="1" customWidth="1"/>
    <col min="20" max="20" width="11.109375" style="9" bestFit="1" customWidth="1"/>
    <col min="21" max="21" width="11" style="9" bestFit="1" customWidth="1"/>
    <col min="22" max="22" width="9.109375" style="9"/>
    <col min="23" max="23" width="4.109375" style="9" bestFit="1" customWidth="1"/>
    <col min="24" max="24" width="7.109375" style="9" bestFit="1" customWidth="1"/>
    <col min="25" max="25" width="6" style="9" bestFit="1" customWidth="1"/>
    <col min="26" max="26" width="11.109375" style="9" bestFit="1" customWidth="1"/>
    <col min="27" max="27" width="15" style="9" bestFit="1" customWidth="1"/>
    <col min="28" max="28" width="6" style="9" bestFit="1" customWidth="1"/>
    <col min="29" max="29" width="10.44140625" style="9" bestFit="1" customWidth="1"/>
    <col min="30" max="30" width="7" style="9" bestFit="1" customWidth="1"/>
    <col min="31" max="31" width="11.109375" style="9" bestFit="1" customWidth="1"/>
    <col min="32" max="32" width="11" style="9" bestFit="1" customWidth="1"/>
    <col min="33" max="16384" width="9.109375" style="9"/>
  </cols>
  <sheetData>
    <row r="1" spans="1:32" ht="11.25" customHeight="1" x14ac:dyDescent="0.3">
      <c r="A1" s="130" t="s">
        <v>62</v>
      </c>
      <c r="B1" s="130" t="s">
        <v>63</v>
      </c>
      <c r="C1" s="130" t="s">
        <v>64</v>
      </c>
      <c r="D1" s="130" t="s">
        <v>65</v>
      </c>
      <c r="E1" s="130" t="s">
        <v>66</v>
      </c>
      <c r="F1" s="130" t="s">
        <v>15</v>
      </c>
      <c r="G1" s="130" t="s">
        <v>68</v>
      </c>
      <c r="H1" s="130" t="s">
        <v>69</v>
      </c>
      <c r="I1" s="130" t="s">
        <v>570</v>
      </c>
      <c r="J1" s="118"/>
      <c r="L1" s="128" t="s">
        <v>941</v>
      </c>
      <c r="M1" s="128"/>
      <c r="N1" s="128"/>
      <c r="O1" s="128"/>
      <c r="P1" s="128"/>
      <c r="Q1" s="128"/>
      <c r="R1" s="128"/>
      <c r="S1" s="128"/>
      <c r="T1" s="128"/>
      <c r="U1" s="128"/>
      <c r="W1" s="128" t="s">
        <v>942</v>
      </c>
      <c r="X1" s="128"/>
      <c r="Y1" s="128"/>
      <c r="Z1" s="128"/>
      <c r="AA1" s="128"/>
      <c r="AB1" s="128"/>
      <c r="AC1" s="128"/>
      <c r="AD1" s="128"/>
      <c r="AE1" s="128"/>
      <c r="AF1" s="128"/>
    </row>
    <row r="2" spans="1:32" ht="11.25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18"/>
      <c r="L2" s="128" t="s">
        <v>498</v>
      </c>
      <c r="M2" s="128"/>
      <c r="N2" s="128"/>
      <c r="O2" s="128"/>
      <c r="P2" s="128"/>
      <c r="Q2" s="128"/>
      <c r="R2" s="128"/>
      <c r="S2" s="128"/>
      <c r="T2" s="128"/>
      <c r="U2" s="128"/>
      <c r="W2" s="128" t="s">
        <v>498</v>
      </c>
      <c r="X2" s="128"/>
      <c r="Y2" s="128"/>
      <c r="Z2" s="128"/>
      <c r="AA2" s="128"/>
      <c r="AB2" s="128"/>
      <c r="AC2" s="128"/>
      <c r="AD2" s="128"/>
      <c r="AE2" s="128"/>
      <c r="AF2" s="128"/>
    </row>
    <row r="3" spans="1:32" ht="11.25" customHeight="1" x14ac:dyDescent="0.3">
      <c r="A3" s="130"/>
      <c r="B3" s="130"/>
      <c r="C3" s="130"/>
      <c r="D3" s="130"/>
      <c r="E3" s="130"/>
      <c r="F3" s="130"/>
      <c r="G3" s="130"/>
      <c r="H3" s="130"/>
      <c r="I3" s="130"/>
      <c r="J3" s="118"/>
      <c r="L3" s="128" t="s">
        <v>471</v>
      </c>
      <c r="M3" s="128"/>
      <c r="N3" s="128"/>
      <c r="O3" s="128"/>
      <c r="P3" s="91" t="s">
        <v>501</v>
      </c>
      <c r="Q3" s="128" t="s">
        <v>480</v>
      </c>
      <c r="R3" s="128"/>
      <c r="S3" s="128"/>
      <c r="T3" s="91" t="s">
        <v>490</v>
      </c>
      <c r="U3" s="91" t="s">
        <v>493</v>
      </c>
      <c r="W3" s="128" t="s">
        <v>471</v>
      </c>
      <c r="X3" s="128"/>
      <c r="Y3" s="128"/>
      <c r="Z3" s="128"/>
      <c r="AA3" s="91" t="s">
        <v>501</v>
      </c>
      <c r="AB3" s="128" t="s">
        <v>480</v>
      </c>
      <c r="AC3" s="128"/>
      <c r="AD3" s="128"/>
      <c r="AE3" s="91" t="s">
        <v>490</v>
      </c>
      <c r="AF3" s="91" t="s">
        <v>493</v>
      </c>
    </row>
    <row r="4" spans="1:32" ht="11.25" customHeight="1" x14ac:dyDescent="0.3">
      <c r="A4" s="130"/>
      <c r="B4" s="130"/>
      <c r="C4" s="130"/>
      <c r="D4" s="130"/>
      <c r="E4" s="130"/>
      <c r="F4" s="130"/>
      <c r="G4" s="130"/>
      <c r="H4" s="130"/>
      <c r="I4" s="130"/>
      <c r="J4" s="118"/>
      <c r="L4" s="91" t="s">
        <v>473</v>
      </c>
      <c r="M4" s="91" t="s">
        <v>499</v>
      </c>
      <c r="N4" s="91" t="s">
        <v>500</v>
      </c>
      <c r="O4" s="91" t="s">
        <v>558</v>
      </c>
      <c r="P4" s="91" t="s">
        <v>502</v>
      </c>
      <c r="Q4" s="91" t="s">
        <v>503</v>
      </c>
      <c r="R4" s="91" t="s">
        <v>504</v>
      </c>
      <c r="S4" s="91" t="s">
        <v>505</v>
      </c>
      <c r="T4" s="91" t="s">
        <v>491</v>
      </c>
      <c r="U4" s="91" t="s">
        <v>506</v>
      </c>
      <c r="W4" s="91" t="s">
        <v>473</v>
      </c>
      <c r="X4" s="91" t="s">
        <v>499</v>
      </c>
      <c r="Y4" s="91" t="s">
        <v>500</v>
      </c>
      <c r="Z4" s="91" t="s">
        <v>558</v>
      </c>
      <c r="AA4" s="91" t="s">
        <v>502</v>
      </c>
      <c r="AB4" s="91" t="s">
        <v>503</v>
      </c>
      <c r="AC4" s="91" t="s">
        <v>504</v>
      </c>
      <c r="AD4" s="91" t="s">
        <v>505</v>
      </c>
      <c r="AE4" s="91" t="s">
        <v>491</v>
      </c>
      <c r="AF4" s="91" t="s">
        <v>506</v>
      </c>
    </row>
    <row r="5" spans="1:32" ht="11.25" customHeight="1" x14ac:dyDescent="0.3">
      <c r="A5" s="131" t="s">
        <v>37</v>
      </c>
      <c r="B5" s="131" t="s">
        <v>71</v>
      </c>
      <c r="C5" s="131" t="s">
        <v>25</v>
      </c>
      <c r="D5" s="131" t="s">
        <v>25</v>
      </c>
      <c r="E5" s="131" t="s">
        <v>25</v>
      </c>
      <c r="F5" s="131" t="s">
        <v>25</v>
      </c>
      <c r="G5" s="32" t="s">
        <v>73</v>
      </c>
      <c r="H5" s="32" t="s">
        <v>72</v>
      </c>
      <c r="I5" s="32">
        <f>'MERCADO TE'!$U$2</f>
        <v>89.825000000000003</v>
      </c>
      <c r="J5" s="17"/>
      <c r="L5" s="30">
        <f>('TE BE'!$L$5+'TE BF'!$L$5+'TE CVA'!$L$5)*1</f>
        <v>0</v>
      </c>
      <c r="M5" s="30">
        <f>('TE BE'!$M$5+'TE BF'!$M$5+'TE CVA'!$M$5)*1</f>
        <v>0</v>
      </c>
      <c r="N5" s="30">
        <f>('TE BE'!$N$5+'TE BF'!$N$5+'TE CVA'!$N$5)*1</f>
        <v>0</v>
      </c>
      <c r="O5" s="30">
        <f>('TE BE'!$O$5+'TE BF'!$O$5+'TE CVA'!$O$5)*1</f>
        <v>0</v>
      </c>
      <c r="P5" s="30">
        <f>('TE BE'!$Q$5+'TE BF'!$Q$5+'TE CVA'!$Q$5)*1</f>
        <v>330.73086315618451</v>
      </c>
      <c r="Q5" s="30">
        <f>('TE BE'!$S$5+'TE BF'!$S$5+'TE CVA'!$S$5)*1</f>
        <v>0</v>
      </c>
      <c r="R5" s="30">
        <f>('TE BE'!$T$5+'TE BF'!$T$5+'TE CVA'!$T$5)*1</f>
        <v>0</v>
      </c>
      <c r="S5" s="30">
        <f>('TE BE'!$U$5+'TE BF'!$U$5+'TE CVA'!$U$5)*1</f>
        <v>0</v>
      </c>
      <c r="T5" s="30">
        <f>('TE BE'!$W$5+'TE BF'!$W$5+'TE CVA'!$W$5)*1</f>
        <v>0</v>
      </c>
      <c r="U5" s="30">
        <f>('TE BE'!$Y$5+'TE BF'!$Y$5+'TE CVA'!$Y$5)*1</f>
        <v>0</v>
      </c>
      <c r="W5" s="30">
        <v>0</v>
      </c>
      <c r="X5" s="30">
        <v>0</v>
      </c>
      <c r="Y5" s="30">
        <v>0</v>
      </c>
      <c r="Z5" s="30">
        <v>0</v>
      </c>
      <c r="AA5" s="30">
        <v>238.510715424697</v>
      </c>
      <c r="AB5" s="30">
        <v>0</v>
      </c>
      <c r="AC5" s="30">
        <v>0</v>
      </c>
      <c r="AD5" s="30">
        <v>0</v>
      </c>
      <c r="AE5" s="30">
        <v>1.7814415512280199</v>
      </c>
      <c r="AF5" s="30">
        <v>0</v>
      </c>
    </row>
    <row r="6" spans="1:32" ht="11.25" customHeight="1" x14ac:dyDescent="0.3">
      <c r="A6" s="131"/>
      <c r="B6" s="131"/>
      <c r="C6" s="131"/>
      <c r="D6" s="131"/>
      <c r="E6" s="131"/>
      <c r="F6" s="131"/>
      <c r="G6" s="32" t="s">
        <v>74</v>
      </c>
      <c r="H6" s="32" t="s">
        <v>72</v>
      </c>
      <c r="I6" s="32">
        <f>'MERCADO TE'!$U$3</f>
        <v>3257.1160000000004</v>
      </c>
      <c r="J6" s="17"/>
      <c r="L6" s="30">
        <f>('TE BE'!$L$6+'TE BF'!$L$6+'TE CVA'!$L$6)*1</f>
        <v>0</v>
      </c>
      <c r="M6" s="30">
        <f>('TE BE'!$M$6+'TE BF'!$M$6+'TE CVA'!$M$6)*1</f>
        <v>0</v>
      </c>
      <c r="N6" s="30">
        <f>('TE BE'!$N$6+'TE BF'!$N$6+'TE CVA'!$N$6)*1</f>
        <v>0</v>
      </c>
      <c r="O6" s="30">
        <f>('TE BE'!$O$6+'TE BF'!$O$6+'TE CVA'!$O$6)*1</f>
        <v>0</v>
      </c>
      <c r="P6" s="30">
        <f>('TE BE'!$Q$6+'TE BF'!$Q$6+'TE CVA'!$Q$6)*1</f>
        <v>330.73086315618451</v>
      </c>
      <c r="Q6" s="30">
        <f>('TE BE'!$S$6+'TE BF'!$S$6+'TE CVA'!$S$6)*1</f>
        <v>0</v>
      </c>
      <c r="R6" s="30">
        <f>('TE BE'!$T$6+'TE BF'!$T$6+'TE CVA'!$T$6)*1</f>
        <v>0</v>
      </c>
      <c r="S6" s="30">
        <f>('TE BE'!$U$6+'TE BF'!$U$6+'TE CVA'!$U$6)*1</f>
        <v>0</v>
      </c>
      <c r="T6" s="30">
        <f>('TE BE'!$W$6+'TE BF'!$W$6+'TE CVA'!$W$6)*1</f>
        <v>0</v>
      </c>
      <c r="U6" s="30">
        <f>('TE BE'!$Y$6+'TE BF'!$Y$6+'TE CVA'!$Y$6)*1</f>
        <v>0</v>
      </c>
      <c r="W6" s="30">
        <v>0</v>
      </c>
      <c r="X6" s="30">
        <v>0</v>
      </c>
      <c r="Y6" s="30">
        <v>0</v>
      </c>
      <c r="Z6" s="30">
        <v>0</v>
      </c>
      <c r="AA6" s="30">
        <v>238.510715424697</v>
      </c>
      <c r="AB6" s="30">
        <v>0</v>
      </c>
      <c r="AC6" s="30">
        <v>0</v>
      </c>
      <c r="AD6" s="30">
        <v>0</v>
      </c>
      <c r="AE6" s="30">
        <v>1.7814415512280199</v>
      </c>
      <c r="AF6" s="30">
        <v>0</v>
      </c>
    </row>
    <row r="7" spans="1:32" ht="11.25" customHeight="1" x14ac:dyDescent="0.3">
      <c r="A7" s="131"/>
      <c r="B7" s="90" t="s">
        <v>75</v>
      </c>
      <c r="C7" s="90" t="s">
        <v>25</v>
      </c>
      <c r="D7" s="90" t="s">
        <v>25</v>
      </c>
      <c r="E7" s="90" t="s">
        <v>25</v>
      </c>
      <c r="F7" s="90" t="s">
        <v>25</v>
      </c>
      <c r="G7" s="32" t="s">
        <v>76</v>
      </c>
      <c r="H7" s="32" t="s">
        <v>72</v>
      </c>
      <c r="I7" s="32">
        <f>'MERCADO TE'!$U$4</f>
        <v>0</v>
      </c>
      <c r="J7" s="17"/>
      <c r="L7" s="30">
        <f>('TE BE'!$L$7+'TE BF'!$L$7+'TE CVA'!$L$7)*1</f>
        <v>0</v>
      </c>
      <c r="M7" s="30">
        <f>('TE BE'!$M$7+'TE BF'!$M$7+'TE CVA'!$M$7)*1</f>
        <v>0</v>
      </c>
      <c r="N7" s="30">
        <f>('TE BE'!$N$7+'TE BF'!$N$7+'TE CVA'!$N$7)*1</f>
        <v>0</v>
      </c>
      <c r="O7" s="30">
        <f>('TE BE'!$O$7+'TE BF'!$O$7+'TE CVA'!$O$7)*1</f>
        <v>0</v>
      </c>
      <c r="P7" s="30">
        <f>('TE BE'!$Q$7+'TE BF'!$Q$7+'TE CVA'!$Q$7)*1</f>
        <v>330.73086315618451</v>
      </c>
      <c r="Q7" s="30">
        <f>('TE BE'!$S$7+'TE BF'!$S$7+'TE CVA'!$S$7)*1</f>
        <v>0</v>
      </c>
      <c r="R7" s="30">
        <f>('TE BE'!$T$7+'TE BF'!$T$7+'TE CVA'!$T$7)*1</f>
        <v>0</v>
      </c>
      <c r="S7" s="30">
        <f>('TE BE'!$U$7+'TE BF'!$U$7+'TE CVA'!$U$7)*1</f>
        <v>0</v>
      </c>
      <c r="T7" s="30">
        <f>('TE BE'!$W$7+'TE BF'!$W$7+'TE CVA'!$W$7)*1</f>
        <v>0</v>
      </c>
      <c r="U7" s="30">
        <f>('TE BE'!$Y$7+'TE BF'!$Y$7+'TE CVA'!$Y$7)*1</f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</row>
    <row r="8" spans="1:32" ht="11.25" customHeight="1" x14ac:dyDescent="0.3">
      <c r="A8" s="131" t="s">
        <v>22</v>
      </c>
      <c r="B8" s="131" t="s">
        <v>71</v>
      </c>
      <c r="C8" s="131" t="s">
        <v>24</v>
      </c>
      <c r="D8" s="131" t="s">
        <v>24</v>
      </c>
      <c r="E8" s="131" t="s">
        <v>25</v>
      </c>
      <c r="F8" s="131" t="s">
        <v>25</v>
      </c>
      <c r="G8" s="32" t="s">
        <v>73</v>
      </c>
      <c r="H8" s="32" t="s">
        <v>72</v>
      </c>
      <c r="I8" s="32">
        <f>'MERCADO TE'!$U$5</f>
        <v>3.1E-2</v>
      </c>
      <c r="J8" s="17"/>
      <c r="L8" s="30">
        <f>('TE BE'!$L$8+'TE BF'!$L$8+'TE CVA'!$L$8)*1</f>
        <v>0</v>
      </c>
      <c r="M8" s="30">
        <f>('TE BE'!$M$8+'TE BF'!$M$8+'TE CVA'!$M$8)*1</f>
        <v>0</v>
      </c>
      <c r="N8" s="30">
        <f>('TE BE'!$N$8+'TE BF'!$N$8+'TE CVA'!$N$8)*1</f>
        <v>0</v>
      </c>
      <c r="O8" s="30">
        <f>('TE BE'!$O$8+'TE BF'!$O$8+'TE CVA'!$O$8)*1</f>
        <v>0</v>
      </c>
      <c r="P8" s="30">
        <f>('TE BE'!$Q$8+'TE BF'!$Q$8+'TE CVA'!$Q$8)*1</f>
        <v>330.73086315618451</v>
      </c>
      <c r="Q8" s="30">
        <f>('TE BE'!$S$8+'TE BF'!$S$8+'TE CVA'!$S$8)*1</f>
        <v>0</v>
      </c>
      <c r="R8" s="30">
        <f>('TE BE'!$T$8+'TE BF'!$T$8+'TE CVA'!$T$8)*1</f>
        <v>0</v>
      </c>
      <c r="S8" s="30">
        <f>('TE BE'!$U$8+'TE BF'!$U$8+'TE CVA'!$U$8)*1</f>
        <v>0</v>
      </c>
      <c r="T8" s="30">
        <f>('TE BE'!$W$8+'TE BF'!$W$8+'TE CVA'!$W$8)*1</f>
        <v>0</v>
      </c>
      <c r="U8" s="30">
        <f>('TE BE'!$Y$8+'TE BF'!$Y$8+'TE CVA'!$Y$8)*1</f>
        <v>0</v>
      </c>
      <c r="W8" s="30">
        <v>0</v>
      </c>
      <c r="X8" s="30">
        <v>0</v>
      </c>
      <c r="Y8" s="30">
        <v>0</v>
      </c>
      <c r="Z8" s="30">
        <v>0</v>
      </c>
      <c r="AA8" s="30">
        <v>238.510715424697</v>
      </c>
      <c r="AB8" s="30">
        <v>0</v>
      </c>
      <c r="AC8" s="30">
        <v>0</v>
      </c>
      <c r="AD8" s="30">
        <v>0</v>
      </c>
      <c r="AE8" s="30">
        <v>1.7814415512280199</v>
      </c>
      <c r="AF8" s="30">
        <v>0</v>
      </c>
    </row>
    <row r="9" spans="1:32" ht="11.25" customHeight="1" x14ac:dyDescent="0.3">
      <c r="A9" s="131"/>
      <c r="B9" s="131"/>
      <c r="C9" s="131"/>
      <c r="D9" s="131"/>
      <c r="E9" s="131"/>
      <c r="F9" s="131"/>
      <c r="G9" s="32" t="s">
        <v>85</v>
      </c>
      <c r="H9" s="32" t="s">
        <v>72</v>
      </c>
      <c r="I9" s="32">
        <f>'MERCADO TE'!$U$6</f>
        <v>0</v>
      </c>
      <c r="J9" s="17"/>
      <c r="L9" s="30">
        <f>('TE BE'!$L$9+'TE BF'!$L$9+'TE CVA'!$L$9)*1</f>
        <v>0</v>
      </c>
      <c r="M9" s="30">
        <f>('TE BE'!$M$9+'TE BF'!$M$9+'TE CVA'!$M$9)*1</f>
        <v>0</v>
      </c>
      <c r="N9" s="30">
        <f>('TE BE'!$N$9+'TE BF'!$N$9+'TE CVA'!$N$9)*1</f>
        <v>0</v>
      </c>
      <c r="O9" s="30">
        <f>('TE BE'!$O$9+'TE BF'!$O$9+'TE CVA'!$O$9)*1</f>
        <v>0</v>
      </c>
      <c r="P9" s="30">
        <f>('TE BE'!$Q$9+'TE BF'!$Q$9+'TE CVA'!$Q$9)*1</f>
        <v>330.73086315618451</v>
      </c>
      <c r="Q9" s="30">
        <f>('TE BE'!$S$9+'TE BF'!$S$9+'TE CVA'!$S$9)*1</f>
        <v>0</v>
      </c>
      <c r="R9" s="30">
        <f>('TE BE'!$T$9+'TE BF'!$T$9+'TE CVA'!$T$9)*1</f>
        <v>0</v>
      </c>
      <c r="S9" s="30">
        <f>('TE BE'!$U$9+'TE BF'!$U$9+'TE CVA'!$U$9)*1</f>
        <v>0</v>
      </c>
      <c r="T9" s="30">
        <f>('TE BE'!$W$9+'TE BF'!$W$9+'TE CVA'!$W$9)*1</f>
        <v>0</v>
      </c>
      <c r="U9" s="30">
        <f>('TE BE'!$Y$9+'TE BF'!$Y$9+'TE CVA'!$Y$9)*1</f>
        <v>0</v>
      </c>
      <c r="W9" s="30">
        <v>0</v>
      </c>
      <c r="X9" s="30">
        <v>0</v>
      </c>
      <c r="Y9" s="30">
        <v>0</v>
      </c>
      <c r="Z9" s="30">
        <v>0</v>
      </c>
      <c r="AA9" s="30">
        <v>238.510715424697</v>
      </c>
      <c r="AB9" s="30">
        <v>0</v>
      </c>
      <c r="AC9" s="30">
        <v>0</v>
      </c>
      <c r="AD9" s="30">
        <v>0</v>
      </c>
      <c r="AE9" s="30">
        <v>1.7814415512280199</v>
      </c>
      <c r="AF9" s="30">
        <v>0</v>
      </c>
    </row>
    <row r="10" spans="1:32" ht="11.25" customHeight="1" x14ac:dyDescent="0.3">
      <c r="A10" s="131"/>
      <c r="B10" s="131"/>
      <c r="C10" s="131"/>
      <c r="D10" s="131"/>
      <c r="E10" s="131"/>
      <c r="F10" s="131"/>
      <c r="G10" s="32" t="s">
        <v>74</v>
      </c>
      <c r="H10" s="32" t="s">
        <v>72</v>
      </c>
      <c r="I10" s="32">
        <f>'MERCADO TE'!$U$7</f>
        <v>0.71099999999999985</v>
      </c>
      <c r="J10" s="17"/>
      <c r="L10" s="30">
        <f>('TE BE'!$L$10+'TE BF'!$L$10+'TE CVA'!$L$10)*1</f>
        <v>0</v>
      </c>
      <c r="M10" s="30">
        <f>('TE BE'!$M$10+'TE BF'!$M$10+'TE CVA'!$M$10)*1</f>
        <v>0</v>
      </c>
      <c r="N10" s="30">
        <f>('TE BE'!$N$10+'TE BF'!$N$10+'TE CVA'!$N$10)*1</f>
        <v>0</v>
      </c>
      <c r="O10" s="30">
        <f>('TE BE'!$O$10+'TE BF'!$O$10+'TE CVA'!$O$10)*1</f>
        <v>0</v>
      </c>
      <c r="P10" s="30">
        <f>('TE BE'!$Q$10+'TE BF'!$Q$10+'TE CVA'!$Q$10)*1</f>
        <v>330.73086315618451</v>
      </c>
      <c r="Q10" s="30">
        <f>('TE BE'!$S$10+'TE BF'!$S$10+'TE CVA'!$S$10)*1</f>
        <v>0</v>
      </c>
      <c r="R10" s="30">
        <f>('TE BE'!$T$10+'TE BF'!$T$10+'TE CVA'!$T$10)*1</f>
        <v>0</v>
      </c>
      <c r="S10" s="30">
        <f>('TE BE'!$U$10+'TE BF'!$U$10+'TE CVA'!$U$10)*1</f>
        <v>0</v>
      </c>
      <c r="T10" s="30">
        <f>('TE BE'!$W$10+'TE BF'!$W$10+'TE CVA'!$W$10)*1</f>
        <v>0</v>
      </c>
      <c r="U10" s="30">
        <f>('TE BE'!$Y$10+'TE BF'!$Y$10+'TE CVA'!$Y$10)*1</f>
        <v>0</v>
      </c>
      <c r="W10" s="30">
        <v>0</v>
      </c>
      <c r="X10" s="30">
        <v>0</v>
      </c>
      <c r="Y10" s="30">
        <v>0</v>
      </c>
      <c r="Z10" s="30">
        <v>0</v>
      </c>
      <c r="AA10" s="30">
        <v>238.510715424697</v>
      </c>
      <c r="AB10" s="30">
        <v>0</v>
      </c>
      <c r="AC10" s="30">
        <v>0</v>
      </c>
      <c r="AD10" s="30">
        <v>0</v>
      </c>
      <c r="AE10" s="30">
        <v>1.7814415512280199</v>
      </c>
      <c r="AF10" s="30">
        <v>0</v>
      </c>
    </row>
    <row r="11" spans="1:32" ht="11.25" customHeight="1" x14ac:dyDescent="0.3">
      <c r="A11" s="131"/>
      <c r="B11" s="131" t="s">
        <v>75</v>
      </c>
      <c r="C11" s="131" t="s">
        <v>24</v>
      </c>
      <c r="D11" s="90" t="s">
        <v>24</v>
      </c>
      <c r="E11" s="90" t="s">
        <v>25</v>
      </c>
      <c r="F11" s="90" t="s">
        <v>25</v>
      </c>
      <c r="G11" s="32" t="s">
        <v>76</v>
      </c>
      <c r="H11" s="32" t="s">
        <v>72</v>
      </c>
      <c r="I11" s="32">
        <f>'MERCADO TE'!$U$8</f>
        <v>9876.3909999999996</v>
      </c>
      <c r="J11" s="17"/>
      <c r="L11" s="30">
        <f>('TE BE'!$L$11+'TE BF'!$L$11+'TE CVA'!$L$11)*1</f>
        <v>0</v>
      </c>
      <c r="M11" s="30">
        <f>('TE BE'!$M$11+'TE BF'!$M$11+'TE CVA'!$M$11)*1</f>
        <v>0</v>
      </c>
      <c r="N11" s="30">
        <f>('TE BE'!$N$11+'TE BF'!$N$11+'TE CVA'!$N$11)*1</f>
        <v>0</v>
      </c>
      <c r="O11" s="30">
        <f>('TE BE'!$O$11+'TE BF'!$O$11+'TE CVA'!$O$11)*1</f>
        <v>0</v>
      </c>
      <c r="P11" s="30">
        <f>('TE BE'!$Q$11+'TE BF'!$Q$11+'TE CVA'!$Q$11)*1</f>
        <v>330.73086315618451</v>
      </c>
      <c r="Q11" s="30">
        <f>('TE BE'!$S$11+'TE BF'!$S$11+'TE CVA'!$S$11)*1</f>
        <v>0</v>
      </c>
      <c r="R11" s="30">
        <f>('TE BE'!$T$11+'TE BF'!$T$11+'TE CVA'!$T$11)*1</f>
        <v>0</v>
      </c>
      <c r="S11" s="30">
        <f>('TE BE'!$U$11+'TE BF'!$U$11+'TE CVA'!$U$11)*1</f>
        <v>0</v>
      </c>
      <c r="T11" s="30">
        <f>('TE BE'!$W$11+'TE BF'!$W$11+'TE CVA'!$W$11)*1</f>
        <v>0</v>
      </c>
      <c r="U11" s="30">
        <f>('TE BE'!$Y$11+'TE BF'!$Y$11+'TE CVA'!$Y$11)*1</f>
        <v>0</v>
      </c>
      <c r="W11" s="30">
        <v>0</v>
      </c>
      <c r="X11" s="30">
        <v>0</v>
      </c>
      <c r="Y11" s="30">
        <v>0</v>
      </c>
      <c r="Z11" s="30">
        <v>0</v>
      </c>
      <c r="AA11" s="30">
        <v>238.510715424697</v>
      </c>
      <c r="AB11" s="30">
        <v>0</v>
      </c>
      <c r="AC11" s="30">
        <v>0</v>
      </c>
      <c r="AD11" s="30">
        <v>0</v>
      </c>
      <c r="AE11" s="30">
        <v>1.7814415512280199</v>
      </c>
      <c r="AF11" s="30">
        <v>0</v>
      </c>
    </row>
    <row r="12" spans="1:32" ht="11.25" customHeight="1" x14ac:dyDescent="0.3">
      <c r="A12" s="131"/>
      <c r="B12" s="131"/>
      <c r="C12" s="131"/>
      <c r="D12" s="90" t="s">
        <v>29</v>
      </c>
      <c r="E12" s="90" t="s">
        <v>25</v>
      </c>
      <c r="F12" s="90" t="s">
        <v>25</v>
      </c>
      <c r="G12" s="32" t="s">
        <v>76</v>
      </c>
      <c r="H12" s="32" t="s">
        <v>72</v>
      </c>
      <c r="I12" s="32">
        <f>'MERCADO TE'!$U$9</f>
        <v>38.58</v>
      </c>
      <c r="J12" s="17"/>
      <c r="L12" s="30">
        <f>('TE BE'!$L$12+'TE BF'!$L$12+'TE CVA'!$L$12)*(1 - 0.65)</f>
        <v>0</v>
      </c>
      <c r="M12" s="30">
        <f>('TE BE'!$M$12+'TE BF'!$M$12+'TE CVA'!$M$12)*(1 - 0.65)</f>
        <v>0</v>
      </c>
      <c r="N12" s="30">
        <f>('TE BE'!$N$12+'TE BF'!$N$12+'TE CVA'!$N$12)*(1 - 0.65)</f>
        <v>0</v>
      </c>
      <c r="O12" s="30">
        <f>('TE BE'!$O$12+'TE BF'!$O$12+'TE CVA'!$O$12)*(1 - 0.65)</f>
        <v>0</v>
      </c>
      <c r="P12" s="30">
        <f>('TE BE'!$Q$12+'TE BF'!$Q$12+'TE CVA'!$Q$12)*(1 - 0.65)</f>
        <v>115.75580210466457</v>
      </c>
      <c r="Q12" s="30">
        <f>('TE BE'!$S$12+'TE BF'!$S$12+'TE CVA'!$S$12)*(1 - 0.65)</f>
        <v>0</v>
      </c>
      <c r="R12" s="30">
        <f>('TE BE'!$T$12+'TE BF'!$T$12+'TE CVA'!$T$12)*(1 - 0.65)</f>
        <v>0</v>
      </c>
      <c r="S12" s="30">
        <f>('TE BE'!$U$12+'TE BF'!$U$12+'TE CVA'!$U$12)*(1 - 0.65)</f>
        <v>0</v>
      </c>
      <c r="T12" s="30">
        <f>('TE BE'!$W$12+'TE BF'!$W$12+'TE CVA'!$W$12)*(1 - 0.65)</f>
        <v>0</v>
      </c>
      <c r="U12" s="30">
        <f>('TE BE'!$Y$12+'TE BF'!$Y$12+'TE CVA'!$Y$12)*(1 - 0.65)</f>
        <v>0</v>
      </c>
      <c r="W12" s="30">
        <v>0</v>
      </c>
      <c r="X12" s="30">
        <v>0</v>
      </c>
      <c r="Y12" s="30">
        <v>0</v>
      </c>
      <c r="Z12" s="30">
        <v>0</v>
      </c>
      <c r="AA12" s="30">
        <v>83.478750398643797</v>
      </c>
      <c r="AB12" s="30">
        <v>0</v>
      </c>
      <c r="AC12" s="30">
        <v>0</v>
      </c>
      <c r="AD12" s="30">
        <v>0</v>
      </c>
      <c r="AE12" s="30">
        <v>0.62350454292980695</v>
      </c>
      <c r="AF12" s="30">
        <v>0</v>
      </c>
    </row>
    <row r="13" spans="1:32" ht="11.25" customHeight="1" x14ac:dyDescent="0.3">
      <c r="A13" s="131"/>
      <c r="B13" s="131"/>
      <c r="C13" s="131"/>
      <c r="D13" s="90" t="s">
        <v>30</v>
      </c>
      <c r="E13" s="90" t="s">
        <v>25</v>
      </c>
      <c r="F13" s="90" t="s">
        <v>25</v>
      </c>
      <c r="G13" s="32" t="s">
        <v>76</v>
      </c>
      <c r="H13" s="32" t="s">
        <v>72</v>
      </c>
      <c r="I13" s="32">
        <f>'MERCADO TE'!$U$10</f>
        <v>77.120999999999995</v>
      </c>
      <c r="J13" s="17"/>
      <c r="L13" s="30">
        <f>('TE BE'!$L$13+'TE BF'!$L$13+'TE CVA'!$L$13)*(1 - 0.4)</f>
        <v>0</v>
      </c>
      <c r="M13" s="30">
        <f>('TE BE'!$M$13+'TE BF'!$M$13+'TE CVA'!$M$13)*(1 - 0.4)</f>
        <v>0</v>
      </c>
      <c r="N13" s="30">
        <f>('TE BE'!$N$13+'TE BF'!$N$13+'TE CVA'!$N$13)*(1 - 0.4)</f>
        <v>0</v>
      </c>
      <c r="O13" s="30">
        <f>('TE BE'!$O$13+'TE BF'!$O$13+'TE CVA'!$O$13)*(1 - 0.4)</f>
        <v>0</v>
      </c>
      <c r="P13" s="30">
        <f>('TE BE'!$Q$13+'TE BF'!$Q$13+'TE CVA'!$Q$13)*(1 - 0.4)</f>
        <v>198.4385178937107</v>
      </c>
      <c r="Q13" s="30">
        <f>('TE BE'!$S$13+'TE BF'!$S$13+'TE CVA'!$S$13)*(1 - 0.4)</f>
        <v>0</v>
      </c>
      <c r="R13" s="30">
        <f>('TE BE'!$T$13+'TE BF'!$T$13+'TE CVA'!$T$13)*(1 - 0.4)</f>
        <v>0</v>
      </c>
      <c r="S13" s="30">
        <f>('TE BE'!$U$13+'TE BF'!$U$13+'TE CVA'!$U$13)*(1 - 0.4)</f>
        <v>0</v>
      </c>
      <c r="T13" s="30">
        <f>('TE BE'!$W$13+'TE BF'!$W$13+'TE CVA'!$W$13)*(1 - 0.4)</f>
        <v>0</v>
      </c>
      <c r="U13" s="30">
        <f>('TE BE'!$Y$13+'TE BF'!$Y$13+'TE CVA'!$Y$13)*(1 - 0.4)</f>
        <v>0</v>
      </c>
      <c r="W13" s="30">
        <v>0</v>
      </c>
      <c r="X13" s="30">
        <v>0</v>
      </c>
      <c r="Y13" s="30">
        <v>0</v>
      </c>
      <c r="Z13" s="30">
        <v>0</v>
      </c>
      <c r="AA13" s="30">
        <v>143.10642925481801</v>
      </c>
      <c r="AB13" s="30">
        <v>0</v>
      </c>
      <c r="AC13" s="30">
        <v>0</v>
      </c>
      <c r="AD13" s="30">
        <v>0</v>
      </c>
      <c r="AE13" s="30">
        <v>1.0688649307368101</v>
      </c>
      <c r="AF13" s="30">
        <v>0</v>
      </c>
    </row>
    <row r="14" spans="1:32" ht="11.25" customHeight="1" x14ac:dyDescent="0.3">
      <c r="A14" s="131"/>
      <c r="B14" s="131"/>
      <c r="C14" s="131"/>
      <c r="D14" s="90" t="s">
        <v>31</v>
      </c>
      <c r="E14" s="90" t="s">
        <v>25</v>
      </c>
      <c r="F14" s="90" t="s">
        <v>25</v>
      </c>
      <c r="G14" s="32" t="s">
        <v>76</v>
      </c>
      <c r="H14" s="32" t="s">
        <v>72</v>
      </c>
      <c r="I14" s="32">
        <f>'MERCADO TE'!$U$11</f>
        <v>54.47</v>
      </c>
      <c r="J14" s="17"/>
      <c r="L14" s="30">
        <f>('TE BE'!$L$14+'TE BF'!$L$14+'TE CVA'!$L$14)*(1 - 0.1)</f>
        <v>0</v>
      </c>
      <c r="M14" s="30">
        <f>('TE BE'!$M$14+'TE BF'!$M$14+'TE CVA'!$M$14)*(1 - 0.1)</f>
        <v>0</v>
      </c>
      <c r="N14" s="30">
        <f>('TE BE'!$N$14+'TE BF'!$N$14+'TE CVA'!$N$14)*(1 - 0.1)</f>
        <v>0</v>
      </c>
      <c r="O14" s="30">
        <f>('TE BE'!$O$14+'TE BF'!$O$14+'TE CVA'!$O$14)*(1 - 0.1)</f>
        <v>0</v>
      </c>
      <c r="P14" s="30">
        <f>('TE BE'!$Q$14+'TE BF'!$Q$14+'TE CVA'!$Q$14)*(1 - 0.1)</f>
        <v>297.65777684056604</v>
      </c>
      <c r="Q14" s="30">
        <f>('TE BE'!$S$14+'TE BF'!$S$14+'TE CVA'!$S$14)*(1 - 0.1)</f>
        <v>0</v>
      </c>
      <c r="R14" s="30">
        <f>('TE BE'!$T$14+'TE BF'!$T$14+'TE CVA'!$T$14)*(1 - 0.1)</f>
        <v>0</v>
      </c>
      <c r="S14" s="30">
        <f>('TE BE'!$U$14+'TE BF'!$U$14+'TE CVA'!$U$14)*(1 - 0.1)</f>
        <v>0</v>
      </c>
      <c r="T14" s="30">
        <f>('TE BE'!$W$14+'TE BF'!$W$14+'TE CVA'!$W$14)*(1 - 0.1)</f>
        <v>0</v>
      </c>
      <c r="U14" s="30">
        <f>('TE BE'!$Y$14+'TE BF'!$Y$14+'TE CVA'!$Y$14)*(1 - 0.1)</f>
        <v>0</v>
      </c>
      <c r="W14" s="30">
        <v>0</v>
      </c>
      <c r="X14" s="30">
        <v>0</v>
      </c>
      <c r="Y14" s="30">
        <v>0</v>
      </c>
      <c r="Z14" s="30">
        <v>0</v>
      </c>
      <c r="AA14" s="30">
        <v>214.65964388222699</v>
      </c>
      <c r="AB14" s="30">
        <v>0</v>
      </c>
      <c r="AC14" s="30">
        <v>0</v>
      </c>
      <c r="AD14" s="30">
        <v>0</v>
      </c>
      <c r="AE14" s="30">
        <v>1.6032973961052199</v>
      </c>
      <c r="AF14" s="30">
        <v>0</v>
      </c>
    </row>
    <row r="15" spans="1:32" ht="11.25" customHeight="1" x14ac:dyDescent="0.3">
      <c r="A15" s="131"/>
      <c r="B15" s="131"/>
      <c r="C15" s="131"/>
      <c r="D15" s="90" t="s">
        <v>32</v>
      </c>
      <c r="E15" s="90" t="s">
        <v>25</v>
      </c>
      <c r="F15" s="90" t="s">
        <v>25</v>
      </c>
      <c r="G15" s="32" t="s">
        <v>76</v>
      </c>
      <c r="H15" s="32" t="s">
        <v>72</v>
      </c>
      <c r="I15" s="32">
        <f>'MERCADO TE'!$U$12</f>
        <v>9.1170000000000009</v>
      </c>
      <c r="J15" s="17"/>
      <c r="L15" s="30">
        <f>('TE BE'!$L$15+'TE BF'!$L$15+'TE CVA'!$L$15)*1</f>
        <v>0</v>
      </c>
      <c r="M15" s="30">
        <f>('TE BE'!$M$15+'TE BF'!$M$15+'TE CVA'!$M$15)*1</f>
        <v>0</v>
      </c>
      <c r="N15" s="30">
        <f>('TE BE'!$N$15+'TE BF'!$N$15+'TE CVA'!$N$15)*1</f>
        <v>0</v>
      </c>
      <c r="O15" s="30">
        <f>('TE BE'!$O$15+'TE BF'!$O$15+'TE CVA'!$O$15)*1</f>
        <v>0</v>
      </c>
      <c r="P15" s="30">
        <f>('TE BE'!$Q$15+'TE BF'!$Q$15+'TE CVA'!$Q$15)*1</f>
        <v>330.73086315618451</v>
      </c>
      <c r="Q15" s="30">
        <f>('TE BE'!$S$15+'TE BF'!$S$15+'TE CVA'!$S$15)*1</f>
        <v>0</v>
      </c>
      <c r="R15" s="30">
        <f>('TE BE'!$T$15+'TE BF'!$T$15+'TE CVA'!$T$15)*1</f>
        <v>0</v>
      </c>
      <c r="S15" s="30">
        <f>('TE BE'!$U$15+'TE BF'!$U$15+'TE CVA'!$U$15)*1</f>
        <v>0</v>
      </c>
      <c r="T15" s="30">
        <f>('TE BE'!$W$15+'TE BF'!$W$15+'TE CVA'!$W$15)*1</f>
        <v>0</v>
      </c>
      <c r="U15" s="30">
        <f>('TE BE'!$Y$15+'TE BF'!$Y$15+'TE CVA'!$Y$15)*1</f>
        <v>0</v>
      </c>
      <c r="W15" s="30">
        <v>0</v>
      </c>
      <c r="X15" s="30">
        <v>0</v>
      </c>
      <c r="Y15" s="30">
        <v>0</v>
      </c>
      <c r="Z15" s="30">
        <v>0</v>
      </c>
      <c r="AA15" s="30">
        <v>238.510715424697</v>
      </c>
      <c r="AB15" s="30">
        <v>0</v>
      </c>
      <c r="AC15" s="30">
        <v>0</v>
      </c>
      <c r="AD15" s="30">
        <v>0</v>
      </c>
      <c r="AE15" s="30">
        <v>1.7814415512280199</v>
      </c>
      <c r="AF15" s="30">
        <v>0</v>
      </c>
    </row>
    <row r="16" spans="1:32" ht="11.25" customHeight="1" x14ac:dyDescent="0.3">
      <c r="A16" s="131"/>
      <c r="B16" s="131" t="s">
        <v>86</v>
      </c>
      <c r="C16" s="131" t="s">
        <v>24</v>
      </c>
      <c r="D16" s="90" t="s">
        <v>24</v>
      </c>
      <c r="E16" s="90" t="s">
        <v>25</v>
      </c>
      <c r="F16" s="90" t="s">
        <v>25</v>
      </c>
      <c r="G16" s="32" t="s">
        <v>76</v>
      </c>
      <c r="H16" s="32" t="s">
        <v>72</v>
      </c>
      <c r="I16" s="32">
        <f>'MERCADO TE'!$U$13</f>
        <v>0</v>
      </c>
      <c r="J16" s="17"/>
      <c r="L16" s="30">
        <f>('TE BE'!$L$16+'TE BF'!$L$16+'TE CVA'!$L$16)*1</f>
        <v>0</v>
      </c>
      <c r="M16" s="30">
        <f>('TE BE'!$M$16+'TE BF'!$M$16+'TE CVA'!$M$16)*1</f>
        <v>0</v>
      </c>
      <c r="N16" s="30">
        <f>('TE BE'!$N$16+'TE BF'!$N$16+'TE CVA'!$N$16)*1</f>
        <v>0</v>
      </c>
      <c r="O16" s="30">
        <f>('TE BE'!$O$16+'TE BF'!$O$16+'TE CVA'!$O$16)*1</f>
        <v>0</v>
      </c>
      <c r="P16" s="30">
        <f>('TE BE'!$Q$16+'TE BF'!$Q$16+'TE CVA'!$Q$16)*1</f>
        <v>330.73086315618451</v>
      </c>
      <c r="Q16" s="30">
        <f>('TE BE'!$S$16+'TE BF'!$S$16+'TE CVA'!$S$16)*1</f>
        <v>0</v>
      </c>
      <c r="R16" s="30">
        <f>('TE BE'!$T$16+'TE BF'!$T$16+'TE CVA'!$T$16)*1</f>
        <v>0</v>
      </c>
      <c r="S16" s="30">
        <f>('TE BE'!$U$16+'TE BF'!$U$16+'TE CVA'!$U$16)*1</f>
        <v>0</v>
      </c>
      <c r="T16" s="30">
        <f>('TE BE'!$W$16+'TE BF'!$W$16+'TE CVA'!$W$16)*1</f>
        <v>0</v>
      </c>
      <c r="U16" s="30">
        <f>('TE BE'!$Y$16+'TE BF'!$Y$16+'TE CVA'!$Y$16)*1</f>
        <v>0</v>
      </c>
      <c r="W16" s="30">
        <v>0</v>
      </c>
      <c r="X16" s="30">
        <v>0</v>
      </c>
      <c r="Y16" s="30">
        <v>0</v>
      </c>
      <c r="Z16" s="30">
        <v>0</v>
      </c>
      <c r="AA16" s="30">
        <v>238.510715424697</v>
      </c>
      <c r="AB16" s="30">
        <v>0</v>
      </c>
      <c r="AC16" s="30">
        <v>0</v>
      </c>
      <c r="AD16" s="30">
        <v>0</v>
      </c>
      <c r="AE16" s="30">
        <v>1.7814415512280199</v>
      </c>
      <c r="AF16" s="30">
        <v>0</v>
      </c>
    </row>
    <row r="17" spans="1:32" ht="11.25" customHeight="1" x14ac:dyDescent="0.3">
      <c r="A17" s="131"/>
      <c r="B17" s="131"/>
      <c r="C17" s="131"/>
      <c r="D17" s="90" t="s">
        <v>29</v>
      </c>
      <c r="E17" s="90" t="s">
        <v>25</v>
      </c>
      <c r="F17" s="90" t="s">
        <v>25</v>
      </c>
      <c r="G17" s="32" t="s">
        <v>76</v>
      </c>
      <c r="H17" s="32" t="s">
        <v>72</v>
      </c>
      <c r="I17" s="32">
        <f>'MERCADO TE'!$U$14</f>
        <v>0</v>
      </c>
      <c r="J17" s="17"/>
      <c r="L17" s="30">
        <f>('TE BE'!$L$17+'TE BF'!$L$17+'TE CVA'!$L$17)*(1 - 0.65)</f>
        <v>0</v>
      </c>
      <c r="M17" s="30">
        <f>('TE BE'!$M$17+'TE BF'!$M$17+'TE CVA'!$M$17)*(1 - 0.65)</f>
        <v>0</v>
      </c>
      <c r="N17" s="30">
        <f>('TE BE'!$N$17+'TE BF'!$N$17+'TE CVA'!$N$17)*(1 - 0.65)</f>
        <v>0</v>
      </c>
      <c r="O17" s="30">
        <f>('TE BE'!$O$17+'TE BF'!$O$17+'TE CVA'!$O$17)*(1 - 0.65)</f>
        <v>0</v>
      </c>
      <c r="P17" s="30">
        <f>('TE BE'!$Q$17+'TE BF'!$Q$17+'TE CVA'!$Q$17)*(1 - 0.65)</f>
        <v>115.75580210466457</v>
      </c>
      <c r="Q17" s="30">
        <f>('TE BE'!$S$17+'TE BF'!$S$17+'TE CVA'!$S$17)*(1 - 0.65)</f>
        <v>0</v>
      </c>
      <c r="R17" s="30">
        <f>('TE BE'!$T$17+'TE BF'!$T$17+'TE CVA'!$T$17)*(1 - 0.65)</f>
        <v>0</v>
      </c>
      <c r="S17" s="30">
        <f>('TE BE'!$U$17+'TE BF'!$U$17+'TE CVA'!$U$17)*(1 - 0.65)</f>
        <v>0</v>
      </c>
      <c r="T17" s="30">
        <f>('TE BE'!$W$17+'TE BF'!$W$17+'TE CVA'!$W$17)*(1 - 0.65)</f>
        <v>0</v>
      </c>
      <c r="U17" s="30">
        <f>('TE BE'!$Y$17+'TE BF'!$Y$17+'TE CVA'!$Y$17)*(1 - 0.65)</f>
        <v>0</v>
      </c>
      <c r="W17" s="30">
        <v>0</v>
      </c>
      <c r="X17" s="30">
        <v>0</v>
      </c>
      <c r="Y17" s="30">
        <v>0</v>
      </c>
      <c r="Z17" s="30">
        <v>0</v>
      </c>
      <c r="AA17" s="30">
        <v>83.478750398643797</v>
      </c>
      <c r="AB17" s="30">
        <v>0</v>
      </c>
      <c r="AC17" s="30">
        <v>0</v>
      </c>
      <c r="AD17" s="30">
        <v>0</v>
      </c>
      <c r="AE17" s="30">
        <v>0.62350454292980695</v>
      </c>
      <c r="AF17" s="30">
        <v>0</v>
      </c>
    </row>
    <row r="18" spans="1:32" ht="11.25" customHeight="1" x14ac:dyDescent="0.3">
      <c r="A18" s="131"/>
      <c r="B18" s="131"/>
      <c r="C18" s="131"/>
      <c r="D18" s="90" t="s">
        <v>30</v>
      </c>
      <c r="E18" s="90" t="s">
        <v>25</v>
      </c>
      <c r="F18" s="90" t="s">
        <v>25</v>
      </c>
      <c r="G18" s="32" t="s">
        <v>76</v>
      </c>
      <c r="H18" s="32" t="s">
        <v>72</v>
      </c>
      <c r="I18" s="32">
        <f>'MERCADO TE'!$U$15</f>
        <v>0</v>
      </c>
      <c r="J18" s="17"/>
      <c r="L18" s="30">
        <f>('TE BE'!$L$18+'TE BF'!$L$18+'TE CVA'!$L$18)*(1 - 0.4)</f>
        <v>0</v>
      </c>
      <c r="M18" s="30">
        <f>('TE BE'!$M$18+'TE BF'!$M$18+'TE CVA'!$M$18)*(1 - 0.4)</f>
        <v>0</v>
      </c>
      <c r="N18" s="30">
        <f>('TE BE'!$N$18+'TE BF'!$N$18+'TE CVA'!$N$18)*(1 - 0.4)</f>
        <v>0</v>
      </c>
      <c r="O18" s="30">
        <f>('TE BE'!$O$18+'TE BF'!$O$18+'TE CVA'!$O$18)*(1 - 0.4)</f>
        <v>0</v>
      </c>
      <c r="P18" s="30">
        <f>('TE BE'!$Q$18+'TE BF'!$Q$18+'TE CVA'!$Q$18)*(1 - 0.4)</f>
        <v>198.4385178937107</v>
      </c>
      <c r="Q18" s="30">
        <f>('TE BE'!$S$18+'TE BF'!$S$18+'TE CVA'!$S$18)*(1 - 0.4)</f>
        <v>0</v>
      </c>
      <c r="R18" s="30">
        <f>('TE BE'!$T$18+'TE BF'!$T$18+'TE CVA'!$T$18)*(1 - 0.4)</f>
        <v>0</v>
      </c>
      <c r="S18" s="30">
        <f>('TE BE'!$U$18+'TE BF'!$U$18+'TE CVA'!$U$18)*(1 - 0.4)</f>
        <v>0</v>
      </c>
      <c r="T18" s="30">
        <f>('TE BE'!$W$18+'TE BF'!$W$18+'TE CVA'!$W$18)*(1 - 0.4)</f>
        <v>0</v>
      </c>
      <c r="U18" s="30">
        <f>('TE BE'!$Y$18+'TE BF'!$Y$18+'TE CVA'!$Y$18)*(1 - 0.4)</f>
        <v>0</v>
      </c>
      <c r="W18" s="30">
        <v>0</v>
      </c>
      <c r="X18" s="30">
        <v>0</v>
      </c>
      <c r="Y18" s="30">
        <v>0</v>
      </c>
      <c r="Z18" s="30">
        <v>0</v>
      </c>
      <c r="AA18" s="30">
        <v>143.10642925481801</v>
      </c>
      <c r="AB18" s="30">
        <v>0</v>
      </c>
      <c r="AC18" s="30">
        <v>0</v>
      </c>
      <c r="AD18" s="30">
        <v>0</v>
      </c>
      <c r="AE18" s="30">
        <v>1.0688649307368101</v>
      </c>
      <c r="AF18" s="30">
        <v>0</v>
      </c>
    </row>
    <row r="19" spans="1:32" ht="11.25" customHeight="1" x14ac:dyDescent="0.3">
      <c r="A19" s="131"/>
      <c r="B19" s="131"/>
      <c r="C19" s="131"/>
      <c r="D19" s="90" t="s">
        <v>31</v>
      </c>
      <c r="E19" s="90" t="s">
        <v>25</v>
      </c>
      <c r="F19" s="90" t="s">
        <v>25</v>
      </c>
      <c r="G19" s="32" t="s">
        <v>76</v>
      </c>
      <c r="H19" s="32" t="s">
        <v>72</v>
      </c>
      <c r="I19" s="32">
        <f>'MERCADO TE'!$U$16</f>
        <v>0</v>
      </c>
      <c r="J19" s="17"/>
      <c r="L19" s="30">
        <f>('TE BE'!$L$19+'TE BF'!$L$19+'TE CVA'!$L$19)*(1 - 0.1)</f>
        <v>0</v>
      </c>
      <c r="M19" s="30">
        <f>('TE BE'!$M$19+'TE BF'!$M$19+'TE CVA'!$M$19)*(1 - 0.1)</f>
        <v>0</v>
      </c>
      <c r="N19" s="30">
        <f>('TE BE'!$N$19+'TE BF'!$N$19+'TE CVA'!$N$19)*(1 - 0.1)</f>
        <v>0</v>
      </c>
      <c r="O19" s="30">
        <f>('TE BE'!$O$19+'TE BF'!$O$19+'TE CVA'!$O$19)*(1 - 0.1)</f>
        <v>0</v>
      </c>
      <c r="P19" s="30">
        <f>('TE BE'!$Q$19+'TE BF'!$Q$19+'TE CVA'!$Q$19)*(1 - 0.1)</f>
        <v>297.65777684056604</v>
      </c>
      <c r="Q19" s="30">
        <f>('TE BE'!$S$19+'TE BF'!$S$19+'TE CVA'!$S$19)*(1 - 0.1)</f>
        <v>0</v>
      </c>
      <c r="R19" s="30">
        <f>('TE BE'!$T$19+'TE BF'!$T$19+'TE CVA'!$T$19)*(1 - 0.1)</f>
        <v>0</v>
      </c>
      <c r="S19" s="30">
        <f>('TE BE'!$U$19+'TE BF'!$U$19+'TE CVA'!$U$19)*(1 - 0.1)</f>
        <v>0</v>
      </c>
      <c r="T19" s="30">
        <f>('TE BE'!$W$19+'TE BF'!$W$19+'TE CVA'!$W$19)*(1 - 0.1)</f>
        <v>0</v>
      </c>
      <c r="U19" s="30">
        <f>('TE BE'!$Y$19+'TE BF'!$Y$19+'TE CVA'!$Y$19)*(1 - 0.1)</f>
        <v>0</v>
      </c>
      <c r="W19" s="30">
        <v>0</v>
      </c>
      <c r="X19" s="30">
        <v>0</v>
      </c>
      <c r="Y19" s="30">
        <v>0</v>
      </c>
      <c r="Z19" s="30">
        <v>0</v>
      </c>
      <c r="AA19" s="30">
        <v>214.65964388222699</v>
      </c>
      <c r="AB19" s="30">
        <v>0</v>
      </c>
      <c r="AC19" s="30">
        <v>0</v>
      </c>
      <c r="AD19" s="30">
        <v>0</v>
      </c>
      <c r="AE19" s="30">
        <v>1.6032973961052199</v>
      </c>
      <c r="AF19" s="30">
        <v>0</v>
      </c>
    </row>
    <row r="20" spans="1:32" ht="11.25" customHeight="1" x14ac:dyDescent="0.3">
      <c r="A20" s="131"/>
      <c r="B20" s="131"/>
      <c r="C20" s="131"/>
      <c r="D20" s="90" t="s">
        <v>32</v>
      </c>
      <c r="E20" s="90" t="s">
        <v>25</v>
      </c>
      <c r="F20" s="90" t="s">
        <v>25</v>
      </c>
      <c r="G20" s="32" t="s">
        <v>76</v>
      </c>
      <c r="H20" s="32" t="s">
        <v>72</v>
      </c>
      <c r="I20" s="32">
        <f>'MERCADO TE'!$U$17</f>
        <v>0</v>
      </c>
      <c r="J20" s="17"/>
      <c r="L20" s="30">
        <f>('TE BE'!$L$20+'TE BF'!$L$20+'TE CVA'!$L$20)*1</f>
        <v>0</v>
      </c>
      <c r="M20" s="30">
        <f>('TE BE'!$M$20+'TE BF'!$M$20+'TE CVA'!$M$20)*1</f>
        <v>0</v>
      </c>
      <c r="N20" s="30">
        <f>('TE BE'!$N$20+'TE BF'!$N$20+'TE CVA'!$N$20)*1</f>
        <v>0</v>
      </c>
      <c r="O20" s="30">
        <f>('TE BE'!$O$20+'TE BF'!$O$20+'TE CVA'!$O$20)*1</f>
        <v>0</v>
      </c>
      <c r="P20" s="30">
        <f>('TE BE'!$Q$20+'TE BF'!$Q$20+'TE CVA'!$Q$20)*1</f>
        <v>330.73086315618451</v>
      </c>
      <c r="Q20" s="30">
        <f>('TE BE'!$S$20+'TE BF'!$S$20+'TE CVA'!$S$20)*1</f>
        <v>0</v>
      </c>
      <c r="R20" s="30">
        <f>('TE BE'!$T$20+'TE BF'!$T$20+'TE CVA'!$T$20)*1</f>
        <v>0</v>
      </c>
      <c r="S20" s="30">
        <f>('TE BE'!$U$20+'TE BF'!$U$20+'TE CVA'!$U$20)*1</f>
        <v>0</v>
      </c>
      <c r="T20" s="30">
        <f>('TE BE'!$W$20+'TE BF'!$W$20+'TE CVA'!$W$20)*1</f>
        <v>0</v>
      </c>
      <c r="U20" s="30">
        <f>('TE BE'!$Y$20+'TE BF'!$Y$20+'TE CVA'!$Y$20)*1</f>
        <v>0</v>
      </c>
      <c r="W20" s="30">
        <v>0</v>
      </c>
      <c r="X20" s="30">
        <v>0</v>
      </c>
      <c r="Y20" s="30">
        <v>0</v>
      </c>
      <c r="Z20" s="30">
        <v>0</v>
      </c>
      <c r="AA20" s="30">
        <v>238.510715424697</v>
      </c>
      <c r="AB20" s="30">
        <v>0</v>
      </c>
      <c r="AC20" s="30">
        <v>0</v>
      </c>
      <c r="AD20" s="30">
        <v>0</v>
      </c>
      <c r="AE20" s="30">
        <v>1.7814415512280199</v>
      </c>
      <c r="AF20" s="30">
        <v>0</v>
      </c>
    </row>
    <row r="21" spans="1:32" ht="11.25" customHeight="1" x14ac:dyDescent="0.3">
      <c r="A21" s="131" t="s">
        <v>43</v>
      </c>
      <c r="B21" s="131" t="s">
        <v>71</v>
      </c>
      <c r="C21" s="131" t="s">
        <v>44</v>
      </c>
      <c r="D21" s="131" t="s">
        <v>25</v>
      </c>
      <c r="E21" s="131" t="s">
        <v>25</v>
      </c>
      <c r="F21" s="131" t="s">
        <v>25</v>
      </c>
      <c r="G21" s="32" t="s">
        <v>73</v>
      </c>
      <c r="H21" s="32" t="s">
        <v>72</v>
      </c>
      <c r="I21" s="32">
        <f>'MERCADO TE'!$U$18</f>
        <v>0</v>
      </c>
      <c r="J21" s="17"/>
      <c r="L21" s="30">
        <f>('TE BE'!$L$21+'TE BF'!$L$21+'TE CVA'!$L$21)*(1 - CUSTOS!$M$38)</f>
        <v>0</v>
      </c>
      <c r="M21" s="30">
        <f>('TE BE'!$M$21+'TE BF'!$M$21+'TE CVA'!$M$21)*(1 - CUSTOS!$M$38)</f>
        <v>0</v>
      </c>
      <c r="N21" s="30">
        <f>('TE BE'!$N$21+'TE BF'!$N$21+'TE CVA'!$N$21)*(1 - CUSTOS!$M$38)</f>
        <v>0</v>
      </c>
      <c r="O21" s="30">
        <f>('TE BE'!$O$21+'TE BF'!$O$21+'TE CVA'!$O$21)*(1 - CUSTOS!$M$38)</f>
        <v>0</v>
      </c>
      <c r="P21" s="30">
        <f>('TE BE'!$Q$21+'TE BF'!$Q$21+'TE CVA'!$Q$21)*(1 - CUSTOS!$M$38)</f>
        <v>310.8870113668134</v>
      </c>
      <c r="Q21" s="30">
        <f>('TE BE'!$S$21+'TE BF'!$S$21+'TE CVA'!$S$21)*(1 - CUSTOS!$M$38)</f>
        <v>0</v>
      </c>
      <c r="R21" s="30">
        <f>('TE BE'!$T$21+'TE BF'!$T$21+'TE CVA'!$T$21)*(1 - CUSTOS!$M$38)</f>
        <v>0</v>
      </c>
      <c r="S21" s="30">
        <f>('TE BE'!$U$21+'TE BF'!$U$21+'TE CVA'!$U$21)*(1 - CUSTOS!$M$38)</f>
        <v>0</v>
      </c>
      <c r="T21" s="30">
        <f>('TE BE'!$W$21+'TE BF'!$W$21+'TE CVA'!$W$21)*(1 - CUSTOS!$M$38)</f>
        <v>0</v>
      </c>
      <c r="U21" s="30">
        <f>('TE BE'!$Y$21+'TE BF'!$Y$21+'TE CVA'!$Y$21)*(1 - CUSTOS!$M$38)</f>
        <v>0</v>
      </c>
      <c r="W21" s="30">
        <v>0</v>
      </c>
      <c r="X21" s="30">
        <v>0</v>
      </c>
      <c r="Y21" s="30">
        <v>0</v>
      </c>
      <c r="Z21" s="30">
        <v>0</v>
      </c>
      <c r="AA21" s="30">
        <v>209.889429573733</v>
      </c>
      <c r="AB21" s="30">
        <v>0</v>
      </c>
      <c r="AC21" s="30">
        <v>0</v>
      </c>
      <c r="AD21" s="30">
        <v>0</v>
      </c>
      <c r="AE21" s="30">
        <v>1.5676685650806601</v>
      </c>
      <c r="AF21" s="30">
        <v>0</v>
      </c>
    </row>
    <row r="22" spans="1:32" ht="11.25" customHeight="1" x14ac:dyDescent="0.3">
      <c r="A22" s="131"/>
      <c r="B22" s="131"/>
      <c r="C22" s="131"/>
      <c r="D22" s="131"/>
      <c r="E22" s="131"/>
      <c r="F22" s="131"/>
      <c r="G22" s="32" t="s">
        <v>85</v>
      </c>
      <c r="H22" s="32" t="s">
        <v>72</v>
      </c>
      <c r="I22" s="32">
        <f>'MERCADO TE'!$U$19</f>
        <v>0</v>
      </c>
      <c r="J22" s="17"/>
      <c r="L22" s="30">
        <f>('TE BE'!$L$22+'TE BF'!$L$22+'TE CVA'!$L$22)*(1 - CUSTOS!$M$38)</f>
        <v>0</v>
      </c>
      <c r="M22" s="30">
        <f>('TE BE'!$M$22+'TE BF'!$M$22+'TE CVA'!$M$22)*(1 - CUSTOS!$M$38)</f>
        <v>0</v>
      </c>
      <c r="N22" s="30">
        <f>('TE BE'!$N$22+'TE BF'!$N$22+'TE CVA'!$N$22)*(1 - CUSTOS!$M$38)</f>
        <v>0</v>
      </c>
      <c r="O22" s="30">
        <f>('TE BE'!$O$22+'TE BF'!$O$22+'TE CVA'!$O$22)*(1 - CUSTOS!$M$38)</f>
        <v>0</v>
      </c>
      <c r="P22" s="30">
        <f>('TE BE'!$Q$22+'TE BF'!$Q$22+'TE CVA'!$Q$22)*(1 - CUSTOS!$M$38)</f>
        <v>310.8870113668134</v>
      </c>
      <c r="Q22" s="30">
        <f>('TE BE'!$S$22+'TE BF'!$S$22+'TE CVA'!$S$22)*(1 - CUSTOS!$M$38)</f>
        <v>0</v>
      </c>
      <c r="R22" s="30">
        <f>('TE BE'!$T$22+'TE BF'!$T$22+'TE CVA'!$T$22)*(1 - CUSTOS!$M$38)</f>
        <v>0</v>
      </c>
      <c r="S22" s="30">
        <f>('TE BE'!$U$22+'TE BF'!$U$22+'TE CVA'!$U$22)*(1 - CUSTOS!$M$38)</f>
        <v>0</v>
      </c>
      <c r="T22" s="30">
        <f>('TE BE'!$W$22+'TE BF'!$W$22+'TE CVA'!$W$22)*(1 - CUSTOS!$M$38)</f>
        <v>0</v>
      </c>
      <c r="U22" s="30">
        <f>('TE BE'!$Y$22+'TE BF'!$Y$22+'TE CVA'!$Y$22)*(1 - CUSTOS!$M$38)</f>
        <v>0</v>
      </c>
      <c r="W22" s="30">
        <v>0</v>
      </c>
      <c r="X22" s="30">
        <v>0</v>
      </c>
      <c r="Y22" s="30">
        <v>0</v>
      </c>
      <c r="Z22" s="30">
        <v>0</v>
      </c>
      <c r="AA22" s="30">
        <v>209.889429573733</v>
      </c>
      <c r="AB22" s="30">
        <v>0</v>
      </c>
      <c r="AC22" s="30">
        <v>0</v>
      </c>
      <c r="AD22" s="30">
        <v>0</v>
      </c>
      <c r="AE22" s="30">
        <v>1.5676685650806601</v>
      </c>
      <c r="AF22" s="30">
        <v>0</v>
      </c>
    </row>
    <row r="23" spans="1:32" ht="11.25" customHeight="1" x14ac:dyDescent="0.3">
      <c r="A23" s="131"/>
      <c r="B23" s="131"/>
      <c r="C23" s="131"/>
      <c r="D23" s="131"/>
      <c r="E23" s="131"/>
      <c r="F23" s="131"/>
      <c r="G23" s="32" t="s">
        <v>74</v>
      </c>
      <c r="H23" s="32" t="s">
        <v>72</v>
      </c>
      <c r="I23" s="32">
        <f>'MERCADO TE'!$U$20</f>
        <v>0</v>
      </c>
      <c r="J23" s="17"/>
      <c r="L23" s="30">
        <f>('TE BE'!$L$23+'TE BF'!$L$23+'TE CVA'!$L$23)*(1 - CUSTOS!$M$38)</f>
        <v>0</v>
      </c>
      <c r="M23" s="30">
        <f>('TE BE'!$M$23+'TE BF'!$M$23+'TE CVA'!$M$23)*(1 - CUSTOS!$M$38)</f>
        <v>0</v>
      </c>
      <c r="N23" s="30">
        <f>('TE BE'!$N$23+'TE BF'!$N$23+'TE CVA'!$N$23)*(1 - CUSTOS!$M$38)</f>
        <v>0</v>
      </c>
      <c r="O23" s="30">
        <f>('TE BE'!$O$23+'TE BF'!$O$23+'TE CVA'!$O$23)*(1 - CUSTOS!$M$38)</f>
        <v>0</v>
      </c>
      <c r="P23" s="30">
        <f>('TE BE'!$Q$23+'TE BF'!$Q$23+'TE CVA'!$Q$23)*(1 - CUSTOS!$M$38)</f>
        <v>310.8870113668134</v>
      </c>
      <c r="Q23" s="30">
        <f>('TE BE'!$S$23+'TE BF'!$S$23+'TE CVA'!$S$23)*(1 - CUSTOS!$M$38)</f>
        <v>0</v>
      </c>
      <c r="R23" s="30">
        <f>('TE BE'!$T$23+'TE BF'!$T$23+'TE CVA'!$T$23)*(1 - CUSTOS!$M$38)</f>
        <v>0</v>
      </c>
      <c r="S23" s="30">
        <f>('TE BE'!$U$23+'TE BF'!$U$23+'TE CVA'!$U$23)*(1 - CUSTOS!$M$38)</f>
        <v>0</v>
      </c>
      <c r="T23" s="30">
        <f>('TE BE'!$W$23+'TE BF'!$W$23+'TE CVA'!$W$23)*(1 - CUSTOS!$M$38)</f>
        <v>0</v>
      </c>
      <c r="U23" s="30">
        <f>('TE BE'!$Y$23+'TE BF'!$Y$23+'TE CVA'!$Y$23)*(1 - CUSTOS!$M$38)</f>
        <v>0</v>
      </c>
      <c r="W23" s="30">
        <v>0</v>
      </c>
      <c r="X23" s="30">
        <v>0</v>
      </c>
      <c r="Y23" s="30">
        <v>0</v>
      </c>
      <c r="Z23" s="30">
        <v>0</v>
      </c>
      <c r="AA23" s="30">
        <v>209.889429573733</v>
      </c>
      <c r="AB23" s="30">
        <v>0</v>
      </c>
      <c r="AC23" s="30">
        <v>0</v>
      </c>
      <c r="AD23" s="30">
        <v>0</v>
      </c>
      <c r="AE23" s="30">
        <v>1.5676685650806601</v>
      </c>
      <c r="AF23" s="30">
        <v>0</v>
      </c>
    </row>
    <row r="24" spans="1:32" ht="11.25" customHeight="1" x14ac:dyDescent="0.3">
      <c r="A24" s="131"/>
      <c r="B24" s="90" t="s">
        <v>75</v>
      </c>
      <c r="C24" s="90" t="s">
        <v>44</v>
      </c>
      <c r="D24" s="90" t="s">
        <v>25</v>
      </c>
      <c r="E24" s="90" t="s">
        <v>25</v>
      </c>
      <c r="F24" s="90" t="s">
        <v>25</v>
      </c>
      <c r="G24" s="32" t="s">
        <v>76</v>
      </c>
      <c r="H24" s="32" t="s">
        <v>72</v>
      </c>
      <c r="I24" s="32">
        <f>'MERCADO TE'!$U$21</f>
        <v>600.24900000000002</v>
      </c>
      <c r="J24" s="17"/>
      <c r="L24" s="30">
        <f>('TE BE'!$L$24+'TE BF'!$L$24+'TE CVA'!$L$24)*(1 - CUSTOS!$M$38)</f>
        <v>0</v>
      </c>
      <c r="M24" s="30">
        <f>('TE BE'!$M$24+'TE BF'!$M$24+'TE CVA'!$M$24)*(1 - CUSTOS!$M$38)</f>
        <v>0</v>
      </c>
      <c r="N24" s="30">
        <f>('TE BE'!$N$24+'TE BF'!$N$24+'TE CVA'!$N$24)*(1 - CUSTOS!$M$38)</f>
        <v>0</v>
      </c>
      <c r="O24" s="30">
        <f>('TE BE'!$O$24+'TE BF'!$O$24+'TE CVA'!$O$24)*(1 - CUSTOS!$M$38)</f>
        <v>0</v>
      </c>
      <c r="P24" s="30">
        <f>('TE BE'!$Q$24+'TE BF'!$Q$24+'TE CVA'!$Q$24)*(1 - CUSTOS!$M$38)</f>
        <v>310.8870113668134</v>
      </c>
      <c r="Q24" s="30">
        <f>('TE BE'!$S$24+'TE BF'!$S$24+'TE CVA'!$S$24)*(1 - CUSTOS!$M$38)</f>
        <v>0</v>
      </c>
      <c r="R24" s="30">
        <f>('TE BE'!$T$24+'TE BF'!$T$24+'TE CVA'!$T$24)*(1 - CUSTOS!$M$38)</f>
        <v>0</v>
      </c>
      <c r="S24" s="30">
        <f>('TE BE'!$U$24+'TE BF'!$U$24+'TE CVA'!$U$24)*(1 - CUSTOS!$M$38)</f>
        <v>0</v>
      </c>
      <c r="T24" s="30">
        <f>('TE BE'!$W$24+'TE BF'!$W$24+'TE CVA'!$W$24)*(1 - CUSTOS!$M$38)</f>
        <v>0</v>
      </c>
      <c r="U24" s="30">
        <f>('TE BE'!$Y$24+'TE BF'!$Y$24+'TE CVA'!$Y$24)*(1 - CUSTOS!$M$38)</f>
        <v>0</v>
      </c>
      <c r="W24" s="30">
        <v>0</v>
      </c>
      <c r="X24" s="30">
        <v>0</v>
      </c>
      <c r="Y24" s="30">
        <v>0</v>
      </c>
      <c r="Z24" s="30">
        <v>0</v>
      </c>
      <c r="AA24" s="30">
        <v>209.889429573733</v>
      </c>
      <c r="AB24" s="30">
        <v>0</v>
      </c>
      <c r="AC24" s="30">
        <v>0</v>
      </c>
      <c r="AD24" s="30">
        <v>0</v>
      </c>
      <c r="AE24" s="30">
        <v>1.5676685650806601</v>
      </c>
      <c r="AF24" s="30">
        <v>0</v>
      </c>
    </row>
    <row r="25" spans="1:32" ht="11.25" customHeight="1" x14ac:dyDescent="0.3">
      <c r="A25" s="131"/>
      <c r="B25" s="131" t="s">
        <v>71</v>
      </c>
      <c r="C25" s="131" t="s">
        <v>44</v>
      </c>
      <c r="D25" s="131" t="s">
        <v>88</v>
      </c>
      <c r="E25" s="131" t="s">
        <v>25</v>
      </c>
      <c r="F25" s="131" t="s">
        <v>25</v>
      </c>
      <c r="G25" s="32" t="s">
        <v>73</v>
      </c>
      <c r="H25" s="32" t="s">
        <v>72</v>
      </c>
      <c r="I25" s="32">
        <f>'MERCADO TE'!$U$22</f>
        <v>0</v>
      </c>
      <c r="J25" s="17"/>
      <c r="L25" s="30">
        <f>('TE BE'!$L$25+'TE BF'!$L$25+'TE CVA'!$L$25)*(1 - CUSTOS!$M$39)</f>
        <v>0</v>
      </c>
      <c r="M25" s="30">
        <f>('TE BE'!$M$25+'TE BF'!$M$25+'TE CVA'!$M$25)*(1 - CUSTOS!$M$39)</f>
        <v>0</v>
      </c>
      <c r="N25" s="30">
        <f>('TE BE'!$N$25+'TE BF'!$N$25+'TE CVA'!$N$25)*(1 - CUSTOS!$M$39)</f>
        <v>0</v>
      </c>
      <c r="O25" s="30">
        <f>('TE BE'!$O$25+'TE BF'!$O$25+'TE CVA'!$O$25)*(1 - CUSTOS!$M$39)</f>
        <v>0</v>
      </c>
      <c r="P25" s="30">
        <f>('TE BE'!$Q$25+'TE BF'!$Q$25+'TE CVA'!$Q$25)*(1 - CUSTOS!$M$39)</f>
        <v>310.8870113668134</v>
      </c>
      <c r="Q25" s="30">
        <f>('TE BE'!$S$25+'TE BF'!$S$25+'TE CVA'!$S$25)*(1 - CUSTOS!$M$39)</f>
        <v>0</v>
      </c>
      <c r="R25" s="30">
        <f>('TE BE'!$T$25+'TE BF'!$T$25+'TE CVA'!$T$25)*(1 - CUSTOS!$M$39)</f>
        <v>0</v>
      </c>
      <c r="S25" s="30">
        <f>('TE BE'!$U$25+'TE BF'!$U$25+'TE CVA'!$U$25)*(1 - CUSTOS!$M$39)</f>
        <v>0</v>
      </c>
      <c r="T25" s="30">
        <f>('TE BE'!$W$25+'TE BF'!$W$25+'TE CVA'!$W$25)*(1 - CUSTOS!$M$39)</f>
        <v>0</v>
      </c>
      <c r="U25" s="30">
        <f>('TE BE'!$Y$25+'TE BF'!$Y$25+'TE CVA'!$Y$25)*(1 - CUSTOS!$M$39)</f>
        <v>0</v>
      </c>
      <c r="W25" s="30">
        <v>0</v>
      </c>
      <c r="X25" s="30">
        <v>0</v>
      </c>
      <c r="Y25" s="30">
        <v>0</v>
      </c>
      <c r="Z25" s="30">
        <v>0</v>
      </c>
      <c r="AA25" s="30">
        <v>209.889429573733</v>
      </c>
      <c r="AB25" s="30">
        <v>0</v>
      </c>
      <c r="AC25" s="30">
        <v>0</v>
      </c>
      <c r="AD25" s="30">
        <v>0</v>
      </c>
      <c r="AE25" s="30">
        <v>1.5676685650806601</v>
      </c>
      <c r="AF25" s="30">
        <v>0</v>
      </c>
    </row>
    <row r="26" spans="1:32" ht="11.25" customHeight="1" x14ac:dyDescent="0.3">
      <c r="A26" s="131"/>
      <c r="B26" s="131"/>
      <c r="C26" s="131"/>
      <c r="D26" s="131"/>
      <c r="E26" s="131"/>
      <c r="F26" s="131"/>
      <c r="G26" s="32" t="s">
        <v>85</v>
      </c>
      <c r="H26" s="32" t="s">
        <v>72</v>
      </c>
      <c r="I26" s="32">
        <f>'MERCADO TE'!$U$23</f>
        <v>0</v>
      </c>
      <c r="J26" s="17"/>
      <c r="L26" s="30">
        <f>('TE BE'!$L$26+'TE BF'!$L$26+'TE CVA'!$L$26)*(1 - CUSTOS!$M$39)</f>
        <v>0</v>
      </c>
      <c r="M26" s="30">
        <f>('TE BE'!$M$26+'TE BF'!$M$26+'TE CVA'!$M$26)*(1 - CUSTOS!$M$39)</f>
        <v>0</v>
      </c>
      <c r="N26" s="30">
        <f>('TE BE'!$N$26+'TE BF'!$N$26+'TE CVA'!$N$26)*(1 - CUSTOS!$M$39)</f>
        <v>0</v>
      </c>
      <c r="O26" s="30">
        <f>('TE BE'!$O$26+'TE BF'!$O$26+'TE CVA'!$O$26)*(1 - CUSTOS!$M$39)</f>
        <v>0</v>
      </c>
      <c r="P26" s="30">
        <f>('TE BE'!$Q$26+'TE BF'!$Q$26+'TE CVA'!$Q$26)*(1 - CUSTOS!$M$39)</f>
        <v>310.8870113668134</v>
      </c>
      <c r="Q26" s="30">
        <f>('TE BE'!$S$26+'TE BF'!$S$26+'TE CVA'!$S$26)*(1 - CUSTOS!$M$39)</f>
        <v>0</v>
      </c>
      <c r="R26" s="30">
        <f>('TE BE'!$T$26+'TE BF'!$T$26+'TE CVA'!$T$26)*(1 - CUSTOS!$M$39)</f>
        <v>0</v>
      </c>
      <c r="S26" s="30">
        <f>('TE BE'!$U$26+'TE BF'!$U$26+'TE CVA'!$U$26)*(1 - CUSTOS!$M$39)</f>
        <v>0</v>
      </c>
      <c r="T26" s="30">
        <f>('TE BE'!$W$26+'TE BF'!$W$26+'TE CVA'!$W$26)*(1 - CUSTOS!$M$39)</f>
        <v>0</v>
      </c>
      <c r="U26" s="30">
        <f>('TE BE'!$Y$26+'TE BF'!$Y$26+'TE CVA'!$Y$26)*(1 - CUSTOS!$M$39)</f>
        <v>0</v>
      </c>
      <c r="W26" s="30">
        <v>0</v>
      </c>
      <c r="X26" s="30">
        <v>0</v>
      </c>
      <c r="Y26" s="30">
        <v>0</v>
      </c>
      <c r="Z26" s="30">
        <v>0</v>
      </c>
      <c r="AA26" s="30">
        <v>209.889429573733</v>
      </c>
      <c r="AB26" s="30">
        <v>0</v>
      </c>
      <c r="AC26" s="30">
        <v>0</v>
      </c>
      <c r="AD26" s="30">
        <v>0</v>
      </c>
      <c r="AE26" s="30">
        <v>1.5676685650806601</v>
      </c>
      <c r="AF26" s="30">
        <v>0</v>
      </c>
    </row>
    <row r="27" spans="1:32" ht="11.25" customHeight="1" x14ac:dyDescent="0.3">
      <c r="A27" s="131"/>
      <c r="B27" s="131"/>
      <c r="C27" s="131"/>
      <c r="D27" s="131"/>
      <c r="E27" s="131"/>
      <c r="F27" s="131"/>
      <c r="G27" s="32" t="s">
        <v>74</v>
      </c>
      <c r="H27" s="32" t="s">
        <v>72</v>
      </c>
      <c r="I27" s="32">
        <f>'MERCADO TE'!$U$24</f>
        <v>0</v>
      </c>
      <c r="J27" s="17"/>
      <c r="L27" s="30">
        <f>('TE BE'!$L$27+'TE BF'!$L$27+'TE CVA'!$L$27)*(1 - CUSTOS!$M$39)</f>
        <v>0</v>
      </c>
      <c r="M27" s="30">
        <f>('TE BE'!$M$27+'TE BF'!$M$27+'TE CVA'!$M$27)*(1 - CUSTOS!$M$39)</f>
        <v>0</v>
      </c>
      <c r="N27" s="30">
        <f>('TE BE'!$N$27+'TE BF'!$N$27+'TE CVA'!$N$27)*(1 - CUSTOS!$M$39)</f>
        <v>0</v>
      </c>
      <c r="O27" s="30">
        <f>('TE BE'!$O$27+'TE BF'!$O$27+'TE CVA'!$O$27)*(1 - CUSTOS!$M$39)</f>
        <v>0</v>
      </c>
      <c r="P27" s="30">
        <f>('TE BE'!$Q$27+'TE BF'!$Q$27+'TE CVA'!$Q$27)*(1 - CUSTOS!$M$39)</f>
        <v>310.8870113668134</v>
      </c>
      <c r="Q27" s="30">
        <f>('TE BE'!$S$27+'TE BF'!$S$27+'TE CVA'!$S$27)*(1 - CUSTOS!$M$39)</f>
        <v>0</v>
      </c>
      <c r="R27" s="30">
        <f>('TE BE'!$T$27+'TE BF'!$T$27+'TE CVA'!$T$27)*(1 - CUSTOS!$M$39)</f>
        <v>0</v>
      </c>
      <c r="S27" s="30">
        <f>('TE BE'!$U$27+'TE BF'!$U$27+'TE CVA'!$U$27)*(1 - CUSTOS!$M$39)</f>
        <v>0</v>
      </c>
      <c r="T27" s="30">
        <f>('TE BE'!$W$27+'TE BF'!$W$27+'TE CVA'!$W$27)*(1 - CUSTOS!$M$39)</f>
        <v>0</v>
      </c>
      <c r="U27" s="30">
        <f>('TE BE'!$Y$27+'TE BF'!$Y$27+'TE CVA'!$Y$27)*(1 - CUSTOS!$M$39)</f>
        <v>0</v>
      </c>
      <c r="W27" s="30">
        <v>0</v>
      </c>
      <c r="X27" s="30">
        <v>0</v>
      </c>
      <c r="Y27" s="30">
        <v>0</v>
      </c>
      <c r="Z27" s="30">
        <v>0</v>
      </c>
      <c r="AA27" s="30">
        <v>209.889429573733</v>
      </c>
      <c r="AB27" s="30">
        <v>0</v>
      </c>
      <c r="AC27" s="30">
        <v>0</v>
      </c>
      <c r="AD27" s="30">
        <v>0</v>
      </c>
      <c r="AE27" s="30">
        <v>1.5676685650806601</v>
      </c>
      <c r="AF27" s="30">
        <v>0</v>
      </c>
    </row>
    <row r="28" spans="1:32" ht="11.25" customHeight="1" x14ac:dyDescent="0.3">
      <c r="A28" s="131"/>
      <c r="B28" s="90" t="s">
        <v>75</v>
      </c>
      <c r="C28" s="90" t="s">
        <v>44</v>
      </c>
      <c r="D28" s="90" t="s">
        <v>88</v>
      </c>
      <c r="E28" s="90" t="s">
        <v>25</v>
      </c>
      <c r="F28" s="90" t="s">
        <v>25</v>
      </c>
      <c r="G28" s="32" t="s">
        <v>76</v>
      </c>
      <c r="H28" s="32" t="s">
        <v>72</v>
      </c>
      <c r="I28" s="32">
        <f>'MERCADO TE'!$U$25</f>
        <v>0</v>
      </c>
      <c r="J28" s="17"/>
      <c r="L28" s="30">
        <f>('TE BE'!$L$28+'TE BF'!$L$28+'TE CVA'!$L$28)*(1 - CUSTOS!$M$39)</f>
        <v>0</v>
      </c>
      <c r="M28" s="30">
        <f>('TE BE'!$M$28+'TE BF'!$M$28+'TE CVA'!$M$28)*(1 - CUSTOS!$M$39)</f>
        <v>0</v>
      </c>
      <c r="N28" s="30">
        <f>('TE BE'!$N$28+'TE BF'!$N$28+'TE CVA'!$N$28)*(1 - CUSTOS!$M$39)</f>
        <v>0</v>
      </c>
      <c r="O28" s="30">
        <f>('TE BE'!$O$28+'TE BF'!$O$28+'TE CVA'!$O$28)*(1 - CUSTOS!$M$39)</f>
        <v>0</v>
      </c>
      <c r="P28" s="30">
        <f>('TE BE'!$Q$28+'TE BF'!$Q$28+'TE CVA'!$Q$28)*(1 - CUSTOS!$M$39)</f>
        <v>310.8870113668134</v>
      </c>
      <c r="Q28" s="30">
        <f>('TE BE'!$S$28+'TE BF'!$S$28+'TE CVA'!$S$28)*(1 - CUSTOS!$M$39)</f>
        <v>0</v>
      </c>
      <c r="R28" s="30">
        <f>('TE BE'!$T$28+'TE BF'!$T$28+'TE CVA'!$T$28)*(1 - CUSTOS!$M$39)</f>
        <v>0</v>
      </c>
      <c r="S28" s="30">
        <f>('TE BE'!$U$28+'TE BF'!$U$28+'TE CVA'!$U$28)*(1 - CUSTOS!$M$39)</f>
        <v>0</v>
      </c>
      <c r="T28" s="30">
        <f>('TE BE'!$W$28+'TE BF'!$W$28+'TE CVA'!$W$28)*(1 - CUSTOS!$M$39)</f>
        <v>0</v>
      </c>
      <c r="U28" s="30">
        <f>('TE BE'!$Y$28+'TE BF'!$Y$28+'TE CVA'!$Y$28)*(1 - CUSTOS!$M$39)</f>
        <v>0</v>
      </c>
      <c r="W28" s="30">
        <v>0</v>
      </c>
      <c r="X28" s="30">
        <v>0</v>
      </c>
      <c r="Y28" s="30">
        <v>0</v>
      </c>
      <c r="Z28" s="30">
        <v>0</v>
      </c>
      <c r="AA28" s="30">
        <v>209.889429573733</v>
      </c>
      <c r="AB28" s="30">
        <v>0</v>
      </c>
      <c r="AC28" s="30">
        <v>0</v>
      </c>
      <c r="AD28" s="30">
        <v>0</v>
      </c>
      <c r="AE28" s="30">
        <v>1.5676685650806601</v>
      </c>
      <c r="AF28" s="30">
        <v>0</v>
      </c>
    </row>
    <row r="29" spans="1:32" ht="11.25" customHeight="1" x14ac:dyDescent="0.3">
      <c r="A29" s="131"/>
      <c r="B29" s="131" t="s">
        <v>71</v>
      </c>
      <c r="C29" s="131" t="s">
        <v>44</v>
      </c>
      <c r="D29" s="131" t="s">
        <v>89</v>
      </c>
      <c r="E29" s="131" t="s">
        <v>25</v>
      </c>
      <c r="F29" s="131" t="s">
        <v>25</v>
      </c>
      <c r="G29" s="32" t="s">
        <v>73</v>
      </c>
      <c r="H29" s="32" t="s">
        <v>72</v>
      </c>
      <c r="I29" s="32">
        <f>'MERCADO TE'!$U$26</f>
        <v>0</v>
      </c>
      <c r="J29" s="17"/>
      <c r="L29" s="30">
        <f>('TE BE'!$L$29+'TE BF'!$L$29+'TE CVA'!$L$29)*(1 - CUSTOS!$M$40)</f>
        <v>0</v>
      </c>
      <c r="M29" s="30">
        <f>('TE BE'!$M$29+'TE BF'!$M$29+'TE CVA'!$M$29)*(1 - CUSTOS!$M$40)</f>
        <v>0</v>
      </c>
      <c r="N29" s="30">
        <f>('TE BE'!$N$29+'TE BF'!$N$29+'TE CVA'!$N$29)*(1 - CUSTOS!$M$40)</f>
        <v>0</v>
      </c>
      <c r="O29" s="30">
        <f>('TE BE'!$O$29+'TE BF'!$O$29+'TE CVA'!$O$29)*(1 - CUSTOS!$M$40)</f>
        <v>0</v>
      </c>
      <c r="P29" s="30">
        <f>('TE BE'!$Q$29+'TE BF'!$Q$29+'TE CVA'!$Q$29)*(1 - CUSTOS!$M$40)</f>
        <v>304.27239410368975</v>
      </c>
      <c r="Q29" s="30">
        <f>('TE BE'!$S$29+'TE BF'!$S$29+'TE CVA'!$S$29)*(1 - CUSTOS!$M$40)</f>
        <v>0</v>
      </c>
      <c r="R29" s="30">
        <f>('TE BE'!$T$29+'TE BF'!$T$29+'TE CVA'!$T$29)*(1 - CUSTOS!$M$40)</f>
        <v>0</v>
      </c>
      <c r="S29" s="30">
        <f>('TE BE'!$U$29+'TE BF'!$U$29+'TE CVA'!$U$29)*(1 - CUSTOS!$M$40)</f>
        <v>0</v>
      </c>
      <c r="T29" s="30">
        <f>('TE BE'!$W$29+'TE BF'!$W$29+'TE CVA'!$W$29)*(1 - CUSTOS!$M$40)</f>
        <v>0</v>
      </c>
      <c r="U29" s="30">
        <f>('TE BE'!$Y$29+'TE BF'!$Y$29+'TE CVA'!$Y$29)*(1 - CUSTOS!$M$40)</f>
        <v>0</v>
      </c>
      <c r="W29" s="30">
        <v>0</v>
      </c>
      <c r="X29" s="30">
        <v>0</v>
      </c>
      <c r="Y29" s="30">
        <v>0</v>
      </c>
      <c r="Z29" s="30">
        <v>0</v>
      </c>
      <c r="AA29" s="30">
        <v>200.34900095674499</v>
      </c>
      <c r="AB29" s="30">
        <v>0</v>
      </c>
      <c r="AC29" s="30">
        <v>0</v>
      </c>
      <c r="AD29" s="30">
        <v>0</v>
      </c>
      <c r="AE29" s="30">
        <v>1.49641090303154</v>
      </c>
      <c r="AF29" s="30">
        <v>0</v>
      </c>
    </row>
    <row r="30" spans="1:32" ht="11.25" customHeight="1" x14ac:dyDescent="0.3">
      <c r="A30" s="131"/>
      <c r="B30" s="131"/>
      <c r="C30" s="131"/>
      <c r="D30" s="131"/>
      <c r="E30" s="131"/>
      <c r="F30" s="131"/>
      <c r="G30" s="32" t="s">
        <v>85</v>
      </c>
      <c r="H30" s="32" t="s">
        <v>72</v>
      </c>
      <c r="I30" s="32">
        <f>'MERCADO TE'!$U$27</f>
        <v>0</v>
      </c>
      <c r="J30" s="17"/>
      <c r="L30" s="30">
        <f>('TE BE'!$L$30+'TE BF'!$L$30+'TE CVA'!$L$30)*(1 - CUSTOS!$M$40)</f>
        <v>0</v>
      </c>
      <c r="M30" s="30">
        <f>('TE BE'!$M$30+'TE BF'!$M$30+'TE CVA'!$M$30)*(1 - CUSTOS!$M$40)</f>
        <v>0</v>
      </c>
      <c r="N30" s="30">
        <f>('TE BE'!$N$30+'TE BF'!$N$30+'TE CVA'!$N$30)*(1 - CUSTOS!$M$40)</f>
        <v>0</v>
      </c>
      <c r="O30" s="30">
        <f>('TE BE'!$O$30+'TE BF'!$O$30+'TE CVA'!$O$30)*(1 - CUSTOS!$M$40)</f>
        <v>0</v>
      </c>
      <c r="P30" s="30">
        <f>('TE BE'!$Q$30+'TE BF'!$Q$30+'TE CVA'!$Q$30)*(1 - CUSTOS!$M$40)</f>
        <v>304.27239410368975</v>
      </c>
      <c r="Q30" s="30">
        <f>('TE BE'!$S$30+'TE BF'!$S$30+'TE CVA'!$S$30)*(1 - CUSTOS!$M$40)</f>
        <v>0</v>
      </c>
      <c r="R30" s="30">
        <f>('TE BE'!$T$30+'TE BF'!$T$30+'TE CVA'!$T$30)*(1 - CUSTOS!$M$40)</f>
        <v>0</v>
      </c>
      <c r="S30" s="30">
        <f>('TE BE'!$U$30+'TE BF'!$U$30+'TE CVA'!$U$30)*(1 - CUSTOS!$M$40)</f>
        <v>0</v>
      </c>
      <c r="T30" s="30">
        <f>('TE BE'!$W$30+'TE BF'!$W$30+'TE CVA'!$W$30)*(1 - CUSTOS!$M$40)</f>
        <v>0</v>
      </c>
      <c r="U30" s="30">
        <f>('TE BE'!$Y$30+'TE BF'!$Y$30+'TE CVA'!$Y$30)*(1 - CUSTOS!$M$40)</f>
        <v>0</v>
      </c>
      <c r="W30" s="30">
        <v>0</v>
      </c>
      <c r="X30" s="30">
        <v>0</v>
      </c>
      <c r="Y30" s="30">
        <v>0</v>
      </c>
      <c r="Z30" s="30">
        <v>0</v>
      </c>
      <c r="AA30" s="30">
        <v>200.34900095674499</v>
      </c>
      <c r="AB30" s="30">
        <v>0</v>
      </c>
      <c r="AC30" s="30">
        <v>0</v>
      </c>
      <c r="AD30" s="30">
        <v>0</v>
      </c>
      <c r="AE30" s="30">
        <v>1.49641090303154</v>
      </c>
      <c r="AF30" s="30">
        <v>0</v>
      </c>
    </row>
    <row r="31" spans="1:32" ht="11.25" customHeight="1" x14ac:dyDescent="0.3">
      <c r="A31" s="131"/>
      <c r="B31" s="131"/>
      <c r="C31" s="131"/>
      <c r="D31" s="131"/>
      <c r="E31" s="131"/>
      <c r="F31" s="131"/>
      <c r="G31" s="32" t="s">
        <v>74</v>
      </c>
      <c r="H31" s="32" t="s">
        <v>72</v>
      </c>
      <c r="I31" s="32">
        <f>'MERCADO TE'!$U$28</f>
        <v>0</v>
      </c>
      <c r="J31" s="17"/>
      <c r="L31" s="30">
        <f>('TE BE'!$L$31+'TE BF'!$L$31+'TE CVA'!$L$31)*(1 - CUSTOS!$M$40)</f>
        <v>0</v>
      </c>
      <c r="M31" s="30">
        <f>('TE BE'!$M$31+'TE BF'!$M$31+'TE CVA'!$M$31)*(1 - CUSTOS!$M$40)</f>
        <v>0</v>
      </c>
      <c r="N31" s="30">
        <f>('TE BE'!$N$31+'TE BF'!$N$31+'TE CVA'!$N$31)*(1 - CUSTOS!$M$40)</f>
        <v>0</v>
      </c>
      <c r="O31" s="30">
        <f>('TE BE'!$O$31+'TE BF'!$O$31+'TE CVA'!$O$31)*(1 - CUSTOS!$M$40)</f>
        <v>0</v>
      </c>
      <c r="P31" s="30">
        <f>('TE BE'!$Q$31+'TE BF'!$Q$31+'TE CVA'!$Q$31)*(1 - CUSTOS!$M$40)</f>
        <v>304.27239410368975</v>
      </c>
      <c r="Q31" s="30">
        <f>('TE BE'!$S$31+'TE BF'!$S$31+'TE CVA'!$S$31)*(1 - CUSTOS!$M$40)</f>
        <v>0</v>
      </c>
      <c r="R31" s="30">
        <f>('TE BE'!$T$31+'TE BF'!$T$31+'TE CVA'!$T$31)*(1 - CUSTOS!$M$40)</f>
        <v>0</v>
      </c>
      <c r="S31" s="30">
        <f>('TE BE'!$U$31+'TE BF'!$U$31+'TE CVA'!$U$31)*(1 - CUSTOS!$M$40)</f>
        <v>0</v>
      </c>
      <c r="T31" s="30">
        <f>('TE BE'!$W$31+'TE BF'!$W$31+'TE CVA'!$W$31)*(1 - CUSTOS!$M$40)</f>
        <v>0</v>
      </c>
      <c r="U31" s="30">
        <f>('TE BE'!$Y$31+'TE BF'!$Y$31+'TE CVA'!$Y$31)*(1 - CUSTOS!$M$40)</f>
        <v>0</v>
      </c>
      <c r="W31" s="30">
        <v>0</v>
      </c>
      <c r="X31" s="30">
        <v>0</v>
      </c>
      <c r="Y31" s="30">
        <v>0</v>
      </c>
      <c r="Z31" s="30">
        <v>0</v>
      </c>
      <c r="AA31" s="30">
        <v>200.34900095674499</v>
      </c>
      <c r="AB31" s="30">
        <v>0</v>
      </c>
      <c r="AC31" s="30">
        <v>0</v>
      </c>
      <c r="AD31" s="30">
        <v>0</v>
      </c>
      <c r="AE31" s="30">
        <v>1.49641090303154</v>
      </c>
      <c r="AF31" s="30">
        <v>0</v>
      </c>
    </row>
    <row r="32" spans="1:32" ht="11.25" customHeight="1" x14ac:dyDescent="0.3">
      <c r="A32" s="131"/>
      <c r="B32" s="90" t="s">
        <v>75</v>
      </c>
      <c r="C32" s="90" t="s">
        <v>44</v>
      </c>
      <c r="D32" s="90" t="s">
        <v>89</v>
      </c>
      <c r="E32" s="90" t="s">
        <v>25</v>
      </c>
      <c r="F32" s="90" t="s">
        <v>25</v>
      </c>
      <c r="G32" s="32" t="s">
        <v>76</v>
      </c>
      <c r="H32" s="32" t="s">
        <v>72</v>
      </c>
      <c r="I32" s="32">
        <f>'MERCADO TE'!$U$29</f>
        <v>0</v>
      </c>
      <c r="J32" s="17"/>
      <c r="L32" s="30">
        <f>('TE BE'!$L$32+'TE BF'!$L$32+'TE CVA'!$L$32)*(1 - CUSTOS!$M$40)</f>
        <v>0</v>
      </c>
      <c r="M32" s="30">
        <f>('TE BE'!$M$32+'TE BF'!$M$32+'TE CVA'!$M$32)*(1 - CUSTOS!$M$40)</f>
        <v>0</v>
      </c>
      <c r="N32" s="30">
        <f>('TE BE'!$N$32+'TE BF'!$N$32+'TE CVA'!$N$32)*(1 - CUSTOS!$M$40)</f>
        <v>0</v>
      </c>
      <c r="O32" s="30">
        <f>('TE BE'!$O$32+'TE BF'!$O$32+'TE CVA'!$O$32)*(1 - CUSTOS!$M$40)</f>
        <v>0</v>
      </c>
      <c r="P32" s="30">
        <f>('TE BE'!$Q$32+'TE BF'!$Q$32+'TE CVA'!$Q$32)*(1 - CUSTOS!$M$40)</f>
        <v>304.27239410368975</v>
      </c>
      <c r="Q32" s="30">
        <f>('TE BE'!$S$32+'TE BF'!$S$32+'TE CVA'!$S$32)*(1 - CUSTOS!$M$40)</f>
        <v>0</v>
      </c>
      <c r="R32" s="30">
        <f>('TE BE'!$T$32+'TE BF'!$T$32+'TE CVA'!$T$32)*(1 - CUSTOS!$M$40)</f>
        <v>0</v>
      </c>
      <c r="S32" s="30">
        <f>('TE BE'!$U$32+'TE BF'!$U$32+'TE CVA'!$U$32)*(1 - CUSTOS!$M$40)</f>
        <v>0</v>
      </c>
      <c r="T32" s="30">
        <f>('TE BE'!$W$32+'TE BF'!$W$32+'TE CVA'!$W$32)*(1 - CUSTOS!$M$40)</f>
        <v>0</v>
      </c>
      <c r="U32" s="30">
        <f>('TE BE'!$Y$32+'TE BF'!$Y$32+'TE CVA'!$Y$32)*(1 - CUSTOS!$M$40)</f>
        <v>0</v>
      </c>
      <c r="W32" s="30">
        <v>0</v>
      </c>
      <c r="X32" s="30">
        <v>0</v>
      </c>
      <c r="Y32" s="30">
        <v>0</v>
      </c>
      <c r="Z32" s="30">
        <v>0</v>
      </c>
      <c r="AA32" s="30">
        <v>200.34900095674499</v>
      </c>
      <c r="AB32" s="30">
        <v>0</v>
      </c>
      <c r="AC32" s="30">
        <v>0</v>
      </c>
      <c r="AD32" s="30">
        <v>0</v>
      </c>
      <c r="AE32" s="30">
        <v>1.49641090303154</v>
      </c>
      <c r="AF32" s="30">
        <v>0</v>
      </c>
    </row>
    <row r="33" spans="1:32" ht="11.25" customHeight="1" x14ac:dyDescent="0.3">
      <c r="A33" s="131"/>
      <c r="B33" s="131" t="s">
        <v>86</v>
      </c>
      <c r="C33" s="131" t="s">
        <v>44</v>
      </c>
      <c r="D33" s="90" t="s">
        <v>25</v>
      </c>
      <c r="E33" s="90" t="s">
        <v>25</v>
      </c>
      <c r="F33" s="90" t="s">
        <v>25</v>
      </c>
      <c r="G33" s="32" t="s">
        <v>76</v>
      </c>
      <c r="H33" s="32" t="s">
        <v>72</v>
      </c>
      <c r="I33" s="32">
        <f>'MERCADO TE'!$U$30</f>
        <v>0</v>
      </c>
      <c r="J33" s="17"/>
      <c r="L33" s="30">
        <f>('TE BE'!$L$33+'TE BF'!$L$33+'TE CVA'!$L$33)*(1 - CUSTOS!$M$38)</f>
        <v>0</v>
      </c>
      <c r="M33" s="30">
        <f>('TE BE'!$M$33+'TE BF'!$M$33+'TE CVA'!$M$33)*(1 - CUSTOS!$M$38)</f>
        <v>0</v>
      </c>
      <c r="N33" s="30">
        <f>('TE BE'!$N$33+'TE BF'!$N$33+'TE CVA'!$N$33)*(1 - CUSTOS!$M$38)</f>
        <v>0</v>
      </c>
      <c r="O33" s="30">
        <f>('TE BE'!$O$33+'TE BF'!$O$33+'TE CVA'!$O$33)*(1 - CUSTOS!$M$38)</f>
        <v>0</v>
      </c>
      <c r="P33" s="30">
        <f>('TE BE'!$Q$33+'TE BF'!$Q$33+'TE CVA'!$Q$33)*(1 - CUSTOS!$M$38)</f>
        <v>310.8870113668134</v>
      </c>
      <c r="Q33" s="30">
        <f>('TE BE'!$S$33+'TE BF'!$S$33+'TE CVA'!$S$33)*(1 - CUSTOS!$M$38)</f>
        <v>0</v>
      </c>
      <c r="R33" s="30">
        <f>('TE BE'!$T$33+'TE BF'!$T$33+'TE CVA'!$T$33)*(1 - CUSTOS!$M$38)</f>
        <v>0</v>
      </c>
      <c r="S33" s="30">
        <f>('TE BE'!$U$33+'TE BF'!$U$33+'TE CVA'!$U$33)*(1 - CUSTOS!$M$38)</f>
        <v>0</v>
      </c>
      <c r="T33" s="30">
        <f>('TE BE'!$W$33+'TE BF'!$W$33+'TE CVA'!$W$33)*(1 - CUSTOS!$M$38)</f>
        <v>0</v>
      </c>
      <c r="U33" s="30">
        <f>('TE BE'!$Y$33+'TE BF'!$Y$33+'TE CVA'!$Y$33)*(1 - CUSTOS!$M$38)</f>
        <v>0</v>
      </c>
      <c r="W33" s="30">
        <v>0</v>
      </c>
      <c r="X33" s="30">
        <v>0</v>
      </c>
      <c r="Y33" s="30">
        <v>0</v>
      </c>
      <c r="Z33" s="30">
        <v>0</v>
      </c>
      <c r="AA33" s="30">
        <v>209.889429573733</v>
      </c>
      <c r="AB33" s="30">
        <v>0</v>
      </c>
      <c r="AC33" s="30">
        <v>0</v>
      </c>
      <c r="AD33" s="30">
        <v>0</v>
      </c>
      <c r="AE33" s="30">
        <v>1.5676685650806601</v>
      </c>
      <c r="AF33" s="30">
        <v>0</v>
      </c>
    </row>
    <row r="34" spans="1:32" ht="11.25" customHeight="1" x14ac:dyDescent="0.3">
      <c r="A34" s="131"/>
      <c r="B34" s="131"/>
      <c r="C34" s="131"/>
      <c r="D34" s="90" t="s">
        <v>88</v>
      </c>
      <c r="E34" s="90" t="s">
        <v>25</v>
      </c>
      <c r="F34" s="90" t="s">
        <v>25</v>
      </c>
      <c r="G34" s="32" t="s">
        <v>76</v>
      </c>
      <c r="H34" s="32" t="s">
        <v>72</v>
      </c>
      <c r="I34" s="32">
        <f>'MERCADO TE'!$U$31</f>
        <v>0</v>
      </c>
      <c r="J34" s="17"/>
      <c r="L34" s="30">
        <f>('TE BE'!$L$34+'TE BF'!$L$34+'TE CVA'!$L$34)*(1 - CUSTOS!$M$39)</f>
        <v>0</v>
      </c>
      <c r="M34" s="30">
        <f>('TE BE'!$M$34+'TE BF'!$M$34+'TE CVA'!$M$34)*(1 - CUSTOS!$M$39)</f>
        <v>0</v>
      </c>
      <c r="N34" s="30">
        <f>('TE BE'!$N$34+'TE BF'!$N$34+'TE CVA'!$N$34)*(1 - CUSTOS!$M$39)</f>
        <v>0</v>
      </c>
      <c r="O34" s="30">
        <f>('TE BE'!$O$34+'TE BF'!$O$34+'TE CVA'!$O$34)*(1 - CUSTOS!$M$39)</f>
        <v>0</v>
      </c>
      <c r="P34" s="30">
        <f>('TE BE'!$Q$34+'TE BF'!$Q$34+'TE CVA'!$Q$34)*(1 - CUSTOS!$M$39)</f>
        <v>310.8870113668134</v>
      </c>
      <c r="Q34" s="30">
        <f>('TE BE'!$S$34+'TE BF'!$S$34+'TE CVA'!$S$34)*(1 - CUSTOS!$M$39)</f>
        <v>0</v>
      </c>
      <c r="R34" s="30">
        <f>('TE BE'!$T$34+'TE BF'!$T$34+'TE CVA'!$T$34)*(1 - CUSTOS!$M$39)</f>
        <v>0</v>
      </c>
      <c r="S34" s="30">
        <f>('TE BE'!$U$34+'TE BF'!$U$34+'TE CVA'!$U$34)*(1 - CUSTOS!$M$39)</f>
        <v>0</v>
      </c>
      <c r="T34" s="30">
        <f>('TE BE'!$W$34+'TE BF'!$W$34+'TE CVA'!$W$34)*(1 - CUSTOS!$M$39)</f>
        <v>0</v>
      </c>
      <c r="U34" s="30">
        <f>('TE BE'!$Y$34+'TE BF'!$Y$34+'TE CVA'!$Y$34)*(1 - CUSTOS!$M$39)</f>
        <v>0</v>
      </c>
      <c r="W34" s="30">
        <v>0</v>
      </c>
      <c r="X34" s="30">
        <v>0</v>
      </c>
      <c r="Y34" s="30">
        <v>0</v>
      </c>
      <c r="Z34" s="30">
        <v>0</v>
      </c>
      <c r="AA34" s="30">
        <v>209.889429573733</v>
      </c>
      <c r="AB34" s="30">
        <v>0</v>
      </c>
      <c r="AC34" s="30">
        <v>0</v>
      </c>
      <c r="AD34" s="30">
        <v>0</v>
      </c>
      <c r="AE34" s="30">
        <v>1.5676685650806601</v>
      </c>
      <c r="AF34" s="30">
        <v>0</v>
      </c>
    </row>
    <row r="35" spans="1:32" ht="11.25" customHeight="1" x14ac:dyDescent="0.3">
      <c r="A35" s="131"/>
      <c r="B35" s="131"/>
      <c r="C35" s="131"/>
      <c r="D35" s="90" t="s">
        <v>89</v>
      </c>
      <c r="E35" s="90" t="s">
        <v>25</v>
      </c>
      <c r="F35" s="90" t="s">
        <v>25</v>
      </c>
      <c r="G35" s="32" t="s">
        <v>76</v>
      </c>
      <c r="H35" s="32" t="s">
        <v>72</v>
      </c>
      <c r="I35" s="32">
        <f>'MERCADO TE'!$U$32</f>
        <v>0</v>
      </c>
      <c r="J35" s="17"/>
      <c r="L35" s="30">
        <f>('TE BE'!$L$35+'TE BF'!$L$35+'TE CVA'!$L$35)*(1 - CUSTOS!$M$40)</f>
        <v>0</v>
      </c>
      <c r="M35" s="30">
        <f>('TE BE'!$M$35+'TE BF'!$M$35+'TE CVA'!$M$35)*(1 - CUSTOS!$M$40)</f>
        <v>0</v>
      </c>
      <c r="N35" s="30">
        <f>('TE BE'!$N$35+'TE BF'!$N$35+'TE CVA'!$N$35)*(1 - CUSTOS!$M$40)</f>
        <v>0</v>
      </c>
      <c r="O35" s="30">
        <f>('TE BE'!$O$35+'TE BF'!$O$35+'TE CVA'!$O$35)*(1 - CUSTOS!$M$40)</f>
        <v>0</v>
      </c>
      <c r="P35" s="30">
        <f>('TE BE'!$Q$35+'TE BF'!$Q$35+'TE CVA'!$Q$35)*(1 - CUSTOS!$M$40)</f>
        <v>304.27239410368975</v>
      </c>
      <c r="Q35" s="30">
        <f>('TE BE'!$S$35+'TE BF'!$S$35+'TE CVA'!$S$35)*(1 - CUSTOS!$M$40)</f>
        <v>0</v>
      </c>
      <c r="R35" s="30">
        <f>('TE BE'!$T$35+'TE BF'!$T$35+'TE CVA'!$T$35)*(1 - CUSTOS!$M$40)</f>
        <v>0</v>
      </c>
      <c r="S35" s="30">
        <f>('TE BE'!$U$35+'TE BF'!$U$35+'TE CVA'!$U$35)*(1 - CUSTOS!$M$40)</f>
        <v>0</v>
      </c>
      <c r="T35" s="30">
        <f>('TE BE'!$W$35+'TE BF'!$W$35+'TE CVA'!$W$35)*(1 - CUSTOS!$M$40)</f>
        <v>0</v>
      </c>
      <c r="U35" s="30">
        <f>('TE BE'!$Y$35+'TE BF'!$Y$35+'TE CVA'!$Y$35)*(1 - CUSTOS!$M$40)</f>
        <v>0</v>
      </c>
      <c r="W35" s="30">
        <v>0</v>
      </c>
      <c r="X35" s="30">
        <v>0</v>
      </c>
      <c r="Y35" s="30">
        <v>0</v>
      </c>
      <c r="Z35" s="30">
        <v>0</v>
      </c>
      <c r="AA35" s="30">
        <v>200.34900095674499</v>
      </c>
      <c r="AB35" s="30">
        <v>0</v>
      </c>
      <c r="AC35" s="30">
        <v>0</v>
      </c>
      <c r="AD35" s="30">
        <v>0</v>
      </c>
      <c r="AE35" s="30">
        <v>1.49641090303154</v>
      </c>
      <c r="AF35" s="30">
        <v>0</v>
      </c>
    </row>
    <row r="36" spans="1:32" ht="11.25" customHeight="1" x14ac:dyDescent="0.3">
      <c r="A36" s="131" t="s">
        <v>35</v>
      </c>
      <c r="B36" s="131" t="s">
        <v>71</v>
      </c>
      <c r="C36" s="131" t="s">
        <v>25</v>
      </c>
      <c r="D36" s="131" t="s">
        <v>25</v>
      </c>
      <c r="E36" s="131" t="s">
        <v>25</v>
      </c>
      <c r="F36" s="131" t="s">
        <v>25</v>
      </c>
      <c r="G36" s="32" t="s">
        <v>73</v>
      </c>
      <c r="H36" s="32" t="s">
        <v>72</v>
      </c>
      <c r="I36" s="32">
        <f>'MERCADO TE'!$U$33</f>
        <v>0.38900000000000001</v>
      </c>
      <c r="J36" s="17"/>
      <c r="L36" s="30">
        <f>('TE BE'!$L$36+'TE BF'!$L$36+'TE CVA'!$L$36)*1</f>
        <v>0</v>
      </c>
      <c r="M36" s="30">
        <f>('TE BE'!$M$36+'TE BF'!$M$36+'TE CVA'!$M$36)*1</f>
        <v>0</v>
      </c>
      <c r="N36" s="30">
        <f>('TE BE'!$N$36+'TE BF'!$N$36+'TE CVA'!$N$36)*1</f>
        <v>0</v>
      </c>
      <c r="O36" s="30">
        <f>('TE BE'!$O$36+'TE BF'!$O$36+'TE CVA'!$O$36)*1</f>
        <v>0</v>
      </c>
      <c r="P36" s="30">
        <f>('TE BE'!$Q$36+'TE BF'!$Q$36+'TE CVA'!$Q$36)*1</f>
        <v>330.73086315618451</v>
      </c>
      <c r="Q36" s="30">
        <f>('TE BE'!$S$36+'TE BF'!$S$36+'TE CVA'!$S$36)*1</f>
        <v>0</v>
      </c>
      <c r="R36" s="30">
        <f>('TE BE'!$T$36+'TE BF'!$T$36+'TE CVA'!$T$36)*1</f>
        <v>0</v>
      </c>
      <c r="S36" s="30">
        <f>('TE BE'!$U$36+'TE BF'!$U$36+'TE CVA'!$U$36)*1</f>
        <v>0</v>
      </c>
      <c r="T36" s="30">
        <f>('TE BE'!$W$36+'TE BF'!$W$36+'TE CVA'!$W$36)*1</f>
        <v>0</v>
      </c>
      <c r="U36" s="30">
        <f>('TE BE'!$Y$36+'TE BF'!$Y$36+'TE CVA'!$Y$36)*1</f>
        <v>0</v>
      </c>
      <c r="W36" s="30">
        <v>0</v>
      </c>
      <c r="X36" s="30">
        <v>0</v>
      </c>
      <c r="Y36" s="30">
        <v>0</v>
      </c>
      <c r="Z36" s="30">
        <v>0</v>
      </c>
      <c r="AA36" s="30">
        <v>238.510715424697</v>
      </c>
      <c r="AB36" s="30">
        <v>0</v>
      </c>
      <c r="AC36" s="30">
        <v>0</v>
      </c>
      <c r="AD36" s="30">
        <v>0</v>
      </c>
      <c r="AE36" s="30">
        <v>1.7814415512280199</v>
      </c>
      <c r="AF36" s="30">
        <v>0</v>
      </c>
    </row>
    <row r="37" spans="1:32" ht="11.25" customHeight="1" x14ac:dyDescent="0.3">
      <c r="A37" s="131"/>
      <c r="B37" s="131"/>
      <c r="C37" s="131"/>
      <c r="D37" s="131"/>
      <c r="E37" s="131"/>
      <c r="F37" s="131"/>
      <c r="G37" s="32" t="s">
        <v>85</v>
      </c>
      <c r="H37" s="32" t="s">
        <v>72</v>
      </c>
      <c r="I37" s="32">
        <f>'MERCADO TE'!$U$34</f>
        <v>0.23799999999999999</v>
      </c>
      <c r="J37" s="17"/>
      <c r="L37" s="30">
        <f>('TE BE'!$L$37+'TE BF'!$L$37+'TE CVA'!$L$37)*1</f>
        <v>0</v>
      </c>
      <c r="M37" s="30">
        <f>('TE BE'!$M$37+'TE BF'!$M$37+'TE CVA'!$M$37)*1</f>
        <v>0</v>
      </c>
      <c r="N37" s="30">
        <f>('TE BE'!$N$37+'TE BF'!$N$37+'TE CVA'!$N$37)*1</f>
        <v>0</v>
      </c>
      <c r="O37" s="30">
        <f>('TE BE'!$O$37+'TE BF'!$O$37+'TE CVA'!$O$37)*1</f>
        <v>0</v>
      </c>
      <c r="P37" s="30">
        <f>('TE BE'!$Q$37+'TE BF'!$Q$37+'TE CVA'!$Q$37)*1</f>
        <v>330.73086315618451</v>
      </c>
      <c r="Q37" s="30">
        <f>('TE BE'!$S$37+'TE BF'!$S$37+'TE CVA'!$S$37)*1</f>
        <v>0</v>
      </c>
      <c r="R37" s="30">
        <f>('TE BE'!$T$37+'TE BF'!$T$37+'TE CVA'!$T$37)*1</f>
        <v>0</v>
      </c>
      <c r="S37" s="30">
        <f>('TE BE'!$U$37+'TE BF'!$U$37+'TE CVA'!$U$37)*1</f>
        <v>0</v>
      </c>
      <c r="T37" s="30">
        <f>('TE BE'!$W$37+'TE BF'!$W$37+'TE CVA'!$W$37)*1</f>
        <v>0</v>
      </c>
      <c r="U37" s="30">
        <f>('TE BE'!$Y$37+'TE BF'!$Y$37+'TE CVA'!$Y$37)*1</f>
        <v>0</v>
      </c>
      <c r="W37" s="30">
        <v>0</v>
      </c>
      <c r="X37" s="30">
        <v>0</v>
      </c>
      <c r="Y37" s="30">
        <v>0</v>
      </c>
      <c r="Z37" s="30">
        <v>0</v>
      </c>
      <c r="AA37" s="30">
        <v>238.510715424697</v>
      </c>
      <c r="AB37" s="30">
        <v>0</v>
      </c>
      <c r="AC37" s="30">
        <v>0</v>
      </c>
      <c r="AD37" s="30">
        <v>0</v>
      </c>
      <c r="AE37" s="30">
        <v>1.7814415512280199</v>
      </c>
      <c r="AF37" s="30">
        <v>0</v>
      </c>
    </row>
    <row r="38" spans="1:32" ht="11.25" customHeight="1" x14ac:dyDescent="0.3">
      <c r="A38" s="131"/>
      <c r="B38" s="131"/>
      <c r="C38" s="131"/>
      <c r="D38" s="131"/>
      <c r="E38" s="131"/>
      <c r="F38" s="131"/>
      <c r="G38" s="32" t="s">
        <v>74</v>
      </c>
      <c r="H38" s="32" t="s">
        <v>72</v>
      </c>
      <c r="I38" s="32">
        <f>'MERCADO TE'!$U$35</f>
        <v>2.8279999999999998</v>
      </c>
      <c r="J38" s="17"/>
      <c r="L38" s="30">
        <f>('TE BE'!$L$38+'TE BF'!$L$38+'TE CVA'!$L$38)*1</f>
        <v>0</v>
      </c>
      <c r="M38" s="30">
        <f>('TE BE'!$M$38+'TE BF'!$M$38+'TE CVA'!$M$38)*1</f>
        <v>0</v>
      </c>
      <c r="N38" s="30">
        <f>('TE BE'!$N$38+'TE BF'!$N$38+'TE CVA'!$N$38)*1</f>
        <v>0</v>
      </c>
      <c r="O38" s="30">
        <f>('TE BE'!$O$38+'TE BF'!$O$38+'TE CVA'!$O$38)*1</f>
        <v>0</v>
      </c>
      <c r="P38" s="30">
        <f>('TE BE'!$Q$38+'TE BF'!$Q$38+'TE CVA'!$Q$38)*1</f>
        <v>330.73086315618451</v>
      </c>
      <c r="Q38" s="30">
        <f>('TE BE'!$S$38+'TE BF'!$S$38+'TE CVA'!$S$38)*1</f>
        <v>0</v>
      </c>
      <c r="R38" s="30">
        <f>('TE BE'!$T$38+'TE BF'!$T$38+'TE CVA'!$T$38)*1</f>
        <v>0</v>
      </c>
      <c r="S38" s="30">
        <f>('TE BE'!$U$38+'TE BF'!$U$38+'TE CVA'!$U$38)*1</f>
        <v>0</v>
      </c>
      <c r="T38" s="30">
        <f>('TE BE'!$W$38+'TE BF'!$W$38+'TE CVA'!$W$38)*1</f>
        <v>0</v>
      </c>
      <c r="U38" s="30">
        <f>('TE BE'!$Y$38+'TE BF'!$Y$38+'TE CVA'!$Y$38)*1</f>
        <v>0</v>
      </c>
      <c r="W38" s="30">
        <v>0</v>
      </c>
      <c r="X38" s="30">
        <v>0</v>
      </c>
      <c r="Y38" s="30">
        <v>0</v>
      </c>
      <c r="Z38" s="30">
        <v>0</v>
      </c>
      <c r="AA38" s="30">
        <v>238.510715424697</v>
      </c>
      <c r="AB38" s="30">
        <v>0</v>
      </c>
      <c r="AC38" s="30">
        <v>0</v>
      </c>
      <c r="AD38" s="30">
        <v>0</v>
      </c>
      <c r="AE38" s="30">
        <v>1.7814415512280199</v>
      </c>
      <c r="AF38" s="30">
        <v>0</v>
      </c>
    </row>
    <row r="39" spans="1:32" ht="11.25" customHeight="1" x14ac:dyDescent="0.3">
      <c r="A39" s="131"/>
      <c r="B39" s="90" t="s">
        <v>75</v>
      </c>
      <c r="C39" s="90" t="s">
        <v>25</v>
      </c>
      <c r="D39" s="90" t="s">
        <v>25</v>
      </c>
      <c r="E39" s="90" t="s">
        <v>25</v>
      </c>
      <c r="F39" s="90" t="s">
        <v>25</v>
      </c>
      <c r="G39" s="32" t="s">
        <v>76</v>
      </c>
      <c r="H39" s="32" t="s">
        <v>72</v>
      </c>
      <c r="I39" s="32">
        <f>'MERCADO TE'!$U$36</f>
        <v>1798.9960000000001</v>
      </c>
      <c r="J39" s="17"/>
      <c r="L39" s="30">
        <f>('TE BE'!$L$39+'TE BF'!$L$39+'TE CVA'!$L$39)*1</f>
        <v>0</v>
      </c>
      <c r="M39" s="30">
        <f>('TE BE'!$M$39+'TE BF'!$M$39+'TE CVA'!$M$39)*1</f>
        <v>0</v>
      </c>
      <c r="N39" s="30">
        <f>('TE BE'!$N$39+'TE BF'!$N$39+'TE CVA'!$N$39)*1</f>
        <v>0</v>
      </c>
      <c r="O39" s="30">
        <f>('TE BE'!$O$39+'TE BF'!$O$39+'TE CVA'!$O$39)*1</f>
        <v>0</v>
      </c>
      <c r="P39" s="30">
        <f>('TE BE'!$Q$39+'TE BF'!$Q$39+'TE CVA'!$Q$39)*1</f>
        <v>330.73086315618451</v>
      </c>
      <c r="Q39" s="30">
        <f>('TE BE'!$S$39+'TE BF'!$S$39+'TE CVA'!$S$39)*1</f>
        <v>0</v>
      </c>
      <c r="R39" s="30">
        <f>('TE BE'!$T$39+'TE BF'!$T$39+'TE CVA'!$T$39)*1</f>
        <v>0</v>
      </c>
      <c r="S39" s="30">
        <f>('TE BE'!$U$39+'TE BF'!$U$39+'TE CVA'!$U$39)*1</f>
        <v>0</v>
      </c>
      <c r="T39" s="30">
        <f>('TE BE'!$W$39+'TE BF'!$W$39+'TE CVA'!$W$39)*1</f>
        <v>0</v>
      </c>
      <c r="U39" s="30">
        <f>('TE BE'!$Y$39+'TE BF'!$Y$39+'TE CVA'!$Y$39)*1</f>
        <v>0</v>
      </c>
      <c r="W39" s="30">
        <v>0</v>
      </c>
      <c r="X39" s="30">
        <v>0</v>
      </c>
      <c r="Y39" s="30">
        <v>0</v>
      </c>
      <c r="Z39" s="30">
        <v>0</v>
      </c>
      <c r="AA39" s="30">
        <v>238.510715424697</v>
      </c>
      <c r="AB39" s="30">
        <v>0</v>
      </c>
      <c r="AC39" s="30">
        <v>0</v>
      </c>
      <c r="AD39" s="30">
        <v>0</v>
      </c>
      <c r="AE39" s="30">
        <v>1.7814415512280199</v>
      </c>
      <c r="AF39" s="30">
        <v>0</v>
      </c>
    </row>
    <row r="40" spans="1:32" ht="11.25" customHeight="1" x14ac:dyDescent="0.3">
      <c r="A40" s="131"/>
      <c r="B40" s="90" t="s">
        <v>86</v>
      </c>
      <c r="C40" s="90" t="s">
        <v>25</v>
      </c>
      <c r="D40" s="90" t="s">
        <v>25</v>
      </c>
      <c r="E40" s="90" t="s">
        <v>25</v>
      </c>
      <c r="F40" s="90" t="s">
        <v>25</v>
      </c>
      <c r="G40" s="32" t="s">
        <v>76</v>
      </c>
      <c r="H40" s="32" t="s">
        <v>72</v>
      </c>
      <c r="I40" s="32">
        <f>'MERCADO TE'!$U$37</f>
        <v>0</v>
      </c>
      <c r="J40" s="17"/>
      <c r="L40" s="30">
        <f>('TE BE'!$L$40+'TE BF'!$L$40+'TE CVA'!$L$40)*1</f>
        <v>0</v>
      </c>
      <c r="M40" s="30">
        <f>('TE BE'!$M$40+'TE BF'!$M$40+'TE CVA'!$M$40)*1</f>
        <v>0</v>
      </c>
      <c r="N40" s="30">
        <f>('TE BE'!$N$40+'TE BF'!$N$40+'TE CVA'!$N$40)*1</f>
        <v>0</v>
      </c>
      <c r="O40" s="30">
        <f>('TE BE'!$O$40+'TE BF'!$O$40+'TE CVA'!$O$40)*1</f>
        <v>0</v>
      </c>
      <c r="P40" s="30">
        <f>('TE BE'!$Q$40+'TE BF'!$Q$40+'TE CVA'!$Q$40)*1</f>
        <v>330.73086315618451</v>
      </c>
      <c r="Q40" s="30">
        <f>('TE BE'!$S$40+'TE BF'!$S$40+'TE CVA'!$S$40)*1</f>
        <v>0</v>
      </c>
      <c r="R40" s="30">
        <f>('TE BE'!$T$40+'TE BF'!$T$40+'TE CVA'!$T$40)*1</f>
        <v>0</v>
      </c>
      <c r="S40" s="30">
        <f>('TE BE'!$U$40+'TE BF'!$U$40+'TE CVA'!$U$40)*1</f>
        <v>0</v>
      </c>
      <c r="T40" s="30">
        <f>('TE BE'!$W$40+'TE BF'!$W$40+'TE CVA'!$W$40)*1</f>
        <v>0</v>
      </c>
      <c r="U40" s="30">
        <f>('TE BE'!$Y$40+'TE BF'!$Y$40+'TE CVA'!$Y$40)*1</f>
        <v>0</v>
      </c>
      <c r="W40" s="30">
        <v>0</v>
      </c>
      <c r="X40" s="30">
        <v>0</v>
      </c>
      <c r="Y40" s="30">
        <v>0</v>
      </c>
      <c r="Z40" s="30">
        <v>0</v>
      </c>
      <c r="AA40" s="30">
        <v>238.510715424697</v>
      </c>
      <c r="AB40" s="30">
        <v>0</v>
      </c>
      <c r="AC40" s="30">
        <v>0</v>
      </c>
      <c r="AD40" s="30">
        <v>0</v>
      </c>
      <c r="AE40" s="30">
        <v>1.7814415512280199</v>
      </c>
      <c r="AF40" s="30">
        <v>0</v>
      </c>
    </row>
    <row r="41" spans="1:32" ht="11.25" customHeight="1" x14ac:dyDescent="0.3">
      <c r="A41" s="131" t="s">
        <v>46</v>
      </c>
      <c r="B41" s="131" t="s">
        <v>75</v>
      </c>
      <c r="C41" s="131" t="s">
        <v>47</v>
      </c>
      <c r="D41" s="90" t="s">
        <v>48</v>
      </c>
      <c r="E41" s="90" t="s">
        <v>25</v>
      </c>
      <c r="F41" s="90" t="s">
        <v>25</v>
      </c>
      <c r="G41" s="32" t="s">
        <v>76</v>
      </c>
      <c r="H41" s="32" t="s">
        <v>72</v>
      </c>
      <c r="I41" s="32">
        <f>'MERCADO TE'!$U$38</f>
        <v>3164.4159999999997</v>
      </c>
      <c r="J41" s="17"/>
      <c r="L41" s="30">
        <f>('TE BE'!$L$41+'TE BF'!$L$41+'TE CVA'!$L$41)*1</f>
        <v>0</v>
      </c>
      <c r="M41" s="30">
        <f>('TE BE'!$M$41+'TE BF'!$M$41+'TE CVA'!$M$41)*1</f>
        <v>0</v>
      </c>
      <c r="N41" s="30">
        <f>('TE BE'!$N$41+'TE BF'!$N$41+'TE CVA'!$N$41)*1</f>
        <v>0</v>
      </c>
      <c r="O41" s="30">
        <f>('TE BE'!$O$41+'TE BF'!$O$41+'TE CVA'!$O$41)*1</f>
        <v>0</v>
      </c>
      <c r="P41" s="30">
        <f>('TE BE'!$Q$41+'TE BF'!$Q$41+'TE CVA'!$Q$41)*1</f>
        <v>181.90197473590149</v>
      </c>
      <c r="Q41" s="30">
        <f>('TE BE'!$S$41+'TE BF'!$S$41+'TE CVA'!$S$41)*1</f>
        <v>0</v>
      </c>
      <c r="R41" s="30">
        <f>('TE BE'!$T$41+'TE BF'!$T$41+'TE CVA'!$T$41)*1</f>
        <v>0</v>
      </c>
      <c r="S41" s="30">
        <f>('TE BE'!$U$41+'TE BF'!$U$41+'TE CVA'!$U$41)*1</f>
        <v>0</v>
      </c>
      <c r="T41" s="30">
        <f>('TE BE'!$W$41+'TE BF'!$W$41+'TE CVA'!$W$41)*1</f>
        <v>0</v>
      </c>
      <c r="U41" s="30">
        <f>('TE BE'!$Y$41+'TE BF'!$Y$41+'TE CVA'!$Y$41)*1</f>
        <v>0</v>
      </c>
      <c r="W41" s="30">
        <v>0</v>
      </c>
      <c r="X41" s="30">
        <v>0</v>
      </c>
      <c r="Y41" s="30">
        <v>0</v>
      </c>
      <c r="Z41" s="30">
        <v>0</v>
      </c>
      <c r="AA41" s="30">
        <v>131.18089348358299</v>
      </c>
      <c r="AB41" s="30">
        <v>0</v>
      </c>
      <c r="AC41" s="30">
        <v>0</v>
      </c>
      <c r="AD41" s="30">
        <v>0</v>
      </c>
      <c r="AE41" s="30">
        <v>0.97979285317541198</v>
      </c>
      <c r="AF41" s="30">
        <v>0</v>
      </c>
    </row>
    <row r="42" spans="1:32" ht="11.25" customHeight="1" x14ac:dyDescent="0.3">
      <c r="A42" s="131"/>
      <c r="B42" s="131"/>
      <c r="C42" s="131"/>
      <c r="D42" s="32" t="s">
        <v>90</v>
      </c>
      <c r="E42" s="32" t="s">
        <v>25</v>
      </c>
      <c r="F42" s="32" t="s">
        <v>25</v>
      </c>
      <c r="G42" s="32" t="s">
        <v>76</v>
      </c>
      <c r="H42" s="32" t="s">
        <v>72</v>
      </c>
      <c r="I42" s="32">
        <f>'MERCADO TE'!$U$39</f>
        <v>0</v>
      </c>
      <c r="J42" s="17"/>
      <c r="L42" s="30">
        <f>('TE BE'!$L$42+'TE BF'!$L$42+'TE CVA'!$L$42)*1</f>
        <v>0</v>
      </c>
      <c r="M42" s="30">
        <f>('TE BE'!$M$42+'TE BF'!$M$42+'TE CVA'!$M$42)*1</f>
        <v>0</v>
      </c>
      <c r="N42" s="30">
        <f>('TE BE'!$N$42+'TE BF'!$N$42+'TE CVA'!$N$42)*1</f>
        <v>0</v>
      </c>
      <c r="O42" s="30">
        <f>('TE BE'!$O$42+'TE BF'!$O$42+'TE CVA'!$O$42)*1</f>
        <v>0</v>
      </c>
      <c r="P42" s="30">
        <f>('TE BE'!$Q$42+'TE BF'!$Q$42+'TE CVA'!$Q$42)*1</f>
        <v>198.4385178937107</v>
      </c>
      <c r="Q42" s="30">
        <f>('TE BE'!$S$42+'TE BF'!$S$42+'TE CVA'!$S$42)*1</f>
        <v>0</v>
      </c>
      <c r="R42" s="30">
        <f>('TE BE'!$T$42+'TE BF'!$T$42+'TE CVA'!$T$42)*1</f>
        <v>0</v>
      </c>
      <c r="S42" s="30">
        <f>('TE BE'!$U$42+'TE BF'!$U$42+'TE CVA'!$U$42)*1</f>
        <v>0</v>
      </c>
      <c r="T42" s="30">
        <f>('TE BE'!$W$42+'TE BF'!$W$42+'TE CVA'!$W$42)*1</f>
        <v>0</v>
      </c>
      <c r="U42" s="30">
        <f>('TE BE'!$Y$42+'TE BF'!$Y$42+'TE CVA'!$Y$42)*1</f>
        <v>0</v>
      </c>
      <c r="W42" s="30">
        <v>0</v>
      </c>
      <c r="X42" s="30">
        <v>0</v>
      </c>
      <c r="Y42" s="30">
        <v>0</v>
      </c>
      <c r="Z42" s="30">
        <v>0</v>
      </c>
      <c r="AA42" s="30">
        <v>143.10642925481801</v>
      </c>
      <c r="AB42" s="30">
        <v>0</v>
      </c>
      <c r="AC42" s="30">
        <v>0</v>
      </c>
      <c r="AD42" s="30">
        <v>0</v>
      </c>
      <c r="AE42" s="30">
        <v>1.0688649307368101</v>
      </c>
      <c r="AF42" s="30">
        <v>0</v>
      </c>
    </row>
    <row r="44" spans="1:32" ht="11.25" customHeight="1" x14ac:dyDescent="0.3">
      <c r="L44" s="128" t="s">
        <v>941</v>
      </c>
      <c r="M44" s="128"/>
      <c r="N44" s="128"/>
      <c r="O44" s="128"/>
      <c r="P44" s="128"/>
      <c r="Q44" s="128"/>
      <c r="R44" s="128"/>
      <c r="S44" s="128"/>
      <c r="T44" s="128"/>
      <c r="U44" s="128"/>
      <c r="W44" s="128" t="s">
        <v>942</v>
      </c>
      <c r="X44" s="128"/>
      <c r="Y44" s="128"/>
      <c r="Z44" s="128"/>
      <c r="AA44" s="128"/>
      <c r="AB44" s="128"/>
      <c r="AC44" s="128"/>
      <c r="AD44" s="128"/>
      <c r="AE44" s="128"/>
      <c r="AF44" s="128"/>
    </row>
    <row r="45" spans="1:32" ht="11.25" customHeight="1" x14ac:dyDescent="0.3">
      <c r="L45" s="128" t="s">
        <v>498</v>
      </c>
      <c r="M45" s="128"/>
      <c r="N45" s="128"/>
      <c r="O45" s="128"/>
      <c r="P45" s="128"/>
      <c r="Q45" s="128"/>
      <c r="R45" s="128"/>
      <c r="S45" s="128"/>
      <c r="T45" s="128"/>
      <c r="U45" s="128"/>
      <c r="W45" s="128" t="s">
        <v>498</v>
      </c>
      <c r="X45" s="128"/>
      <c r="Y45" s="128"/>
      <c r="Z45" s="128"/>
      <c r="AA45" s="128"/>
      <c r="AB45" s="128"/>
      <c r="AC45" s="128"/>
      <c r="AD45" s="128"/>
      <c r="AE45" s="128"/>
      <c r="AF45" s="128"/>
    </row>
    <row r="46" spans="1:32" ht="11.25" customHeight="1" x14ac:dyDescent="0.3">
      <c r="L46" s="128" t="s">
        <v>471</v>
      </c>
      <c r="M46" s="128"/>
      <c r="N46" s="128"/>
      <c r="O46" s="128"/>
      <c r="P46" s="91" t="s">
        <v>501</v>
      </c>
      <c r="Q46" s="128" t="s">
        <v>480</v>
      </c>
      <c r="R46" s="128"/>
      <c r="S46" s="128"/>
      <c r="T46" s="91" t="s">
        <v>490</v>
      </c>
      <c r="U46" s="91" t="s">
        <v>493</v>
      </c>
      <c r="W46" s="128" t="s">
        <v>471</v>
      </c>
      <c r="X46" s="128"/>
      <c r="Y46" s="128"/>
      <c r="Z46" s="128"/>
      <c r="AA46" s="91" t="s">
        <v>501</v>
      </c>
      <c r="AB46" s="128" t="s">
        <v>480</v>
      </c>
      <c r="AC46" s="128"/>
      <c r="AD46" s="128"/>
      <c r="AE46" s="91" t="s">
        <v>490</v>
      </c>
      <c r="AF46" s="91" t="s">
        <v>493</v>
      </c>
    </row>
    <row r="47" spans="1:32" ht="11.25" customHeight="1" x14ac:dyDescent="0.3">
      <c r="L47" s="91" t="s">
        <v>473</v>
      </c>
      <c r="M47" s="91" t="s">
        <v>499</v>
      </c>
      <c r="N47" s="91" t="s">
        <v>500</v>
      </c>
      <c r="O47" s="91" t="s">
        <v>558</v>
      </c>
      <c r="P47" s="91" t="s">
        <v>502</v>
      </c>
      <c r="Q47" s="91" t="s">
        <v>503</v>
      </c>
      <c r="R47" s="91" t="s">
        <v>504</v>
      </c>
      <c r="S47" s="91" t="s">
        <v>505</v>
      </c>
      <c r="T47" s="91" t="s">
        <v>491</v>
      </c>
      <c r="U47" s="91" t="s">
        <v>506</v>
      </c>
      <c r="W47" s="91" t="s">
        <v>473</v>
      </c>
      <c r="X47" s="91" t="s">
        <v>499</v>
      </c>
      <c r="Y47" s="91" t="s">
        <v>500</v>
      </c>
      <c r="Z47" s="91" t="s">
        <v>558</v>
      </c>
      <c r="AA47" s="91" t="s">
        <v>502</v>
      </c>
      <c r="AB47" s="91" t="s">
        <v>503</v>
      </c>
      <c r="AC47" s="91" t="s">
        <v>504</v>
      </c>
      <c r="AD47" s="91" t="s">
        <v>505</v>
      </c>
      <c r="AE47" s="91" t="s">
        <v>491</v>
      </c>
      <c r="AF47" s="91" t="s">
        <v>506</v>
      </c>
    </row>
    <row r="48" spans="1:32" ht="11.25" customHeight="1" x14ac:dyDescent="0.3">
      <c r="A48" s="9" t="s">
        <v>37</v>
      </c>
      <c r="B48" s="9" t="s">
        <v>943</v>
      </c>
      <c r="C48" s="9" t="s">
        <v>944</v>
      </c>
      <c r="D48" s="9" t="s">
        <v>945</v>
      </c>
      <c r="E48" s="9" t="s">
        <v>946</v>
      </c>
      <c r="F48" s="9" t="s">
        <v>947</v>
      </c>
      <c r="G48" s="9" t="s">
        <v>948</v>
      </c>
      <c r="L48" s="30">
        <f>$I$5*$L$5</f>
        <v>0</v>
      </c>
      <c r="M48" s="30">
        <f>$I$5*$M$5</f>
        <v>0</v>
      </c>
      <c r="N48" s="30">
        <f>$I$5*$N$5</f>
        <v>0</v>
      </c>
      <c r="O48" s="30">
        <f>$I$5*$O$5</f>
        <v>0</v>
      </c>
      <c r="P48" s="30">
        <f>$I$5*$P$5</f>
        <v>29707.899783004275</v>
      </c>
      <c r="Q48" s="30">
        <f>$I$5*$Q$5</f>
        <v>0</v>
      </c>
      <c r="R48" s="30">
        <f>$I$5*$R$5</f>
        <v>0</v>
      </c>
      <c r="S48" s="30">
        <f>$I$5*$S$5</f>
        <v>0</v>
      </c>
      <c r="T48" s="30">
        <f>$I$5*$T$5</f>
        <v>0</v>
      </c>
      <c r="U48" s="30">
        <f>$I$5*$U$5</f>
        <v>0</v>
      </c>
      <c r="W48" s="30">
        <f>$I$5*$W$5</f>
        <v>0</v>
      </c>
      <c r="X48" s="30">
        <f>$I$5*$X$5</f>
        <v>0</v>
      </c>
      <c r="Y48" s="30">
        <f>$I$5*$Y$5</f>
        <v>0</v>
      </c>
      <c r="Z48" s="30">
        <f>$I$5*$Z$5</f>
        <v>0</v>
      </c>
      <c r="AA48" s="30">
        <f>$I$5*$AA$5</f>
        <v>21424.22501302341</v>
      </c>
      <c r="AB48" s="30">
        <f>$I$5*$AB$5</f>
        <v>0</v>
      </c>
      <c r="AC48" s="30">
        <f>$I$5*$AC$5</f>
        <v>0</v>
      </c>
      <c r="AD48" s="30">
        <f>$I$5*$AD$5</f>
        <v>0</v>
      </c>
      <c r="AE48" s="30">
        <f>$I$5*$AE$5</f>
        <v>160.0179873390569</v>
      </c>
      <c r="AF48" s="30">
        <f>$I$5*$AF$5</f>
        <v>0</v>
      </c>
    </row>
    <row r="49" spans="1:32" ht="11.25" customHeight="1" x14ac:dyDescent="0.3">
      <c r="A49" s="9" t="s">
        <v>37</v>
      </c>
      <c r="B49" s="9" t="s">
        <v>943</v>
      </c>
      <c r="C49" s="9" t="s">
        <v>944</v>
      </c>
      <c r="D49" s="9" t="s">
        <v>945</v>
      </c>
      <c r="E49" s="9" t="s">
        <v>946</v>
      </c>
      <c r="F49" s="9" t="s">
        <v>947</v>
      </c>
      <c r="G49" s="9" t="s">
        <v>949</v>
      </c>
      <c r="L49" s="30">
        <f>$I$6*$L$6</f>
        <v>0</v>
      </c>
      <c r="M49" s="30">
        <f>$I$6*$M$6</f>
        <v>0</v>
      </c>
      <c r="N49" s="30">
        <f>$I$6*$N$6</f>
        <v>0</v>
      </c>
      <c r="O49" s="30">
        <f>$I$6*$O$6</f>
        <v>0</v>
      </c>
      <c r="P49" s="30">
        <f>$I$6*$P$6</f>
        <v>1077228.7860798193</v>
      </c>
      <c r="Q49" s="30">
        <f>$I$6*$Q$6</f>
        <v>0</v>
      </c>
      <c r="R49" s="30">
        <f>$I$6*$R$6</f>
        <v>0</v>
      </c>
      <c r="S49" s="30">
        <f>$I$6*$S$6</f>
        <v>0</v>
      </c>
      <c r="T49" s="30">
        <f>$I$6*$T$6</f>
        <v>0</v>
      </c>
      <c r="U49" s="30">
        <f>$I$6*$U$6</f>
        <v>0</v>
      </c>
      <c r="W49" s="30">
        <f>$I$6*$W$6</f>
        <v>0</v>
      </c>
      <c r="X49" s="30">
        <f>$I$6*$X$6</f>
        <v>0</v>
      </c>
      <c r="Y49" s="30">
        <f>$I$6*$Y$6</f>
        <v>0</v>
      </c>
      <c r="Z49" s="30">
        <f>$I$6*$Z$6</f>
        <v>0</v>
      </c>
      <c r="AA49" s="30">
        <f>$I$6*$AA$6</f>
        <v>776857.06738122751</v>
      </c>
      <c r="AB49" s="30">
        <f>$I$6*$AB$6</f>
        <v>0</v>
      </c>
      <c r="AC49" s="30">
        <f>$I$6*$AC$6</f>
        <v>0</v>
      </c>
      <c r="AD49" s="30">
        <f>$I$6*$AD$6</f>
        <v>0</v>
      </c>
      <c r="AE49" s="30">
        <f>$I$6*$AE$6</f>
        <v>5802.3617795696046</v>
      </c>
      <c r="AF49" s="30">
        <f>$I$6*$AF$6</f>
        <v>0</v>
      </c>
    </row>
    <row r="50" spans="1:32" ht="11.25" customHeight="1" x14ac:dyDescent="0.3">
      <c r="A50" s="9" t="s">
        <v>37</v>
      </c>
      <c r="B50" s="9" t="s">
        <v>950</v>
      </c>
      <c r="C50" s="9" t="s">
        <v>951</v>
      </c>
      <c r="D50" s="9" t="s">
        <v>952</v>
      </c>
      <c r="E50" s="9" t="s">
        <v>953</v>
      </c>
      <c r="F50" s="9" t="s">
        <v>954</v>
      </c>
      <c r="G50" s="9" t="s">
        <v>955</v>
      </c>
      <c r="L50" s="30">
        <f>$I$7*$L$7</f>
        <v>0</v>
      </c>
      <c r="M50" s="30">
        <f>$I$7*$M$7</f>
        <v>0</v>
      </c>
      <c r="N50" s="30">
        <f>$I$7*$N$7</f>
        <v>0</v>
      </c>
      <c r="O50" s="30">
        <f>$I$7*$O$7</f>
        <v>0</v>
      </c>
      <c r="P50" s="30">
        <f>$I$7*$P$7</f>
        <v>0</v>
      </c>
      <c r="Q50" s="30">
        <f>$I$7*$Q$7</f>
        <v>0</v>
      </c>
      <c r="R50" s="30">
        <f>$I$7*$R$7</f>
        <v>0</v>
      </c>
      <c r="S50" s="30">
        <f>$I$7*$S$7</f>
        <v>0</v>
      </c>
      <c r="T50" s="30">
        <f>$I$7*$T$7</f>
        <v>0</v>
      </c>
      <c r="U50" s="30">
        <f>$I$7*$U$7</f>
        <v>0</v>
      </c>
      <c r="W50" s="30">
        <f>$I$7*$W$7</f>
        <v>0</v>
      </c>
      <c r="X50" s="30">
        <f>$I$7*$X$7</f>
        <v>0</v>
      </c>
      <c r="Y50" s="30">
        <f>$I$7*$Y$7</f>
        <v>0</v>
      </c>
      <c r="Z50" s="30">
        <f>$I$7*$Z$7</f>
        <v>0</v>
      </c>
      <c r="AA50" s="30">
        <f>$I$7*$AA$7</f>
        <v>0</v>
      </c>
      <c r="AB50" s="30">
        <f>$I$7*$AB$7</f>
        <v>0</v>
      </c>
      <c r="AC50" s="30">
        <f>$I$7*$AC$7</f>
        <v>0</v>
      </c>
      <c r="AD50" s="30">
        <f>$I$7*$AD$7</f>
        <v>0</v>
      </c>
      <c r="AE50" s="30">
        <f>$I$7*$AE$7</f>
        <v>0</v>
      </c>
      <c r="AF50" s="30">
        <f>$I$7*$AF$7</f>
        <v>0</v>
      </c>
    </row>
    <row r="51" spans="1:32" ht="11.25" customHeight="1" x14ac:dyDescent="0.3">
      <c r="A51" s="9" t="s">
        <v>22</v>
      </c>
      <c r="B51" s="9" t="s">
        <v>956</v>
      </c>
      <c r="C51" s="9" t="s">
        <v>957</v>
      </c>
      <c r="D51" s="9" t="s">
        <v>958</v>
      </c>
      <c r="E51" s="9" t="s">
        <v>959</v>
      </c>
      <c r="F51" s="9" t="s">
        <v>960</v>
      </c>
      <c r="G51" s="9" t="s">
        <v>961</v>
      </c>
      <c r="L51" s="30">
        <f>$I$8*$L$8</f>
        <v>0</v>
      </c>
      <c r="M51" s="30">
        <f>$I$8*$M$8</f>
        <v>0</v>
      </c>
      <c r="N51" s="30">
        <f>$I$8*$N$8</f>
        <v>0</v>
      </c>
      <c r="O51" s="30">
        <f>$I$8*$O$8</f>
        <v>0</v>
      </c>
      <c r="P51" s="30">
        <f>$I$8*$P$8</f>
        <v>10.25265675784172</v>
      </c>
      <c r="Q51" s="30">
        <f>$I$8*$Q$8</f>
        <v>0</v>
      </c>
      <c r="R51" s="30">
        <f>$I$8*$R$8</f>
        <v>0</v>
      </c>
      <c r="S51" s="30">
        <f>$I$8*$S$8</f>
        <v>0</v>
      </c>
      <c r="T51" s="30">
        <f>$I$8*$T$8</f>
        <v>0</v>
      </c>
      <c r="U51" s="30">
        <f>$I$8*$U$8</f>
        <v>0</v>
      </c>
      <c r="W51" s="30">
        <f>$I$8*$W$8</f>
        <v>0</v>
      </c>
      <c r="X51" s="30">
        <f>$I$8*$X$8</f>
        <v>0</v>
      </c>
      <c r="Y51" s="30">
        <f>$I$8*$Y$8</f>
        <v>0</v>
      </c>
      <c r="Z51" s="30">
        <f>$I$8*$Z$8</f>
        <v>0</v>
      </c>
      <c r="AA51" s="30">
        <f>$I$8*$AA$8</f>
        <v>7.3938321781656065</v>
      </c>
      <c r="AB51" s="30">
        <f>$I$8*$AB$8</f>
        <v>0</v>
      </c>
      <c r="AC51" s="30">
        <f>$I$8*$AC$8</f>
        <v>0</v>
      </c>
      <c r="AD51" s="30">
        <f>$I$8*$AD$8</f>
        <v>0</v>
      </c>
      <c r="AE51" s="30">
        <f>$I$8*$AE$8</f>
        <v>5.5224688088068616E-2</v>
      </c>
      <c r="AF51" s="30">
        <f>$I$8*$AF$8</f>
        <v>0</v>
      </c>
    </row>
    <row r="52" spans="1:32" ht="11.25" customHeight="1" x14ac:dyDescent="0.3">
      <c r="A52" s="9" t="s">
        <v>22</v>
      </c>
      <c r="B52" s="9" t="s">
        <v>956</v>
      </c>
      <c r="C52" s="9" t="s">
        <v>957</v>
      </c>
      <c r="D52" s="9" t="s">
        <v>958</v>
      </c>
      <c r="E52" s="9" t="s">
        <v>959</v>
      </c>
      <c r="F52" s="9" t="s">
        <v>960</v>
      </c>
      <c r="G52" s="9" t="s">
        <v>962</v>
      </c>
      <c r="L52" s="30">
        <f>$I$9*$L$9</f>
        <v>0</v>
      </c>
      <c r="M52" s="30">
        <f>$I$9*$M$9</f>
        <v>0</v>
      </c>
      <c r="N52" s="30">
        <f>$I$9*$N$9</f>
        <v>0</v>
      </c>
      <c r="O52" s="30">
        <f>$I$9*$O$9</f>
        <v>0</v>
      </c>
      <c r="P52" s="30">
        <f>$I$9*$P$9</f>
        <v>0</v>
      </c>
      <c r="Q52" s="30">
        <f>$I$9*$Q$9</f>
        <v>0</v>
      </c>
      <c r="R52" s="30">
        <f>$I$9*$R$9</f>
        <v>0</v>
      </c>
      <c r="S52" s="30">
        <f>$I$9*$S$9</f>
        <v>0</v>
      </c>
      <c r="T52" s="30">
        <f>$I$9*$T$9</f>
        <v>0</v>
      </c>
      <c r="U52" s="30">
        <f>$I$9*$U$9</f>
        <v>0</v>
      </c>
      <c r="W52" s="30">
        <f>$I$9*$W$9</f>
        <v>0</v>
      </c>
      <c r="X52" s="30">
        <f>$I$9*$X$9</f>
        <v>0</v>
      </c>
      <c r="Y52" s="30">
        <f>$I$9*$Y$9</f>
        <v>0</v>
      </c>
      <c r="Z52" s="30">
        <f>$I$9*$Z$9</f>
        <v>0</v>
      </c>
      <c r="AA52" s="30">
        <f>$I$9*$AA$9</f>
        <v>0</v>
      </c>
      <c r="AB52" s="30">
        <f>$I$9*$AB$9</f>
        <v>0</v>
      </c>
      <c r="AC52" s="30">
        <f>$I$9*$AC$9</f>
        <v>0</v>
      </c>
      <c r="AD52" s="30">
        <f>$I$9*$AD$9</f>
        <v>0</v>
      </c>
      <c r="AE52" s="30">
        <f>$I$9*$AE$9</f>
        <v>0</v>
      </c>
      <c r="AF52" s="30">
        <f>$I$9*$AF$9</f>
        <v>0</v>
      </c>
    </row>
    <row r="53" spans="1:32" ht="11.25" customHeight="1" x14ac:dyDescent="0.3">
      <c r="A53" s="9" t="s">
        <v>22</v>
      </c>
      <c r="B53" s="9" t="s">
        <v>956</v>
      </c>
      <c r="C53" s="9" t="s">
        <v>957</v>
      </c>
      <c r="D53" s="9" t="s">
        <v>958</v>
      </c>
      <c r="E53" s="9" t="s">
        <v>959</v>
      </c>
      <c r="F53" s="9" t="s">
        <v>960</v>
      </c>
      <c r="G53" s="9" t="s">
        <v>963</v>
      </c>
      <c r="L53" s="30">
        <f>$I$10*$L$10</f>
        <v>0</v>
      </c>
      <c r="M53" s="30">
        <f>$I$10*$M$10</f>
        <v>0</v>
      </c>
      <c r="N53" s="30">
        <f>$I$10*$N$10</f>
        <v>0</v>
      </c>
      <c r="O53" s="30">
        <f>$I$10*$O$10</f>
        <v>0</v>
      </c>
      <c r="P53" s="30">
        <f>$I$10*$P$10</f>
        <v>235.14964370404715</v>
      </c>
      <c r="Q53" s="30">
        <f>$I$10*$Q$10</f>
        <v>0</v>
      </c>
      <c r="R53" s="30">
        <f>$I$10*$R$10</f>
        <v>0</v>
      </c>
      <c r="S53" s="30">
        <f>$I$10*$S$10</f>
        <v>0</v>
      </c>
      <c r="T53" s="30">
        <f>$I$10*$T$10</f>
        <v>0</v>
      </c>
      <c r="U53" s="30">
        <f>$I$10*$U$10</f>
        <v>0</v>
      </c>
      <c r="W53" s="30">
        <f>$I$10*$W$10</f>
        <v>0</v>
      </c>
      <c r="X53" s="30">
        <f>$I$10*$X$10</f>
        <v>0</v>
      </c>
      <c r="Y53" s="30">
        <f>$I$10*$Y$10</f>
        <v>0</v>
      </c>
      <c r="Z53" s="30">
        <f>$I$10*$Z$10</f>
        <v>0</v>
      </c>
      <c r="AA53" s="30">
        <f>$I$10*$AA$10</f>
        <v>169.58111866695953</v>
      </c>
      <c r="AB53" s="30">
        <f>$I$10*$AB$10</f>
        <v>0</v>
      </c>
      <c r="AC53" s="30">
        <f>$I$10*$AC$10</f>
        <v>0</v>
      </c>
      <c r="AD53" s="30">
        <f>$I$10*$AD$10</f>
        <v>0</v>
      </c>
      <c r="AE53" s="30">
        <f>$I$10*$AE$10</f>
        <v>1.2666049429231219</v>
      </c>
      <c r="AF53" s="30">
        <f>$I$10*$AF$10</f>
        <v>0</v>
      </c>
    </row>
    <row r="54" spans="1:32" ht="11.25" customHeight="1" x14ac:dyDescent="0.3">
      <c r="A54" s="9" t="s">
        <v>22</v>
      </c>
      <c r="B54" s="9" t="s">
        <v>964</v>
      </c>
      <c r="C54" s="9" t="s">
        <v>965</v>
      </c>
      <c r="D54" s="9" t="s">
        <v>966</v>
      </c>
      <c r="E54" s="9" t="s">
        <v>967</v>
      </c>
      <c r="F54" s="9" t="s">
        <v>968</v>
      </c>
      <c r="G54" s="9" t="s">
        <v>969</v>
      </c>
      <c r="L54" s="30">
        <f>$I$11*$L$11</f>
        <v>0</v>
      </c>
      <c r="M54" s="30">
        <f>$I$11*$M$11</f>
        <v>0</v>
      </c>
      <c r="N54" s="30">
        <f>$I$11*$N$11</f>
        <v>0</v>
      </c>
      <c r="O54" s="30">
        <f>$I$11*$O$11</f>
        <v>0</v>
      </c>
      <c r="P54" s="30">
        <f>$I$11*$P$11</f>
        <v>3266427.3202979723</v>
      </c>
      <c r="Q54" s="30">
        <f>$I$11*$Q$11</f>
        <v>0</v>
      </c>
      <c r="R54" s="30">
        <f>$I$11*$R$11</f>
        <v>0</v>
      </c>
      <c r="S54" s="30">
        <f>$I$11*$S$11</f>
        <v>0</v>
      </c>
      <c r="T54" s="30">
        <f>$I$11*$T$11</f>
        <v>0</v>
      </c>
      <c r="U54" s="30">
        <f>$I$11*$U$11</f>
        <v>0</v>
      </c>
      <c r="W54" s="30">
        <f>$I$11*$W$11</f>
        <v>0</v>
      </c>
      <c r="X54" s="30">
        <f>$I$11*$X$11</f>
        <v>0</v>
      </c>
      <c r="Y54" s="30">
        <f>$I$11*$Y$11</f>
        <v>0</v>
      </c>
      <c r="Z54" s="30">
        <f>$I$11*$Z$11</f>
        <v>0</v>
      </c>
      <c r="AA54" s="30">
        <f>$I$11*$AA$11</f>
        <v>2355625.0832240386</v>
      </c>
      <c r="AB54" s="30">
        <f>$I$11*$AB$11</f>
        <v>0</v>
      </c>
      <c r="AC54" s="30">
        <f>$I$11*$AC$11</f>
        <v>0</v>
      </c>
      <c r="AD54" s="30">
        <f>$I$11*$AD$11</f>
        <v>0</v>
      </c>
      <c r="AE54" s="30">
        <f>$I$11*$AE$11</f>
        <v>17594.213303574455</v>
      </c>
      <c r="AF54" s="30">
        <f>$I$11*$AF$11</f>
        <v>0</v>
      </c>
    </row>
    <row r="55" spans="1:32" ht="11.25" customHeight="1" x14ac:dyDescent="0.3">
      <c r="A55" s="9" t="s">
        <v>22</v>
      </c>
      <c r="B55" s="9" t="s">
        <v>964</v>
      </c>
      <c r="C55" s="9" t="s">
        <v>965</v>
      </c>
      <c r="D55" s="9" t="s">
        <v>970</v>
      </c>
      <c r="E55" s="9" t="s">
        <v>971</v>
      </c>
      <c r="F55" s="9" t="s">
        <v>972</v>
      </c>
      <c r="G55" s="9" t="s">
        <v>973</v>
      </c>
      <c r="L55" s="30">
        <f>$I$12*$L$12</f>
        <v>0</v>
      </c>
      <c r="M55" s="30">
        <f>$I$12*$M$12</f>
        <v>0</v>
      </c>
      <c r="N55" s="30">
        <f>$I$12*$N$12</f>
        <v>0</v>
      </c>
      <c r="O55" s="30">
        <f>$I$12*$O$12</f>
        <v>0</v>
      </c>
      <c r="P55" s="30">
        <f>$I$12*$P$12</f>
        <v>4465.8588451979585</v>
      </c>
      <c r="Q55" s="30">
        <f>$I$12*$Q$12</f>
        <v>0</v>
      </c>
      <c r="R55" s="30">
        <f>$I$12*$R$12</f>
        <v>0</v>
      </c>
      <c r="S55" s="30">
        <f>$I$12*$S$12</f>
        <v>0</v>
      </c>
      <c r="T55" s="30">
        <f>$I$12*$T$12</f>
        <v>0</v>
      </c>
      <c r="U55" s="30">
        <f>$I$12*$U$12</f>
        <v>0</v>
      </c>
      <c r="W55" s="30">
        <f>$I$12*$W$12</f>
        <v>0</v>
      </c>
      <c r="X55" s="30">
        <f>$I$12*$X$12</f>
        <v>0</v>
      </c>
      <c r="Y55" s="30">
        <f>$I$12*$Y$12</f>
        <v>0</v>
      </c>
      <c r="Z55" s="30">
        <f>$I$12*$Z$12</f>
        <v>0</v>
      </c>
      <c r="AA55" s="30">
        <f>$I$12*$AA$12</f>
        <v>3220.6101903796775</v>
      </c>
      <c r="AB55" s="30">
        <f>$I$12*$AB$12</f>
        <v>0</v>
      </c>
      <c r="AC55" s="30">
        <f>$I$12*$AC$12</f>
        <v>0</v>
      </c>
      <c r="AD55" s="30">
        <f>$I$12*$AD$12</f>
        <v>0</v>
      </c>
      <c r="AE55" s="30">
        <f>$I$12*$AE$12</f>
        <v>24.054805266231952</v>
      </c>
      <c r="AF55" s="30">
        <f>$I$12*$AF$12</f>
        <v>0</v>
      </c>
    </row>
    <row r="56" spans="1:32" ht="11.25" customHeight="1" x14ac:dyDescent="0.3">
      <c r="A56" s="9" t="s">
        <v>22</v>
      </c>
      <c r="B56" s="9" t="s">
        <v>964</v>
      </c>
      <c r="C56" s="9" t="s">
        <v>965</v>
      </c>
      <c r="D56" s="9" t="s">
        <v>974</v>
      </c>
      <c r="E56" s="9" t="s">
        <v>975</v>
      </c>
      <c r="F56" s="9" t="s">
        <v>976</v>
      </c>
      <c r="G56" s="9" t="s">
        <v>977</v>
      </c>
      <c r="L56" s="30">
        <f>$I$13*$L$13</f>
        <v>0</v>
      </c>
      <c r="M56" s="30">
        <f>$I$13*$M$13</f>
        <v>0</v>
      </c>
      <c r="N56" s="30">
        <f>$I$13*$N$13</f>
        <v>0</v>
      </c>
      <c r="O56" s="30">
        <f>$I$13*$O$13</f>
        <v>0</v>
      </c>
      <c r="P56" s="30">
        <f>$I$13*$P$13</f>
        <v>15303.776938480862</v>
      </c>
      <c r="Q56" s="30">
        <f>$I$13*$Q$13</f>
        <v>0</v>
      </c>
      <c r="R56" s="30">
        <f>$I$13*$R$13</f>
        <v>0</v>
      </c>
      <c r="S56" s="30">
        <f>$I$13*$S$13</f>
        <v>0</v>
      </c>
      <c r="T56" s="30">
        <f>$I$13*$T$13</f>
        <v>0</v>
      </c>
      <c r="U56" s="30">
        <f>$I$13*$U$13</f>
        <v>0</v>
      </c>
      <c r="W56" s="30">
        <f>$I$13*$W$13</f>
        <v>0</v>
      </c>
      <c r="X56" s="30">
        <f>$I$13*$X$13</f>
        <v>0</v>
      </c>
      <c r="Y56" s="30">
        <f>$I$13*$Y$13</f>
        <v>0</v>
      </c>
      <c r="Z56" s="30">
        <f>$I$13*$Z$13</f>
        <v>0</v>
      </c>
      <c r="AA56" s="30">
        <f>$I$13*$AA$13</f>
        <v>11036.510930560818</v>
      </c>
      <c r="AB56" s="30">
        <f>$I$13*$AB$13</f>
        <v>0</v>
      </c>
      <c r="AC56" s="30">
        <f>$I$13*$AC$13</f>
        <v>0</v>
      </c>
      <c r="AD56" s="30">
        <f>$I$13*$AD$13</f>
        <v>0</v>
      </c>
      <c r="AE56" s="30">
        <f>$I$13*$AE$13</f>
        <v>82.431932323353521</v>
      </c>
      <c r="AF56" s="30">
        <f>$I$13*$AF$13</f>
        <v>0</v>
      </c>
    </row>
    <row r="57" spans="1:32" ht="11.25" customHeight="1" x14ac:dyDescent="0.3">
      <c r="A57" s="9" t="s">
        <v>22</v>
      </c>
      <c r="B57" s="9" t="s">
        <v>964</v>
      </c>
      <c r="C57" s="9" t="s">
        <v>965</v>
      </c>
      <c r="D57" s="9" t="s">
        <v>978</v>
      </c>
      <c r="E57" s="9" t="s">
        <v>979</v>
      </c>
      <c r="F57" s="9" t="s">
        <v>980</v>
      </c>
      <c r="G57" s="9" t="s">
        <v>981</v>
      </c>
      <c r="L57" s="30">
        <f>$I$14*$L$14</f>
        <v>0</v>
      </c>
      <c r="M57" s="30">
        <f>$I$14*$M$14</f>
        <v>0</v>
      </c>
      <c r="N57" s="30">
        <f>$I$14*$N$14</f>
        <v>0</v>
      </c>
      <c r="O57" s="30">
        <f>$I$14*$O$14</f>
        <v>0</v>
      </c>
      <c r="P57" s="30">
        <f>$I$14*$P$14</f>
        <v>16213.419104505632</v>
      </c>
      <c r="Q57" s="30">
        <f>$I$14*$Q$14</f>
        <v>0</v>
      </c>
      <c r="R57" s="30">
        <f>$I$14*$R$14</f>
        <v>0</v>
      </c>
      <c r="S57" s="30">
        <f>$I$14*$S$14</f>
        <v>0</v>
      </c>
      <c r="T57" s="30">
        <f>$I$14*$T$14</f>
        <v>0</v>
      </c>
      <c r="U57" s="30">
        <f>$I$14*$U$14</f>
        <v>0</v>
      </c>
      <c r="W57" s="30">
        <f>$I$14*$W$14</f>
        <v>0</v>
      </c>
      <c r="X57" s="30">
        <f>$I$14*$X$14</f>
        <v>0</v>
      </c>
      <c r="Y57" s="30">
        <f>$I$14*$Y$14</f>
        <v>0</v>
      </c>
      <c r="Z57" s="30">
        <f>$I$14*$Z$14</f>
        <v>0</v>
      </c>
      <c r="AA57" s="30">
        <f>$I$14*$AA$14</f>
        <v>11692.510802264904</v>
      </c>
      <c r="AB57" s="30">
        <f>$I$14*$AB$14</f>
        <v>0</v>
      </c>
      <c r="AC57" s="30">
        <f>$I$14*$AC$14</f>
        <v>0</v>
      </c>
      <c r="AD57" s="30">
        <f>$I$14*$AD$14</f>
        <v>0</v>
      </c>
      <c r="AE57" s="30">
        <f>$I$14*$AE$14</f>
        <v>87.331609165851333</v>
      </c>
      <c r="AF57" s="30">
        <f>$I$14*$AF$14</f>
        <v>0</v>
      </c>
    </row>
    <row r="58" spans="1:32" ht="11.25" customHeight="1" x14ac:dyDescent="0.3">
      <c r="A58" s="9" t="s">
        <v>22</v>
      </c>
      <c r="B58" s="9" t="s">
        <v>964</v>
      </c>
      <c r="C58" s="9" t="s">
        <v>965</v>
      </c>
      <c r="D58" s="9" t="s">
        <v>982</v>
      </c>
      <c r="E58" s="9" t="s">
        <v>983</v>
      </c>
      <c r="F58" s="9" t="s">
        <v>984</v>
      </c>
      <c r="G58" s="9" t="s">
        <v>985</v>
      </c>
      <c r="L58" s="30">
        <f>$I$15*$L$15</f>
        <v>0</v>
      </c>
      <c r="M58" s="30">
        <f>$I$15*$M$15</f>
        <v>0</v>
      </c>
      <c r="N58" s="30">
        <f>$I$15*$N$15</f>
        <v>0</v>
      </c>
      <c r="O58" s="30">
        <f>$I$15*$O$15</f>
        <v>0</v>
      </c>
      <c r="P58" s="30">
        <f>$I$15*$P$15</f>
        <v>3015.2732793949344</v>
      </c>
      <c r="Q58" s="30">
        <f>$I$15*$Q$15</f>
        <v>0</v>
      </c>
      <c r="R58" s="30">
        <f>$I$15*$R$15</f>
        <v>0</v>
      </c>
      <c r="S58" s="30">
        <f>$I$15*$S$15</f>
        <v>0</v>
      </c>
      <c r="T58" s="30">
        <f>$I$15*$T$15</f>
        <v>0</v>
      </c>
      <c r="U58" s="30">
        <f>$I$15*$U$15</f>
        <v>0</v>
      </c>
      <c r="W58" s="30">
        <f>$I$15*$W$15</f>
        <v>0</v>
      </c>
      <c r="X58" s="30">
        <f>$I$15*$X$15</f>
        <v>0</v>
      </c>
      <c r="Y58" s="30">
        <f>$I$15*$Y$15</f>
        <v>0</v>
      </c>
      <c r="Z58" s="30">
        <f>$I$15*$Z$15</f>
        <v>0</v>
      </c>
      <c r="AA58" s="30">
        <f>$I$15*$AA$15</f>
        <v>2174.5021925269625</v>
      </c>
      <c r="AB58" s="30">
        <f>$I$15*$AB$15</f>
        <v>0</v>
      </c>
      <c r="AC58" s="30">
        <f>$I$15*$AC$15</f>
        <v>0</v>
      </c>
      <c r="AD58" s="30">
        <f>$I$15*$AD$15</f>
        <v>0</v>
      </c>
      <c r="AE58" s="30">
        <f>$I$15*$AE$15</f>
        <v>16.241402622545859</v>
      </c>
      <c r="AF58" s="30">
        <f>$I$15*$AF$15</f>
        <v>0</v>
      </c>
    </row>
    <row r="59" spans="1:32" ht="11.25" customHeight="1" x14ac:dyDescent="0.3">
      <c r="A59" s="9" t="s">
        <v>22</v>
      </c>
      <c r="B59" s="9" t="s">
        <v>986</v>
      </c>
      <c r="C59" s="9" t="s">
        <v>987</v>
      </c>
      <c r="D59" s="9" t="s">
        <v>988</v>
      </c>
      <c r="E59" s="9" t="s">
        <v>989</v>
      </c>
      <c r="F59" s="9" t="s">
        <v>990</v>
      </c>
      <c r="G59" s="9" t="s">
        <v>991</v>
      </c>
      <c r="L59" s="30">
        <f>$I$16*$L$16</f>
        <v>0</v>
      </c>
      <c r="M59" s="30">
        <f>$I$16*$M$16</f>
        <v>0</v>
      </c>
      <c r="N59" s="30">
        <f>$I$16*$N$16</f>
        <v>0</v>
      </c>
      <c r="O59" s="30">
        <f>$I$16*$O$16</f>
        <v>0</v>
      </c>
      <c r="P59" s="30">
        <f>$I$16*$P$16</f>
        <v>0</v>
      </c>
      <c r="Q59" s="30">
        <f>$I$16*$Q$16</f>
        <v>0</v>
      </c>
      <c r="R59" s="30">
        <f>$I$16*$R$16</f>
        <v>0</v>
      </c>
      <c r="S59" s="30">
        <f>$I$16*$S$16</f>
        <v>0</v>
      </c>
      <c r="T59" s="30">
        <f>$I$16*$T$16</f>
        <v>0</v>
      </c>
      <c r="U59" s="30">
        <f>$I$16*$U$16</f>
        <v>0</v>
      </c>
      <c r="W59" s="30">
        <f>$I$16*$W$16</f>
        <v>0</v>
      </c>
      <c r="X59" s="30">
        <f>$I$16*$X$16</f>
        <v>0</v>
      </c>
      <c r="Y59" s="30">
        <f>$I$16*$Y$16</f>
        <v>0</v>
      </c>
      <c r="Z59" s="30">
        <f>$I$16*$Z$16</f>
        <v>0</v>
      </c>
      <c r="AA59" s="30">
        <f>$I$16*$AA$16</f>
        <v>0</v>
      </c>
      <c r="AB59" s="30">
        <f>$I$16*$AB$16</f>
        <v>0</v>
      </c>
      <c r="AC59" s="30">
        <f>$I$16*$AC$16</f>
        <v>0</v>
      </c>
      <c r="AD59" s="30">
        <f>$I$16*$AD$16</f>
        <v>0</v>
      </c>
      <c r="AE59" s="30">
        <f>$I$16*$AE$16</f>
        <v>0</v>
      </c>
      <c r="AF59" s="30">
        <f>$I$16*$AF$16</f>
        <v>0</v>
      </c>
    </row>
    <row r="60" spans="1:32" ht="11.25" customHeight="1" x14ac:dyDescent="0.3">
      <c r="A60" s="9" t="s">
        <v>22</v>
      </c>
      <c r="B60" s="9" t="s">
        <v>986</v>
      </c>
      <c r="C60" s="9" t="s">
        <v>987</v>
      </c>
      <c r="D60" s="9" t="s">
        <v>992</v>
      </c>
      <c r="E60" s="9" t="s">
        <v>993</v>
      </c>
      <c r="F60" s="9" t="s">
        <v>994</v>
      </c>
      <c r="G60" s="9" t="s">
        <v>995</v>
      </c>
      <c r="L60" s="30">
        <f>$I$17*$L$17</f>
        <v>0</v>
      </c>
      <c r="M60" s="30">
        <f>$I$17*$M$17</f>
        <v>0</v>
      </c>
      <c r="N60" s="30">
        <f>$I$17*$N$17</f>
        <v>0</v>
      </c>
      <c r="O60" s="30">
        <f>$I$17*$O$17</f>
        <v>0</v>
      </c>
      <c r="P60" s="30">
        <f>$I$17*$P$17</f>
        <v>0</v>
      </c>
      <c r="Q60" s="30">
        <f>$I$17*$Q$17</f>
        <v>0</v>
      </c>
      <c r="R60" s="30">
        <f>$I$17*$R$17</f>
        <v>0</v>
      </c>
      <c r="S60" s="30">
        <f>$I$17*$S$17</f>
        <v>0</v>
      </c>
      <c r="T60" s="30">
        <f>$I$17*$T$17</f>
        <v>0</v>
      </c>
      <c r="U60" s="30">
        <f>$I$17*$U$17</f>
        <v>0</v>
      </c>
      <c r="W60" s="30">
        <f>$I$17*$W$17</f>
        <v>0</v>
      </c>
      <c r="X60" s="30">
        <f>$I$17*$X$17</f>
        <v>0</v>
      </c>
      <c r="Y60" s="30">
        <f>$I$17*$Y$17</f>
        <v>0</v>
      </c>
      <c r="Z60" s="30">
        <f>$I$17*$Z$17</f>
        <v>0</v>
      </c>
      <c r="AA60" s="30">
        <f>$I$17*$AA$17</f>
        <v>0</v>
      </c>
      <c r="AB60" s="30">
        <f>$I$17*$AB$17</f>
        <v>0</v>
      </c>
      <c r="AC60" s="30">
        <f>$I$17*$AC$17</f>
        <v>0</v>
      </c>
      <c r="AD60" s="30">
        <f>$I$17*$AD$17</f>
        <v>0</v>
      </c>
      <c r="AE60" s="30">
        <f>$I$17*$AE$17</f>
        <v>0</v>
      </c>
      <c r="AF60" s="30">
        <f>$I$17*$AF$17</f>
        <v>0</v>
      </c>
    </row>
    <row r="61" spans="1:32" ht="11.25" customHeight="1" x14ac:dyDescent="0.3">
      <c r="A61" s="9" t="s">
        <v>22</v>
      </c>
      <c r="B61" s="9" t="s">
        <v>986</v>
      </c>
      <c r="C61" s="9" t="s">
        <v>987</v>
      </c>
      <c r="D61" s="9" t="s">
        <v>996</v>
      </c>
      <c r="E61" s="9" t="s">
        <v>997</v>
      </c>
      <c r="F61" s="9" t="s">
        <v>998</v>
      </c>
      <c r="G61" s="9" t="s">
        <v>999</v>
      </c>
      <c r="L61" s="30">
        <f>$I$18*$L$18</f>
        <v>0</v>
      </c>
      <c r="M61" s="30">
        <f>$I$18*$M$18</f>
        <v>0</v>
      </c>
      <c r="N61" s="30">
        <f>$I$18*$N$18</f>
        <v>0</v>
      </c>
      <c r="O61" s="30">
        <f>$I$18*$O$18</f>
        <v>0</v>
      </c>
      <c r="P61" s="30">
        <f>$I$18*$P$18</f>
        <v>0</v>
      </c>
      <c r="Q61" s="30">
        <f>$I$18*$Q$18</f>
        <v>0</v>
      </c>
      <c r="R61" s="30">
        <f>$I$18*$R$18</f>
        <v>0</v>
      </c>
      <c r="S61" s="30">
        <f>$I$18*$S$18</f>
        <v>0</v>
      </c>
      <c r="T61" s="30">
        <f>$I$18*$T$18</f>
        <v>0</v>
      </c>
      <c r="U61" s="30">
        <f>$I$18*$U$18</f>
        <v>0</v>
      </c>
      <c r="W61" s="30">
        <f>$I$18*$W$18</f>
        <v>0</v>
      </c>
      <c r="X61" s="30">
        <f>$I$18*$X$18</f>
        <v>0</v>
      </c>
      <c r="Y61" s="30">
        <f>$I$18*$Y$18</f>
        <v>0</v>
      </c>
      <c r="Z61" s="30">
        <f>$I$18*$Z$18</f>
        <v>0</v>
      </c>
      <c r="AA61" s="30">
        <f>$I$18*$AA$18</f>
        <v>0</v>
      </c>
      <c r="AB61" s="30">
        <f>$I$18*$AB$18</f>
        <v>0</v>
      </c>
      <c r="AC61" s="30">
        <f>$I$18*$AC$18</f>
        <v>0</v>
      </c>
      <c r="AD61" s="30">
        <f>$I$18*$AD$18</f>
        <v>0</v>
      </c>
      <c r="AE61" s="30">
        <f>$I$18*$AE$18</f>
        <v>0</v>
      </c>
      <c r="AF61" s="30">
        <f>$I$18*$AF$18</f>
        <v>0</v>
      </c>
    </row>
    <row r="62" spans="1:32" ht="11.25" customHeight="1" x14ac:dyDescent="0.3">
      <c r="A62" s="9" t="s">
        <v>22</v>
      </c>
      <c r="B62" s="9" t="s">
        <v>986</v>
      </c>
      <c r="C62" s="9" t="s">
        <v>987</v>
      </c>
      <c r="D62" s="9" t="s">
        <v>1000</v>
      </c>
      <c r="E62" s="9" t="s">
        <v>1001</v>
      </c>
      <c r="F62" s="9" t="s">
        <v>1002</v>
      </c>
      <c r="G62" s="9" t="s">
        <v>1003</v>
      </c>
      <c r="L62" s="30">
        <f>$I$19*$L$19</f>
        <v>0</v>
      </c>
      <c r="M62" s="30">
        <f>$I$19*$M$19</f>
        <v>0</v>
      </c>
      <c r="N62" s="30">
        <f>$I$19*$N$19</f>
        <v>0</v>
      </c>
      <c r="O62" s="30">
        <f>$I$19*$O$19</f>
        <v>0</v>
      </c>
      <c r="P62" s="30">
        <f>$I$19*$P$19</f>
        <v>0</v>
      </c>
      <c r="Q62" s="30">
        <f>$I$19*$Q$19</f>
        <v>0</v>
      </c>
      <c r="R62" s="30">
        <f>$I$19*$R$19</f>
        <v>0</v>
      </c>
      <c r="S62" s="30">
        <f>$I$19*$S$19</f>
        <v>0</v>
      </c>
      <c r="T62" s="30">
        <f>$I$19*$T$19</f>
        <v>0</v>
      </c>
      <c r="U62" s="30">
        <f>$I$19*$U$19</f>
        <v>0</v>
      </c>
      <c r="W62" s="30">
        <f>$I$19*$W$19</f>
        <v>0</v>
      </c>
      <c r="X62" s="30">
        <f>$I$19*$X$19</f>
        <v>0</v>
      </c>
      <c r="Y62" s="30">
        <f>$I$19*$Y$19</f>
        <v>0</v>
      </c>
      <c r="Z62" s="30">
        <f>$I$19*$Z$19</f>
        <v>0</v>
      </c>
      <c r="AA62" s="30">
        <f>$I$19*$AA$19</f>
        <v>0</v>
      </c>
      <c r="AB62" s="30">
        <f>$I$19*$AB$19</f>
        <v>0</v>
      </c>
      <c r="AC62" s="30">
        <f>$I$19*$AC$19</f>
        <v>0</v>
      </c>
      <c r="AD62" s="30">
        <f>$I$19*$AD$19</f>
        <v>0</v>
      </c>
      <c r="AE62" s="30">
        <f>$I$19*$AE$19</f>
        <v>0</v>
      </c>
      <c r="AF62" s="30">
        <f>$I$19*$AF$19</f>
        <v>0</v>
      </c>
    </row>
    <row r="63" spans="1:32" ht="11.25" customHeight="1" x14ac:dyDescent="0.3">
      <c r="A63" s="9" t="s">
        <v>22</v>
      </c>
      <c r="B63" s="9" t="s">
        <v>986</v>
      </c>
      <c r="C63" s="9" t="s">
        <v>987</v>
      </c>
      <c r="D63" s="9" t="s">
        <v>1004</v>
      </c>
      <c r="E63" s="9" t="s">
        <v>1005</v>
      </c>
      <c r="F63" s="9" t="s">
        <v>1006</v>
      </c>
      <c r="G63" s="9" t="s">
        <v>1007</v>
      </c>
      <c r="L63" s="30">
        <f>$I$20*$L$20</f>
        <v>0</v>
      </c>
      <c r="M63" s="30">
        <f>$I$20*$M$20</f>
        <v>0</v>
      </c>
      <c r="N63" s="30">
        <f>$I$20*$N$20</f>
        <v>0</v>
      </c>
      <c r="O63" s="30">
        <f>$I$20*$O$20</f>
        <v>0</v>
      </c>
      <c r="P63" s="30">
        <f>$I$20*$P$20</f>
        <v>0</v>
      </c>
      <c r="Q63" s="30">
        <f>$I$20*$Q$20</f>
        <v>0</v>
      </c>
      <c r="R63" s="30">
        <f>$I$20*$R$20</f>
        <v>0</v>
      </c>
      <c r="S63" s="30">
        <f>$I$20*$S$20</f>
        <v>0</v>
      </c>
      <c r="T63" s="30">
        <f>$I$20*$T$20</f>
        <v>0</v>
      </c>
      <c r="U63" s="30">
        <f>$I$20*$U$20</f>
        <v>0</v>
      </c>
      <c r="W63" s="30">
        <f>$I$20*$W$20</f>
        <v>0</v>
      </c>
      <c r="X63" s="30">
        <f>$I$20*$X$20</f>
        <v>0</v>
      </c>
      <c r="Y63" s="30">
        <f>$I$20*$Y$20</f>
        <v>0</v>
      </c>
      <c r="Z63" s="30">
        <f>$I$20*$Z$20</f>
        <v>0</v>
      </c>
      <c r="AA63" s="30">
        <f>$I$20*$AA$20</f>
        <v>0</v>
      </c>
      <c r="AB63" s="30">
        <f>$I$20*$AB$20</f>
        <v>0</v>
      </c>
      <c r="AC63" s="30">
        <f>$I$20*$AC$20</f>
        <v>0</v>
      </c>
      <c r="AD63" s="30">
        <f>$I$20*$AD$20</f>
        <v>0</v>
      </c>
      <c r="AE63" s="30">
        <f>$I$20*$AE$20</f>
        <v>0</v>
      </c>
      <c r="AF63" s="30">
        <f>$I$20*$AF$20</f>
        <v>0</v>
      </c>
    </row>
    <row r="64" spans="1:32" ht="11.25" customHeight="1" x14ac:dyDescent="0.3">
      <c r="A64" s="9" t="s">
        <v>43</v>
      </c>
      <c r="B64" s="9" t="s">
        <v>1008</v>
      </c>
      <c r="C64" s="9" t="s">
        <v>1009</v>
      </c>
      <c r="D64" s="9" t="s">
        <v>1010</v>
      </c>
      <c r="E64" s="9" t="s">
        <v>1011</v>
      </c>
      <c r="F64" s="9" t="s">
        <v>1012</v>
      </c>
      <c r="G64" s="9" t="s">
        <v>1013</v>
      </c>
      <c r="L64" s="30">
        <f>$I$21*$L$21</f>
        <v>0</v>
      </c>
      <c r="M64" s="30">
        <f>$I$21*$M$21</f>
        <v>0</v>
      </c>
      <c r="N64" s="30">
        <f>$I$21*$N$21</f>
        <v>0</v>
      </c>
      <c r="O64" s="30">
        <f>$I$21*$O$21</f>
        <v>0</v>
      </c>
      <c r="P64" s="30">
        <f>$I$21*$P$21</f>
        <v>0</v>
      </c>
      <c r="Q64" s="30">
        <f>$I$21*$Q$21</f>
        <v>0</v>
      </c>
      <c r="R64" s="30">
        <f>$I$21*$R$21</f>
        <v>0</v>
      </c>
      <c r="S64" s="30">
        <f>$I$21*$S$21</f>
        <v>0</v>
      </c>
      <c r="T64" s="30">
        <f>$I$21*$T$21</f>
        <v>0</v>
      </c>
      <c r="U64" s="30">
        <f>$I$21*$U$21</f>
        <v>0</v>
      </c>
      <c r="W64" s="30">
        <f>$I$21*$W$21</f>
        <v>0</v>
      </c>
      <c r="X64" s="30">
        <f>$I$21*$X$21</f>
        <v>0</v>
      </c>
      <c r="Y64" s="30">
        <f>$I$21*$Y$21</f>
        <v>0</v>
      </c>
      <c r="Z64" s="30">
        <f>$I$21*$Z$21</f>
        <v>0</v>
      </c>
      <c r="AA64" s="30">
        <f>$I$21*$AA$21</f>
        <v>0</v>
      </c>
      <c r="AB64" s="30">
        <f>$I$21*$AB$21</f>
        <v>0</v>
      </c>
      <c r="AC64" s="30">
        <f>$I$21*$AC$21</f>
        <v>0</v>
      </c>
      <c r="AD64" s="30">
        <f>$I$21*$AD$21</f>
        <v>0</v>
      </c>
      <c r="AE64" s="30">
        <f>$I$21*$AE$21</f>
        <v>0</v>
      </c>
      <c r="AF64" s="30">
        <f>$I$21*$AF$21</f>
        <v>0</v>
      </c>
    </row>
    <row r="65" spans="1:32" ht="11.25" customHeight="1" x14ac:dyDescent="0.3">
      <c r="A65" s="9" t="s">
        <v>43</v>
      </c>
      <c r="B65" s="9" t="s">
        <v>1008</v>
      </c>
      <c r="C65" s="9" t="s">
        <v>1009</v>
      </c>
      <c r="D65" s="9" t="s">
        <v>1010</v>
      </c>
      <c r="E65" s="9" t="s">
        <v>1011</v>
      </c>
      <c r="F65" s="9" t="s">
        <v>1012</v>
      </c>
      <c r="G65" s="9" t="s">
        <v>1014</v>
      </c>
      <c r="L65" s="30">
        <f>$I$22*$L$22</f>
        <v>0</v>
      </c>
      <c r="M65" s="30">
        <f>$I$22*$M$22</f>
        <v>0</v>
      </c>
      <c r="N65" s="30">
        <f>$I$22*$N$22</f>
        <v>0</v>
      </c>
      <c r="O65" s="30">
        <f>$I$22*$O$22</f>
        <v>0</v>
      </c>
      <c r="P65" s="30">
        <f>$I$22*$P$22</f>
        <v>0</v>
      </c>
      <c r="Q65" s="30">
        <f>$I$22*$Q$22</f>
        <v>0</v>
      </c>
      <c r="R65" s="30">
        <f>$I$22*$R$22</f>
        <v>0</v>
      </c>
      <c r="S65" s="30">
        <f>$I$22*$S$22</f>
        <v>0</v>
      </c>
      <c r="T65" s="30">
        <f>$I$22*$T$22</f>
        <v>0</v>
      </c>
      <c r="U65" s="30">
        <f>$I$22*$U$22</f>
        <v>0</v>
      </c>
      <c r="W65" s="30">
        <f>$I$22*$W$22</f>
        <v>0</v>
      </c>
      <c r="X65" s="30">
        <f>$I$22*$X$22</f>
        <v>0</v>
      </c>
      <c r="Y65" s="30">
        <f>$I$22*$Y$22</f>
        <v>0</v>
      </c>
      <c r="Z65" s="30">
        <f>$I$22*$Z$22</f>
        <v>0</v>
      </c>
      <c r="AA65" s="30">
        <f>$I$22*$AA$22</f>
        <v>0</v>
      </c>
      <c r="AB65" s="30">
        <f>$I$22*$AB$22</f>
        <v>0</v>
      </c>
      <c r="AC65" s="30">
        <f>$I$22*$AC$22</f>
        <v>0</v>
      </c>
      <c r="AD65" s="30">
        <f>$I$22*$AD$22</f>
        <v>0</v>
      </c>
      <c r="AE65" s="30">
        <f>$I$22*$AE$22</f>
        <v>0</v>
      </c>
      <c r="AF65" s="30">
        <f>$I$22*$AF$22</f>
        <v>0</v>
      </c>
    </row>
    <row r="66" spans="1:32" ht="11.25" customHeight="1" x14ac:dyDescent="0.3">
      <c r="A66" s="9" t="s">
        <v>43</v>
      </c>
      <c r="B66" s="9" t="s">
        <v>1008</v>
      </c>
      <c r="C66" s="9" t="s">
        <v>1009</v>
      </c>
      <c r="D66" s="9" t="s">
        <v>1010</v>
      </c>
      <c r="E66" s="9" t="s">
        <v>1011</v>
      </c>
      <c r="F66" s="9" t="s">
        <v>1012</v>
      </c>
      <c r="G66" s="9" t="s">
        <v>1015</v>
      </c>
      <c r="L66" s="30">
        <f>$I$23*$L$23</f>
        <v>0</v>
      </c>
      <c r="M66" s="30">
        <f>$I$23*$M$23</f>
        <v>0</v>
      </c>
      <c r="N66" s="30">
        <f>$I$23*$N$23</f>
        <v>0</v>
      </c>
      <c r="O66" s="30">
        <f>$I$23*$O$23</f>
        <v>0</v>
      </c>
      <c r="P66" s="30">
        <f>$I$23*$P$23</f>
        <v>0</v>
      </c>
      <c r="Q66" s="30">
        <f>$I$23*$Q$23</f>
        <v>0</v>
      </c>
      <c r="R66" s="30">
        <f>$I$23*$R$23</f>
        <v>0</v>
      </c>
      <c r="S66" s="30">
        <f>$I$23*$S$23</f>
        <v>0</v>
      </c>
      <c r="T66" s="30">
        <f>$I$23*$T$23</f>
        <v>0</v>
      </c>
      <c r="U66" s="30">
        <f>$I$23*$U$23</f>
        <v>0</v>
      </c>
      <c r="W66" s="30">
        <f>$I$23*$W$23</f>
        <v>0</v>
      </c>
      <c r="X66" s="30">
        <f>$I$23*$X$23</f>
        <v>0</v>
      </c>
      <c r="Y66" s="30">
        <f>$I$23*$Y$23</f>
        <v>0</v>
      </c>
      <c r="Z66" s="30">
        <f>$I$23*$Z$23</f>
        <v>0</v>
      </c>
      <c r="AA66" s="30">
        <f>$I$23*$AA$23</f>
        <v>0</v>
      </c>
      <c r="AB66" s="30">
        <f>$I$23*$AB$23</f>
        <v>0</v>
      </c>
      <c r="AC66" s="30">
        <f>$I$23*$AC$23</f>
        <v>0</v>
      </c>
      <c r="AD66" s="30">
        <f>$I$23*$AD$23</f>
        <v>0</v>
      </c>
      <c r="AE66" s="30">
        <f>$I$23*$AE$23</f>
        <v>0</v>
      </c>
      <c r="AF66" s="30">
        <f>$I$23*$AF$23</f>
        <v>0</v>
      </c>
    </row>
    <row r="67" spans="1:32" ht="11.25" customHeight="1" x14ac:dyDescent="0.3">
      <c r="A67" s="9" t="s">
        <v>43</v>
      </c>
      <c r="B67" s="9" t="s">
        <v>1016</v>
      </c>
      <c r="C67" s="9" t="s">
        <v>1017</v>
      </c>
      <c r="D67" s="9" t="s">
        <v>1018</v>
      </c>
      <c r="E67" s="9" t="s">
        <v>1019</v>
      </c>
      <c r="F67" s="9" t="s">
        <v>1020</v>
      </c>
      <c r="G67" s="9" t="s">
        <v>1021</v>
      </c>
      <c r="L67" s="30">
        <f>$I$24*$L$24</f>
        <v>0</v>
      </c>
      <c r="M67" s="30">
        <f>$I$24*$M$24</f>
        <v>0</v>
      </c>
      <c r="N67" s="30">
        <f>$I$24*$N$24</f>
        <v>0</v>
      </c>
      <c r="O67" s="30">
        <f>$I$24*$O$24</f>
        <v>0</v>
      </c>
      <c r="P67" s="30">
        <f>$I$24*$P$24</f>
        <v>186609.61768591838</v>
      </c>
      <c r="Q67" s="30">
        <f>$I$24*$Q$24</f>
        <v>0</v>
      </c>
      <c r="R67" s="30">
        <f>$I$24*$R$24</f>
        <v>0</v>
      </c>
      <c r="S67" s="30">
        <f>$I$24*$S$24</f>
        <v>0</v>
      </c>
      <c r="T67" s="30">
        <f>$I$24*$T$24</f>
        <v>0</v>
      </c>
      <c r="U67" s="30">
        <f>$I$24*$U$24</f>
        <v>0</v>
      </c>
      <c r="W67" s="30">
        <f>$I$24*$W$24</f>
        <v>0</v>
      </c>
      <c r="X67" s="30">
        <f>$I$24*$X$24</f>
        <v>0</v>
      </c>
      <c r="Y67" s="30">
        <f>$I$24*$Y$24</f>
        <v>0</v>
      </c>
      <c r="Z67" s="30">
        <f>$I$24*$Z$24</f>
        <v>0</v>
      </c>
      <c r="AA67" s="30">
        <f>$I$24*$AA$24</f>
        <v>125985.92021220367</v>
      </c>
      <c r="AB67" s="30">
        <f>$I$24*$AB$24</f>
        <v>0</v>
      </c>
      <c r="AC67" s="30">
        <f>$I$24*$AC$24</f>
        <v>0</v>
      </c>
      <c r="AD67" s="30">
        <f>$I$24*$AD$24</f>
        <v>0</v>
      </c>
      <c r="AE67" s="30">
        <f>$I$24*$AE$24</f>
        <v>940.99148852110113</v>
      </c>
      <c r="AF67" s="30">
        <f>$I$24*$AF$24</f>
        <v>0</v>
      </c>
    </row>
    <row r="68" spans="1:32" ht="11.25" customHeight="1" x14ac:dyDescent="0.3">
      <c r="A68" s="9" t="s">
        <v>43</v>
      </c>
      <c r="B68" s="9" t="s">
        <v>1008</v>
      </c>
      <c r="C68" s="9" t="s">
        <v>1009</v>
      </c>
      <c r="D68" s="9" t="s">
        <v>1022</v>
      </c>
      <c r="E68" s="9" t="s">
        <v>1023</v>
      </c>
      <c r="F68" s="9" t="s">
        <v>1024</v>
      </c>
      <c r="G68" s="9" t="s">
        <v>1025</v>
      </c>
      <c r="L68" s="30">
        <f>$I$25*$L$25</f>
        <v>0</v>
      </c>
      <c r="M68" s="30">
        <f>$I$25*$M$25</f>
        <v>0</v>
      </c>
      <c r="N68" s="30">
        <f>$I$25*$N$25</f>
        <v>0</v>
      </c>
      <c r="O68" s="30">
        <f>$I$25*$O$25</f>
        <v>0</v>
      </c>
      <c r="P68" s="30">
        <f>$I$25*$P$25</f>
        <v>0</v>
      </c>
      <c r="Q68" s="30">
        <f>$I$25*$Q$25</f>
        <v>0</v>
      </c>
      <c r="R68" s="30">
        <f>$I$25*$R$25</f>
        <v>0</v>
      </c>
      <c r="S68" s="30">
        <f>$I$25*$S$25</f>
        <v>0</v>
      </c>
      <c r="T68" s="30">
        <f>$I$25*$T$25</f>
        <v>0</v>
      </c>
      <c r="U68" s="30">
        <f>$I$25*$U$25</f>
        <v>0</v>
      </c>
      <c r="W68" s="30">
        <f>$I$25*$W$25</f>
        <v>0</v>
      </c>
      <c r="X68" s="30">
        <f>$I$25*$X$25</f>
        <v>0</v>
      </c>
      <c r="Y68" s="30">
        <f>$I$25*$Y$25</f>
        <v>0</v>
      </c>
      <c r="Z68" s="30">
        <f>$I$25*$Z$25</f>
        <v>0</v>
      </c>
      <c r="AA68" s="30">
        <f>$I$25*$AA$25</f>
        <v>0</v>
      </c>
      <c r="AB68" s="30">
        <f>$I$25*$AB$25</f>
        <v>0</v>
      </c>
      <c r="AC68" s="30">
        <f>$I$25*$AC$25</f>
        <v>0</v>
      </c>
      <c r="AD68" s="30">
        <f>$I$25*$AD$25</f>
        <v>0</v>
      </c>
      <c r="AE68" s="30">
        <f>$I$25*$AE$25</f>
        <v>0</v>
      </c>
      <c r="AF68" s="30">
        <f>$I$25*$AF$25</f>
        <v>0</v>
      </c>
    </row>
    <row r="69" spans="1:32" ht="11.25" customHeight="1" x14ac:dyDescent="0.3">
      <c r="A69" s="9" t="s">
        <v>43</v>
      </c>
      <c r="B69" s="9" t="s">
        <v>1008</v>
      </c>
      <c r="C69" s="9" t="s">
        <v>1009</v>
      </c>
      <c r="D69" s="9" t="s">
        <v>1022</v>
      </c>
      <c r="E69" s="9" t="s">
        <v>1023</v>
      </c>
      <c r="F69" s="9" t="s">
        <v>1024</v>
      </c>
      <c r="G69" s="9" t="s">
        <v>1026</v>
      </c>
      <c r="L69" s="30">
        <f>$I$26*$L$26</f>
        <v>0</v>
      </c>
      <c r="M69" s="30">
        <f>$I$26*$M$26</f>
        <v>0</v>
      </c>
      <c r="N69" s="30">
        <f>$I$26*$N$26</f>
        <v>0</v>
      </c>
      <c r="O69" s="30">
        <f>$I$26*$O$26</f>
        <v>0</v>
      </c>
      <c r="P69" s="30">
        <f>$I$26*$P$26</f>
        <v>0</v>
      </c>
      <c r="Q69" s="30">
        <f>$I$26*$Q$26</f>
        <v>0</v>
      </c>
      <c r="R69" s="30">
        <f>$I$26*$R$26</f>
        <v>0</v>
      </c>
      <c r="S69" s="30">
        <f>$I$26*$S$26</f>
        <v>0</v>
      </c>
      <c r="T69" s="30">
        <f>$I$26*$T$26</f>
        <v>0</v>
      </c>
      <c r="U69" s="30">
        <f>$I$26*$U$26</f>
        <v>0</v>
      </c>
      <c r="W69" s="30">
        <f>$I$26*$W$26</f>
        <v>0</v>
      </c>
      <c r="X69" s="30">
        <f>$I$26*$X$26</f>
        <v>0</v>
      </c>
      <c r="Y69" s="30">
        <f>$I$26*$Y$26</f>
        <v>0</v>
      </c>
      <c r="Z69" s="30">
        <f>$I$26*$Z$26</f>
        <v>0</v>
      </c>
      <c r="AA69" s="30">
        <f>$I$26*$AA$26</f>
        <v>0</v>
      </c>
      <c r="AB69" s="30">
        <f>$I$26*$AB$26</f>
        <v>0</v>
      </c>
      <c r="AC69" s="30">
        <f>$I$26*$AC$26</f>
        <v>0</v>
      </c>
      <c r="AD69" s="30">
        <f>$I$26*$AD$26</f>
        <v>0</v>
      </c>
      <c r="AE69" s="30">
        <f>$I$26*$AE$26</f>
        <v>0</v>
      </c>
      <c r="AF69" s="30">
        <f>$I$26*$AF$26</f>
        <v>0</v>
      </c>
    </row>
    <row r="70" spans="1:32" ht="11.25" customHeight="1" x14ac:dyDescent="0.3">
      <c r="A70" s="9" t="s">
        <v>43</v>
      </c>
      <c r="B70" s="9" t="s">
        <v>1008</v>
      </c>
      <c r="C70" s="9" t="s">
        <v>1009</v>
      </c>
      <c r="D70" s="9" t="s">
        <v>1022</v>
      </c>
      <c r="E70" s="9" t="s">
        <v>1023</v>
      </c>
      <c r="F70" s="9" t="s">
        <v>1024</v>
      </c>
      <c r="G70" s="9" t="s">
        <v>1027</v>
      </c>
      <c r="L70" s="30">
        <f>$I$27*$L$27</f>
        <v>0</v>
      </c>
      <c r="M70" s="30">
        <f>$I$27*$M$27</f>
        <v>0</v>
      </c>
      <c r="N70" s="30">
        <f>$I$27*$N$27</f>
        <v>0</v>
      </c>
      <c r="O70" s="30">
        <f>$I$27*$O$27</f>
        <v>0</v>
      </c>
      <c r="P70" s="30">
        <f>$I$27*$P$27</f>
        <v>0</v>
      </c>
      <c r="Q70" s="30">
        <f>$I$27*$Q$27</f>
        <v>0</v>
      </c>
      <c r="R70" s="30">
        <f>$I$27*$R$27</f>
        <v>0</v>
      </c>
      <c r="S70" s="30">
        <f>$I$27*$S$27</f>
        <v>0</v>
      </c>
      <c r="T70" s="30">
        <f>$I$27*$T$27</f>
        <v>0</v>
      </c>
      <c r="U70" s="30">
        <f>$I$27*$U$27</f>
        <v>0</v>
      </c>
      <c r="W70" s="30">
        <f>$I$27*$W$27</f>
        <v>0</v>
      </c>
      <c r="X70" s="30">
        <f>$I$27*$X$27</f>
        <v>0</v>
      </c>
      <c r="Y70" s="30">
        <f>$I$27*$Y$27</f>
        <v>0</v>
      </c>
      <c r="Z70" s="30">
        <f>$I$27*$Z$27</f>
        <v>0</v>
      </c>
      <c r="AA70" s="30">
        <f>$I$27*$AA$27</f>
        <v>0</v>
      </c>
      <c r="AB70" s="30">
        <f>$I$27*$AB$27</f>
        <v>0</v>
      </c>
      <c r="AC70" s="30">
        <f>$I$27*$AC$27</f>
        <v>0</v>
      </c>
      <c r="AD70" s="30">
        <f>$I$27*$AD$27</f>
        <v>0</v>
      </c>
      <c r="AE70" s="30">
        <f>$I$27*$AE$27</f>
        <v>0</v>
      </c>
      <c r="AF70" s="30">
        <f>$I$27*$AF$27</f>
        <v>0</v>
      </c>
    </row>
    <row r="71" spans="1:32" ht="11.25" customHeight="1" x14ac:dyDescent="0.3">
      <c r="A71" s="9" t="s">
        <v>43</v>
      </c>
      <c r="B71" s="9" t="s">
        <v>1016</v>
      </c>
      <c r="C71" s="9" t="s">
        <v>1017</v>
      </c>
      <c r="D71" s="9" t="s">
        <v>1028</v>
      </c>
      <c r="E71" s="9" t="s">
        <v>1029</v>
      </c>
      <c r="F71" s="9" t="s">
        <v>1030</v>
      </c>
      <c r="G71" s="9" t="s">
        <v>1031</v>
      </c>
      <c r="L71" s="30">
        <f>$I$28*$L$28</f>
        <v>0</v>
      </c>
      <c r="M71" s="30">
        <f>$I$28*$M$28</f>
        <v>0</v>
      </c>
      <c r="N71" s="30">
        <f>$I$28*$N$28</f>
        <v>0</v>
      </c>
      <c r="O71" s="30">
        <f>$I$28*$O$28</f>
        <v>0</v>
      </c>
      <c r="P71" s="30">
        <f>$I$28*$P$28</f>
        <v>0</v>
      </c>
      <c r="Q71" s="30">
        <f>$I$28*$Q$28</f>
        <v>0</v>
      </c>
      <c r="R71" s="30">
        <f>$I$28*$R$28</f>
        <v>0</v>
      </c>
      <c r="S71" s="30">
        <f>$I$28*$S$28</f>
        <v>0</v>
      </c>
      <c r="T71" s="30">
        <f>$I$28*$T$28</f>
        <v>0</v>
      </c>
      <c r="U71" s="30">
        <f>$I$28*$U$28</f>
        <v>0</v>
      </c>
      <c r="W71" s="30">
        <f>$I$28*$W$28</f>
        <v>0</v>
      </c>
      <c r="X71" s="30">
        <f>$I$28*$X$28</f>
        <v>0</v>
      </c>
      <c r="Y71" s="30">
        <f>$I$28*$Y$28</f>
        <v>0</v>
      </c>
      <c r="Z71" s="30">
        <f>$I$28*$Z$28</f>
        <v>0</v>
      </c>
      <c r="AA71" s="30">
        <f>$I$28*$AA$28</f>
        <v>0</v>
      </c>
      <c r="AB71" s="30">
        <f>$I$28*$AB$28</f>
        <v>0</v>
      </c>
      <c r="AC71" s="30">
        <f>$I$28*$AC$28</f>
        <v>0</v>
      </c>
      <c r="AD71" s="30">
        <f>$I$28*$AD$28</f>
        <v>0</v>
      </c>
      <c r="AE71" s="30">
        <f>$I$28*$AE$28</f>
        <v>0</v>
      </c>
      <c r="AF71" s="30">
        <f>$I$28*$AF$28</f>
        <v>0</v>
      </c>
    </row>
    <row r="72" spans="1:32" ht="11.25" customHeight="1" x14ac:dyDescent="0.3">
      <c r="A72" s="9" t="s">
        <v>43</v>
      </c>
      <c r="B72" s="9" t="s">
        <v>1008</v>
      </c>
      <c r="C72" s="9" t="s">
        <v>1009</v>
      </c>
      <c r="D72" s="9" t="s">
        <v>1032</v>
      </c>
      <c r="E72" s="9" t="s">
        <v>1033</v>
      </c>
      <c r="F72" s="9" t="s">
        <v>1034</v>
      </c>
      <c r="G72" s="9" t="s">
        <v>1035</v>
      </c>
      <c r="L72" s="30">
        <f>$I$29*$L$29</f>
        <v>0</v>
      </c>
      <c r="M72" s="30">
        <f>$I$29*$M$29</f>
        <v>0</v>
      </c>
      <c r="N72" s="30">
        <f>$I$29*$N$29</f>
        <v>0</v>
      </c>
      <c r="O72" s="30">
        <f>$I$29*$O$29</f>
        <v>0</v>
      </c>
      <c r="P72" s="30">
        <f>$I$29*$P$29</f>
        <v>0</v>
      </c>
      <c r="Q72" s="30">
        <f>$I$29*$Q$29</f>
        <v>0</v>
      </c>
      <c r="R72" s="30">
        <f>$I$29*$R$29</f>
        <v>0</v>
      </c>
      <c r="S72" s="30">
        <f>$I$29*$S$29</f>
        <v>0</v>
      </c>
      <c r="T72" s="30">
        <f>$I$29*$T$29</f>
        <v>0</v>
      </c>
      <c r="U72" s="30">
        <f>$I$29*$U$29</f>
        <v>0</v>
      </c>
      <c r="W72" s="30">
        <f>$I$29*$W$29</f>
        <v>0</v>
      </c>
      <c r="X72" s="30">
        <f>$I$29*$X$29</f>
        <v>0</v>
      </c>
      <c r="Y72" s="30">
        <f>$I$29*$Y$29</f>
        <v>0</v>
      </c>
      <c r="Z72" s="30">
        <f>$I$29*$Z$29</f>
        <v>0</v>
      </c>
      <c r="AA72" s="30">
        <f>$I$29*$AA$29</f>
        <v>0</v>
      </c>
      <c r="AB72" s="30">
        <f>$I$29*$AB$29</f>
        <v>0</v>
      </c>
      <c r="AC72" s="30">
        <f>$I$29*$AC$29</f>
        <v>0</v>
      </c>
      <c r="AD72" s="30">
        <f>$I$29*$AD$29</f>
        <v>0</v>
      </c>
      <c r="AE72" s="30">
        <f>$I$29*$AE$29</f>
        <v>0</v>
      </c>
      <c r="AF72" s="30">
        <f>$I$29*$AF$29</f>
        <v>0</v>
      </c>
    </row>
    <row r="73" spans="1:32" ht="11.25" customHeight="1" x14ac:dyDescent="0.3">
      <c r="A73" s="9" t="s">
        <v>43</v>
      </c>
      <c r="B73" s="9" t="s">
        <v>1008</v>
      </c>
      <c r="C73" s="9" t="s">
        <v>1009</v>
      </c>
      <c r="D73" s="9" t="s">
        <v>1032</v>
      </c>
      <c r="E73" s="9" t="s">
        <v>1033</v>
      </c>
      <c r="F73" s="9" t="s">
        <v>1034</v>
      </c>
      <c r="G73" s="9" t="s">
        <v>1036</v>
      </c>
      <c r="L73" s="30">
        <f>$I$30*$L$30</f>
        <v>0</v>
      </c>
      <c r="M73" s="30">
        <f>$I$30*$M$30</f>
        <v>0</v>
      </c>
      <c r="N73" s="30">
        <f>$I$30*$N$30</f>
        <v>0</v>
      </c>
      <c r="O73" s="30">
        <f>$I$30*$O$30</f>
        <v>0</v>
      </c>
      <c r="P73" s="30">
        <f>$I$30*$P$30</f>
        <v>0</v>
      </c>
      <c r="Q73" s="30">
        <f>$I$30*$Q$30</f>
        <v>0</v>
      </c>
      <c r="R73" s="30">
        <f>$I$30*$R$30</f>
        <v>0</v>
      </c>
      <c r="S73" s="30">
        <f>$I$30*$S$30</f>
        <v>0</v>
      </c>
      <c r="T73" s="30">
        <f>$I$30*$T$30</f>
        <v>0</v>
      </c>
      <c r="U73" s="30">
        <f>$I$30*$U$30</f>
        <v>0</v>
      </c>
      <c r="W73" s="30">
        <f>$I$30*$W$30</f>
        <v>0</v>
      </c>
      <c r="X73" s="30">
        <f>$I$30*$X$30</f>
        <v>0</v>
      </c>
      <c r="Y73" s="30">
        <f>$I$30*$Y$30</f>
        <v>0</v>
      </c>
      <c r="Z73" s="30">
        <f>$I$30*$Z$30</f>
        <v>0</v>
      </c>
      <c r="AA73" s="30">
        <f>$I$30*$AA$30</f>
        <v>0</v>
      </c>
      <c r="AB73" s="30">
        <f>$I$30*$AB$30</f>
        <v>0</v>
      </c>
      <c r="AC73" s="30">
        <f>$I$30*$AC$30</f>
        <v>0</v>
      </c>
      <c r="AD73" s="30">
        <f>$I$30*$AD$30</f>
        <v>0</v>
      </c>
      <c r="AE73" s="30">
        <f>$I$30*$AE$30</f>
        <v>0</v>
      </c>
      <c r="AF73" s="30">
        <f>$I$30*$AF$30</f>
        <v>0</v>
      </c>
    </row>
    <row r="74" spans="1:32" ht="11.25" customHeight="1" x14ac:dyDescent="0.3">
      <c r="A74" s="9" t="s">
        <v>43</v>
      </c>
      <c r="B74" s="9" t="s">
        <v>1008</v>
      </c>
      <c r="C74" s="9" t="s">
        <v>1009</v>
      </c>
      <c r="D74" s="9" t="s">
        <v>1032</v>
      </c>
      <c r="E74" s="9" t="s">
        <v>1033</v>
      </c>
      <c r="F74" s="9" t="s">
        <v>1034</v>
      </c>
      <c r="G74" s="9" t="s">
        <v>1037</v>
      </c>
      <c r="L74" s="30">
        <f>$I$31*$L$31</f>
        <v>0</v>
      </c>
      <c r="M74" s="30">
        <f>$I$31*$M$31</f>
        <v>0</v>
      </c>
      <c r="N74" s="30">
        <f>$I$31*$N$31</f>
        <v>0</v>
      </c>
      <c r="O74" s="30">
        <f>$I$31*$O$31</f>
        <v>0</v>
      </c>
      <c r="P74" s="30">
        <f>$I$31*$P$31</f>
        <v>0</v>
      </c>
      <c r="Q74" s="30">
        <f>$I$31*$Q$31</f>
        <v>0</v>
      </c>
      <c r="R74" s="30">
        <f>$I$31*$R$31</f>
        <v>0</v>
      </c>
      <c r="S74" s="30">
        <f>$I$31*$S$31</f>
        <v>0</v>
      </c>
      <c r="T74" s="30">
        <f>$I$31*$T$31</f>
        <v>0</v>
      </c>
      <c r="U74" s="30">
        <f>$I$31*$U$31</f>
        <v>0</v>
      </c>
      <c r="W74" s="30">
        <f>$I$31*$W$31</f>
        <v>0</v>
      </c>
      <c r="X74" s="30">
        <f>$I$31*$X$31</f>
        <v>0</v>
      </c>
      <c r="Y74" s="30">
        <f>$I$31*$Y$31</f>
        <v>0</v>
      </c>
      <c r="Z74" s="30">
        <f>$I$31*$Z$31</f>
        <v>0</v>
      </c>
      <c r="AA74" s="30">
        <f>$I$31*$AA$31</f>
        <v>0</v>
      </c>
      <c r="AB74" s="30">
        <f>$I$31*$AB$31</f>
        <v>0</v>
      </c>
      <c r="AC74" s="30">
        <f>$I$31*$AC$31</f>
        <v>0</v>
      </c>
      <c r="AD74" s="30">
        <f>$I$31*$AD$31</f>
        <v>0</v>
      </c>
      <c r="AE74" s="30">
        <f>$I$31*$AE$31</f>
        <v>0</v>
      </c>
      <c r="AF74" s="30">
        <f>$I$31*$AF$31</f>
        <v>0</v>
      </c>
    </row>
    <row r="75" spans="1:32" ht="11.25" customHeight="1" x14ac:dyDescent="0.3">
      <c r="A75" s="9" t="s">
        <v>43</v>
      </c>
      <c r="B75" s="9" t="s">
        <v>1016</v>
      </c>
      <c r="C75" s="9" t="s">
        <v>1017</v>
      </c>
      <c r="D75" s="9" t="s">
        <v>1038</v>
      </c>
      <c r="E75" s="9" t="s">
        <v>1039</v>
      </c>
      <c r="F75" s="9" t="s">
        <v>1040</v>
      </c>
      <c r="G75" s="9" t="s">
        <v>1041</v>
      </c>
      <c r="L75" s="30">
        <f>$I$32*$L$32</f>
        <v>0</v>
      </c>
      <c r="M75" s="30">
        <f>$I$32*$M$32</f>
        <v>0</v>
      </c>
      <c r="N75" s="30">
        <f>$I$32*$N$32</f>
        <v>0</v>
      </c>
      <c r="O75" s="30">
        <f>$I$32*$O$32</f>
        <v>0</v>
      </c>
      <c r="P75" s="30">
        <f>$I$32*$P$32</f>
        <v>0</v>
      </c>
      <c r="Q75" s="30">
        <f>$I$32*$Q$32</f>
        <v>0</v>
      </c>
      <c r="R75" s="30">
        <f>$I$32*$R$32</f>
        <v>0</v>
      </c>
      <c r="S75" s="30">
        <f>$I$32*$S$32</f>
        <v>0</v>
      </c>
      <c r="T75" s="30">
        <f>$I$32*$T$32</f>
        <v>0</v>
      </c>
      <c r="U75" s="30">
        <f>$I$32*$U$32</f>
        <v>0</v>
      </c>
      <c r="W75" s="30">
        <f>$I$32*$W$32</f>
        <v>0</v>
      </c>
      <c r="X75" s="30">
        <f>$I$32*$X$32</f>
        <v>0</v>
      </c>
      <c r="Y75" s="30">
        <f>$I$32*$Y$32</f>
        <v>0</v>
      </c>
      <c r="Z75" s="30">
        <f>$I$32*$Z$32</f>
        <v>0</v>
      </c>
      <c r="AA75" s="30">
        <f>$I$32*$AA$32</f>
        <v>0</v>
      </c>
      <c r="AB75" s="30">
        <f>$I$32*$AB$32</f>
        <v>0</v>
      </c>
      <c r="AC75" s="30">
        <f>$I$32*$AC$32</f>
        <v>0</v>
      </c>
      <c r="AD75" s="30">
        <f>$I$32*$AD$32</f>
        <v>0</v>
      </c>
      <c r="AE75" s="30">
        <f>$I$32*$AE$32</f>
        <v>0</v>
      </c>
      <c r="AF75" s="30">
        <f>$I$32*$AF$32</f>
        <v>0</v>
      </c>
    </row>
    <row r="76" spans="1:32" ht="11.25" customHeight="1" x14ac:dyDescent="0.3">
      <c r="A76" s="9" t="s">
        <v>43</v>
      </c>
      <c r="B76" s="9" t="s">
        <v>1042</v>
      </c>
      <c r="C76" s="9" t="s">
        <v>1043</v>
      </c>
      <c r="D76" s="9" t="s">
        <v>1044</v>
      </c>
      <c r="E76" s="9" t="s">
        <v>1045</v>
      </c>
      <c r="F76" s="9" t="s">
        <v>1046</v>
      </c>
      <c r="G76" s="9" t="s">
        <v>1047</v>
      </c>
      <c r="L76" s="30">
        <f>$I$33*$L$33</f>
        <v>0</v>
      </c>
      <c r="M76" s="30">
        <f>$I$33*$M$33</f>
        <v>0</v>
      </c>
      <c r="N76" s="30">
        <f>$I$33*$N$33</f>
        <v>0</v>
      </c>
      <c r="O76" s="30">
        <f>$I$33*$O$33</f>
        <v>0</v>
      </c>
      <c r="P76" s="30">
        <f>$I$33*$P$33</f>
        <v>0</v>
      </c>
      <c r="Q76" s="30">
        <f>$I$33*$Q$33</f>
        <v>0</v>
      </c>
      <c r="R76" s="30">
        <f>$I$33*$R$33</f>
        <v>0</v>
      </c>
      <c r="S76" s="30">
        <f>$I$33*$S$33</f>
        <v>0</v>
      </c>
      <c r="T76" s="30">
        <f>$I$33*$T$33</f>
        <v>0</v>
      </c>
      <c r="U76" s="30">
        <f>$I$33*$U$33</f>
        <v>0</v>
      </c>
      <c r="W76" s="30">
        <f>$I$33*$W$33</f>
        <v>0</v>
      </c>
      <c r="X76" s="30">
        <f>$I$33*$X$33</f>
        <v>0</v>
      </c>
      <c r="Y76" s="30">
        <f>$I$33*$Y$33</f>
        <v>0</v>
      </c>
      <c r="Z76" s="30">
        <f>$I$33*$Z$33</f>
        <v>0</v>
      </c>
      <c r="AA76" s="30">
        <f>$I$33*$AA$33</f>
        <v>0</v>
      </c>
      <c r="AB76" s="30">
        <f>$I$33*$AB$33</f>
        <v>0</v>
      </c>
      <c r="AC76" s="30">
        <f>$I$33*$AC$33</f>
        <v>0</v>
      </c>
      <c r="AD76" s="30">
        <f>$I$33*$AD$33</f>
        <v>0</v>
      </c>
      <c r="AE76" s="30">
        <f>$I$33*$AE$33</f>
        <v>0</v>
      </c>
      <c r="AF76" s="30">
        <f>$I$33*$AF$33</f>
        <v>0</v>
      </c>
    </row>
    <row r="77" spans="1:32" ht="11.25" customHeight="1" x14ac:dyDescent="0.3">
      <c r="A77" s="9" t="s">
        <v>43</v>
      </c>
      <c r="B77" s="9" t="s">
        <v>1042</v>
      </c>
      <c r="C77" s="9" t="s">
        <v>1043</v>
      </c>
      <c r="D77" s="9" t="s">
        <v>1048</v>
      </c>
      <c r="E77" s="9" t="s">
        <v>1049</v>
      </c>
      <c r="F77" s="9" t="s">
        <v>1050</v>
      </c>
      <c r="G77" s="9" t="s">
        <v>1051</v>
      </c>
      <c r="L77" s="30">
        <f>$I$34*$L$34</f>
        <v>0</v>
      </c>
      <c r="M77" s="30">
        <f>$I$34*$M$34</f>
        <v>0</v>
      </c>
      <c r="N77" s="30">
        <f>$I$34*$N$34</f>
        <v>0</v>
      </c>
      <c r="O77" s="30">
        <f>$I$34*$O$34</f>
        <v>0</v>
      </c>
      <c r="P77" s="30">
        <f>$I$34*$P$34</f>
        <v>0</v>
      </c>
      <c r="Q77" s="30">
        <f>$I$34*$Q$34</f>
        <v>0</v>
      </c>
      <c r="R77" s="30">
        <f>$I$34*$R$34</f>
        <v>0</v>
      </c>
      <c r="S77" s="30">
        <f>$I$34*$S$34</f>
        <v>0</v>
      </c>
      <c r="T77" s="30">
        <f>$I$34*$T$34</f>
        <v>0</v>
      </c>
      <c r="U77" s="30">
        <f>$I$34*$U$34</f>
        <v>0</v>
      </c>
      <c r="W77" s="30">
        <f>$I$34*$W$34</f>
        <v>0</v>
      </c>
      <c r="X77" s="30">
        <f>$I$34*$X$34</f>
        <v>0</v>
      </c>
      <c r="Y77" s="30">
        <f>$I$34*$Y$34</f>
        <v>0</v>
      </c>
      <c r="Z77" s="30">
        <f>$I$34*$Z$34</f>
        <v>0</v>
      </c>
      <c r="AA77" s="30">
        <f>$I$34*$AA$34</f>
        <v>0</v>
      </c>
      <c r="AB77" s="30">
        <f>$I$34*$AB$34</f>
        <v>0</v>
      </c>
      <c r="AC77" s="30">
        <f>$I$34*$AC$34</f>
        <v>0</v>
      </c>
      <c r="AD77" s="30">
        <f>$I$34*$AD$34</f>
        <v>0</v>
      </c>
      <c r="AE77" s="30">
        <f>$I$34*$AE$34</f>
        <v>0</v>
      </c>
      <c r="AF77" s="30">
        <f>$I$34*$AF$34</f>
        <v>0</v>
      </c>
    </row>
    <row r="78" spans="1:32" ht="11.25" customHeight="1" x14ac:dyDescent="0.3">
      <c r="A78" s="9" t="s">
        <v>43</v>
      </c>
      <c r="B78" s="9" t="s">
        <v>1042</v>
      </c>
      <c r="C78" s="9" t="s">
        <v>1043</v>
      </c>
      <c r="D78" s="9" t="s">
        <v>1052</v>
      </c>
      <c r="E78" s="9" t="s">
        <v>1053</v>
      </c>
      <c r="F78" s="9" t="s">
        <v>1054</v>
      </c>
      <c r="G78" s="9" t="s">
        <v>1055</v>
      </c>
      <c r="L78" s="30">
        <f>$I$35*$L$35</f>
        <v>0</v>
      </c>
      <c r="M78" s="30">
        <f>$I$35*$M$35</f>
        <v>0</v>
      </c>
      <c r="N78" s="30">
        <f>$I$35*$N$35</f>
        <v>0</v>
      </c>
      <c r="O78" s="30">
        <f>$I$35*$O$35</f>
        <v>0</v>
      </c>
      <c r="P78" s="30">
        <f>$I$35*$P$35</f>
        <v>0</v>
      </c>
      <c r="Q78" s="30">
        <f>$I$35*$Q$35</f>
        <v>0</v>
      </c>
      <c r="R78" s="30">
        <f>$I$35*$R$35</f>
        <v>0</v>
      </c>
      <c r="S78" s="30">
        <f>$I$35*$S$35</f>
        <v>0</v>
      </c>
      <c r="T78" s="30">
        <f>$I$35*$T$35</f>
        <v>0</v>
      </c>
      <c r="U78" s="30">
        <f>$I$35*$U$35</f>
        <v>0</v>
      </c>
      <c r="W78" s="30">
        <f>$I$35*$W$35</f>
        <v>0</v>
      </c>
      <c r="X78" s="30">
        <f>$I$35*$X$35</f>
        <v>0</v>
      </c>
      <c r="Y78" s="30">
        <f>$I$35*$Y$35</f>
        <v>0</v>
      </c>
      <c r="Z78" s="30">
        <f>$I$35*$Z$35</f>
        <v>0</v>
      </c>
      <c r="AA78" s="30">
        <f>$I$35*$AA$35</f>
        <v>0</v>
      </c>
      <c r="AB78" s="30">
        <f>$I$35*$AB$35</f>
        <v>0</v>
      </c>
      <c r="AC78" s="30">
        <f>$I$35*$AC$35</f>
        <v>0</v>
      </c>
      <c r="AD78" s="30">
        <f>$I$35*$AD$35</f>
        <v>0</v>
      </c>
      <c r="AE78" s="30">
        <f>$I$35*$AE$35</f>
        <v>0</v>
      </c>
      <c r="AF78" s="30">
        <f>$I$35*$AF$35</f>
        <v>0</v>
      </c>
    </row>
    <row r="79" spans="1:32" ht="11.25" customHeight="1" x14ac:dyDescent="0.3">
      <c r="A79" s="9" t="s">
        <v>35</v>
      </c>
      <c r="B79" s="9" t="s">
        <v>1056</v>
      </c>
      <c r="C79" s="9" t="s">
        <v>1057</v>
      </c>
      <c r="D79" s="9" t="s">
        <v>1058</v>
      </c>
      <c r="E79" s="9" t="s">
        <v>1059</v>
      </c>
      <c r="F79" s="9" t="s">
        <v>1060</v>
      </c>
      <c r="G79" s="9" t="s">
        <v>1061</v>
      </c>
      <c r="L79" s="30">
        <f>$I$36*$L$36</f>
        <v>0</v>
      </c>
      <c r="M79" s="30">
        <f>$I$36*$M$36</f>
        <v>0</v>
      </c>
      <c r="N79" s="30">
        <f>$I$36*$N$36</f>
        <v>0</v>
      </c>
      <c r="O79" s="30">
        <f>$I$36*$O$36</f>
        <v>0</v>
      </c>
      <c r="P79" s="30">
        <f>$I$36*$P$36</f>
        <v>128.65430576775577</v>
      </c>
      <c r="Q79" s="30">
        <f>$I$36*$Q$36</f>
        <v>0</v>
      </c>
      <c r="R79" s="30">
        <f>$I$36*$R$36</f>
        <v>0</v>
      </c>
      <c r="S79" s="30">
        <f>$I$36*$S$36</f>
        <v>0</v>
      </c>
      <c r="T79" s="30">
        <f>$I$36*$T$36</f>
        <v>0</v>
      </c>
      <c r="U79" s="30">
        <f>$I$36*$U$36</f>
        <v>0</v>
      </c>
      <c r="W79" s="30">
        <f>$I$36*$W$36</f>
        <v>0</v>
      </c>
      <c r="X79" s="30">
        <f>$I$36*$X$36</f>
        <v>0</v>
      </c>
      <c r="Y79" s="30">
        <f>$I$36*$Y$36</f>
        <v>0</v>
      </c>
      <c r="Z79" s="30">
        <f>$I$36*$Z$36</f>
        <v>0</v>
      </c>
      <c r="AA79" s="30">
        <f>$I$36*$AA$36</f>
        <v>92.78066830020714</v>
      </c>
      <c r="AB79" s="30">
        <f>$I$36*$AB$36</f>
        <v>0</v>
      </c>
      <c r="AC79" s="30">
        <f>$I$36*$AC$36</f>
        <v>0</v>
      </c>
      <c r="AD79" s="30">
        <f>$I$36*$AD$36</f>
        <v>0</v>
      </c>
      <c r="AE79" s="30">
        <f>$I$36*$AE$36</f>
        <v>0.69298076342769976</v>
      </c>
      <c r="AF79" s="30">
        <f>$I$36*$AF$36</f>
        <v>0</v>
      </c>
    </row>
    <row r="80" spans="1:32" ht="11.25" customHeight="1" x14ac:dyDescent="0.3">
      <c r="A80" s="9" t="s">
        <v>35</v>
      </c>
      <c r="B80" s="9" t="s">
        <v>1056</v>
      </c>
      <c r="C80" s="9" t="s">
        <v>1057</v>
      </c>
      <c r="D80" s="9" t="s">
        <v>1058</v>
      </c>
      <c r="E80" s="9" t="s">
        <v>1059</v>
      </c>
      <c r="F80" s="9" t="s">
        <v>1060</v>
      </c>
      <c r="G80" s="9" t="s">
        <v>1062</v>
      </c>
      <c r="L80" s="30">
        <f>$I$37*$L$37</f>
        <v>0</v>
      </c>
      <c r="M80" s="30">
        <f>$I$37*$M$37</f>
        <v>0</v>
      </c>
      <c r="N80" s="30">
        <f>$I$37*$N$37</f>
        <v>0</v>
      </c>
      <c r="O80" s="30">
        <f>$I$37*$O$37</f>
        <v>0</v>
      </c>
      <c r="P80" s="30">
        <f>$I$37*$P$37</f>
        <v>78.713945431171908</v>
      </c>
      <c r="Q80" s="30">
        <f>$I$37*$Q$37</f>
        <v>0</v>
      </c>
      <c r="R80" s="30">
        <f>$I$37*$R$37</f>
        <v>0</v>
      </c>
      <c r="S80" s="30">
        <f>$I$37*$S$37</f>
        <v>0</v>
      </c>
      <c r="T80" s="30">
        <f>$I$37*$T$37</f>
        <v>0</v>
      </c>
      <c r="U80" s="30">
        <f>$I$37*$U$37</f>
        <v>0</v>
      </c>
      <c r="W80" s="30">
        <f>$I$37*$W$37</f>
        <v>0</v>
      </c>
      <c r="X80" s="30">
        <f>$I$37*$X$37</f>
        <v>0</v>
      </c>
      <c r="Y80" s="30">
        <f>$I$37*$Y$37</f>
        <v>0</v>
      </c>
      <c r="Z80" s="30">
        <f>$I$37*$Z$37</f>
        <v>0</v>
      </c>
      <c r="AA80" s="30">
        <f>$I$37*$AA$37</f>
        <v>56.765550271077885</v>
      </c>
      <c r="AB80" s="30">
        <f>$I$37*$AB$37</f>
        <v>0</v>
      </c>
      <c r="AC80" s="30">
        <f>$I$37*$AC$37</f>
        <v>0</v>
      </c>
      <c r="AD80" s="30">
        <f>$I$37*$AD$37</f>
        <v>0</v>
      </c>
      <c r="AE80" s="30">
        <f>$I$37*$AE$37</f>
        <v>0.42398308919226874</v>
      </c>
      <c r="AF80" s="30">
        <f>$I$37*$AF$37</f>
        <v>0</v>
      </c>
    </row>
    <row r="81" spans="1:32" ht="11.25" customHeight="1" x14ac:dyDescent="0.3">
      <c r="A81" s="9" t="s">
        <v>35</v>
      </c>
      <c r="B81" s="9" t="s">
        <v>1056</v>
      </c>
      <c r="C81" s="9" t="s">
        <v>1057</v>
      </c>
      <c r="D81" s="9" t="s">
        <v>1058</v>
      </c>
      <c r="E81" s="9" t="s">
        <v>1059</v>
      </c>
      <c r="F81" s="9" t="s">
        <v>1060</v>
      </c>
      <c r="G81" s="9" t="s">
        <v>1063</v>
      </c>
      <c r="L81" s="30">
        <f>$I$38*$L$38</f>
        <v>0</v>
      </c>
      <c r="M81" s="30">
        <f>$I$38*$M$38</f>
        <v>0</v>
      </c>
      <c r="N81" s="30">
        <f>$I$38*$N$38</f>
        <v>0</v>
      </c>
      <c r="O81" s="30">
        <f>$I$38*$O$38</f>
        <v>0</v>
      </c>
      <c r="P81" s="30">
        <f>$I$38*$P$38</f>
        <v>935.30688100568977</v>
      </c>
      <c r="Q81" s="30">
        <f>$I$38*$Q$38</f>
        <v>0</v>
      </c>
      <c r="R81" s="30">
        <f>$I$38*$R$38</f>
        <v>0</v>
      </c>
      <c r="S81" s="30">
        <f>$I$38*$S$38</f>
        <v>0</v>
      </c>
      <c r="T81" s="30">
        <f>$I$38*$T$38</f>
        <v>0</v>
      </c>
      <c r="U81" s="30">
        <f>$I$38*$U$38</f>
        <v>0</v>
      </c>
      <c r="W81" s="30">
        <f>$I$38*$W$38</f>
        <v>0</v>
      </c>
      <c r="X81" s="30">
        <f>$I$38*$X$38</f>
        <v>0</v>
      </c>
      <c r="Y81" s="30">
        <f>$I$38*$Y$38</f>
        <v>0</v>
      </c>
      <c r="Z81" s="30">
        <f>$I$38*$Z$38</f>
        <v>0</v>
      </c>
      <c r="AA81" s="30">
        <f>$I$38*$AA$38</f>
        <v>674.50830322104309</v>
      </c>
      <c r="AB81" s="30">
        <f>$I$38*$AB$38</f>
        <v>0</v>
      </c>
      <c r="AC81" s="30">
        <f>$I$38*$AC$38</f>
        <v>0</v>
      </c>
      <c r="AD81" s="30">
        <f>$I$38*$AD$38</f>
        <v>0</v>
      </c>
      <c r="AE81" s="30">
        <f>$I$38*$AE$38</f>
        <v>5.0379167068728403</v>
      </c>
      <c r="AF81" s="30">
        <f>$I$38*$AF$38</f>
        <v>0</v>
      </c>
    </row>
    <row r="82" spans="1:32" ht="11.25" customHeight="1" x14ac:dyDescent="0.3">
      <c r="A82" s="9" t="s">
        <v>35</v>
      </c>
      <c r="B82" s="9" t="s">
        <v>1064</v>
      </c>
      <c r="C82" s="9" t="s">
        <v>1065</v>
      </c>
      <c r="D82" s="9" t="s">
        <v>1066</v>
      </c>
      <c r="E82" s="9" t="s">
        <v>1067</v>
      </c>
      <c r="F82" s="9" t="s">
        <v>1068</v>
      </c>
      <c r="G82" s="9" t="s">
        <v>1069</v>
      </c>
      <c r="L82" s="30">
        <f>$I$39*$L$39</f>
        <v>0</v>
      </c>
      <c r="M82" s="30">
        <f>$I$39*$M$39</f>
        <v>0</v>
      </c>
      <c r="N82" s="30">
        <f>$I$39*$N$39</f>
        <v>0</v>
      </c>
      <c r="O82" s="30">
        <f>$I$39*$O$39</f>
        <v>0</v>
      </c>
      <c r="P82" s="30">
        <f>$I$39*$P$39</f>
        <v>594983.49989452329</v>
      </c>
      <c r="Q82" s="30">
        <f>$I$39*$Q$39</f>
        <v>0</v>
      </c>
      <c r="R82" s="30">
        <f>$I$39*$R$39</f>
        <v>0</v>
      </c>
      <c r="S82" s="30">
        <f>$I$39*$S$39</f>
        <v>0</v>
      </c>
      <c r="T82" s="30">
        <f>$I$39*$T$39</f>
        <v>0</v>
      </c>
      <c r="U82" s="30">
        <f>$I$39*$U$39</f>
        <v>0</v>
      </c>
      <c r="W82" s="30">
        <f>$I$39*$W$39</f>
        <v>0</v>
      </c>
      <c r="X82" s="30">
        <f>$I$39*$X$39</f>
        <v>0</v>
      </c>
      <c r="Y82" s="30">
        <f>$I$39*$Y$39</f>
        <v>0</v>
      </c>
      <c r="Z82" s="30">
        <f>$I$39*$Z$39</f>
        <v>0</v>
      </c>
      <c r="AA82" s="30">
        <f>$I$39*$AA$39</f>
        <v>429079.82300616824</v>
      </c>
      <c r="AB82" s="30">
        <f>$I$39*$AB$39</f>
        <v>0</v>
      </c>
      <c r="AC82" s="30">
        <f>$I$39*$AC$39</f>
        <v>0</v>
      </c>
      <c r="AD82" s="30">
        <f>$I$39*$AD$39</f>
        <v>0</v>
      </c>
      <c r="AE82" s="30">
        <f>$I$39*$AE$39</f>
        <v>3204.8062248930032</v>
      </c>
      <c r="AF82" s="30">
        <f>$I$39*$AF$39</f>
        <v>0</v>
      </c>
    </row>
    <row r="83" spans="1:32" ht="11.25" customHeight="1" x14ac:dyDescent="0.3">
      <c r="A83" s="9" t="s">
        <v>35</v>
      </c>
      <c r="B83" s="9" t="s">
        <v>1070</v>
      </c>
      <c r="C83" s="9" t="s">
        <v>1071</v>
      </c>
      <c r="D83" s="9" t="s">
        <v>1072</v>
      </c>
      <c r="E83" s="9" t="s">
        <v>1073</v>
      </c>
      <c r="F83" s="9" t="s">
        <v>1074</v>
      </c>
      <c r="G83" s="9" t="s">
        <v>1075</v>
      </c>
      <c r="L83" s="30">
        <f>$I$40*$L$40</f>
        <v>0</v>
      </c>
      <c r="M83" s="30">
        <f>$I$40*$M$40</f>
        <v>0</v>
      </c>
      <c r="N83" s="30">
        <f>$I$40*$N$40</f>
        <v>0</v>
      </c>
      <c r="O83" s="30">
        <f>$I$40*$O$40</f>
        <v>0</v>
      </c>
      <c r="P83" s="30">
        <f>$I$40*$P$40</f>
        <v>0</v>
      </c>
      <c r="Q83" s="30">
        <f>$I$40*$Q$40</f>
        <v>0</v>
      </c>
      <c r="R83" s="30">
        <f>$I$40*$R$40</f>
        <v>0</v>
      </c>
      <c r="S83" s="30">
        <f>$I$40*$S$40</f>
        <v>0</v>
      </c>
      <c r="T83" s="30">
        <f>$I$40*$T$40</f>
        <v>0</v>
      </c>
      <c r="U83" s="30">
        <f>$I$40*$U$40</f>
        <v>0</v>
      </c>
      <c r="W83" s="30">
        <f>$I$40*$W$40</f>
        <v>0</v>
      </c>
      <c r="X83" s="30">
        <f>$I$40*$X$40</f>
        <v>0</v>
      </c>
      <c r="Y83" s="30">
        <f>$I$40*$Y$40</f>
        <v>0</v>
      </c>
      <c r="Z83" s="30">
        <f>$I$40*$Z$40</f>
        <v>0</v>
      </c>
      <c r="AA83" s="30">
        <f>$I$40*$AA$40</f>
        <v>0</v>
      </c>
      <c r="AB83" s="30">
        <f>$I$40*$AB$40</f>
        <v>0</v>
      </c>
      <c r="AC83" s="30">
        <f>$I$40*$AC$40</f>
        <v>0</v>
      </c>
      <c r="AD83" s="30">
        <f>$I$40*$AD$40</f>
        <v>0</v>
      </c>
      <c r="AE83" s="30">
        <f>$I$40*$AE$40</f>
        <v>0</v>
      </c>
      <c r="AF83" s="30">
        <f>$I$40*$AF$40</f>
        <v>0</v>
      </c>
    </row>
    <row r="84" spans="1:32" ht="11.25" customHeight="1" x14ac:dyDescent="0.3">
      <c r="A84" s="9" t="s">
        <v>46</v>
      </c>
      <c r="B84" s="9" t="s">
        <v>1076</v>
      </c>
      <c r="C84" s="9" t="s">
        <v>1077</v>
      </c>
      <c r="D84" s="9" t="s">
        <v>1078</v>
      </c>
      <c r="E84" s="9" t="s">
        <v>1079</v>
      </c>
      <c r="F84" s="9" t="s">
        <v>1080</v>
      </c>
      <c r="G84" s="9" t="s">
        <v>1081</v>
      </c>
      <c r="L84" s="30">
        <f>$I$41*$L$41</f>
        <v>0</v>
      </c>
      <c r="M84" s="30">
        <f>$I$41*$M$41</f>
        <v>0</v>
      </c>
      <c r="N84" s="30">
        <f>$I$41*$N$41</f>
        <v>0</v>
      </c>
      <c r="O84" s="30">
        <f>$I$41*$O$41</f>
        <v>0</v>
      </c>
      <c r="P84" s="30">
        <f>$I$41*$P$41</f>
        <v>575613.51928588236</v>
      </c>
      <c r="Q84" s="30">
        <f>$I$41*$Q$41</f>
        <v>0</v>
      </c>
      <c r="R84" s="30">
        <f>$I$41*$R$41</f>
        <v>0</v>
      </c>
      <c r="S84" s="30">
        <f>$I$41*$S$41</f>
        <v>0</v>
      </c>
      <c r="T84" s="30">
        <f>$I$41*$T$41</f>
        <v>0</v>
      </c>
      <c r="U84" s="30">
        <f>$I$41*$U$41</f>
        <v>0</v>
      </c>
      <c r="W84" s="30">
        <f>$I$41*$W$41</f>
        <v>0</v>
      </c>
      <c r="X84" s="30">
        <f>$I$41*$X$41</f>
        <v>0</v>
      </c>
      <c r="Y84" s="30">
        <f>$I$41*$Y$41</f>
        <v>0</v>
      </c>
      <c r="Z84" s="30">
        <f>$I$41*$Z$41</f>
        <v>0</v>
      </c>
      <c r="AA84" s="30">
        <f>$I$41*$AA$41</f>
        <v>415110.91823374573</v>
      </c>
      <c r="AB84" s="30">
        <f>$I$41*$AB$41</f>
        <v>0</v>
      </c>
      <c r="AC84" s="30">
        <f>$I$41*$AC$41</f>
        <v>0</v>
      </c>
      <c r="AD84" s="30">
        <f>$I$41*$AD$41</f>
        <v>0</v>
      </c>
      <c r="AE84" s="30">
        <f>$I$41*$AE$41</f>
        <v>3100.472181273924</v>
      </c>
      <c r="AF84" s="30">
        <f>$I$41*$AF$41</f>
        <v>0</v>
      </c>
    </row>
    <row r="85" spans="1:32" ht="11.25" customHeight="1" x14ac:dyDescent="0.3">
      <c r="A85" s="9" t="s">
        <v>46</v>
      </c>
      <c r="B85" s="9" t="s">
        <v>1076</v>
      </c>
      <c r="C85" s="9" t="s">
        <v>1077</v>
      </c>
      <c r="D85" s="9" t="s">
        <v>1082</v>
      </c>
      <c r="E85" s="9" t="s">
        <v>1083</v>
      </c>
      <c r="F85" s="9" t="s">
        <v>1084</v>
      </c>
      <c r="G85" s="9" t="s">
        <v>1085</v>
      </c>
      <c r="L85" s="30">
        <f>$I$42*$L$42</f>
        <v>0</v>
      </c>
      <c r="M85" s="30">
        <f>$I$42*$M$42</f>
        <v>0</v>
      </c>
      <c r="N85" s="30">
        <f>$I$42*$N$42</f>
        <v>0</v>
      </c>
      <c r="O85" s="30">
        <f>$I$42*$O$42</f>
        <v>0</v>
      </c>
      <c r="P85" s="30">
        <f>$I$42*$P$42</f>
        <v>0</v>
      </c>
      <c r="Q85" s="30">
        <f>$I$42*$Q$42</f>
        <v>0</v>
      </c>
      <c r="R85" s="30">
        <f>$I$42*$R$42</f>
        <v>0</v>
      </c>
      <c r="S85" s="30">
        <f>$I$42*$S$42</f>
        <v>0</v>
      </c>
      <c r="T85" s="30">
        <f>$I$42*$T$42</f>
        <v>0</v>
      </c>
      <c r="U85" s="30">
        <f>$I$42*$U$42</f>
        <v>0</v>
      </c>
      <c r="W85" s="30">
        <f>$I$42*$W$42</f>
        <v>0</v>
      </c>
      <c r="X85" s="30">
        <f>$I$42*$X$42</f>
        <v>0</v>
      </c>
      <c r="Y85" s="30">
        <f>$I$42*$Y$42</f>
        <v>0</v>
      </c>
      <c r="Z85" s="30">
        <f>$I$42*$Z$42</f>
        <v>0</v>
      </c>
      <c r="AA85" s="30">
        <f>$I$42*$AA$42</f>
        <v>0</v>
      </c>
      <c r="AB85" s="30">
        <f>$I$42*$AB$42</f>
        <v>0</v>
      </c>
      <c r="AC85" s="30">
        <f>$I$42*$AC$42</f>
        <v>0</v>
      </c>
      <c r="AD85" s="30">
        <f>$I$42*$AD$42</f>
        <v>0</v>
      </c>
      <c r="AE85" s="30">
        <f>$I$42*$AE$42</f>
        <v>0</v>
      </c>
      <c r="AF85" s="30">
        <f>$I$42*$AF$42</f>
        <v>0</v>
      </c>
    </row>
  </sheetData>
  <mergeCells count="69">
    <mergeCell ref="L44:U44"/>
    <mergeCell ref="W44:AF44"/>
    <mergeCell ref="L45:U45"/>
    <mergeCell ref="W45:AF45"/>
    <mergeCell ref="L46:O46"/>
    <mergeCell ref="Q46:S46"/>
    <mergeCell ref="W46:Z46"/>
    <mergeCell ref="AB46:AD46"/>
    <mergeCell ref="E36:E38"/>
    <mergeCell ref="F36:F38"/>
    <mergeCell ref="A41:A42"/>
    <mergeCell ref="B41:B42"/>
    <mergeCell ref="C41:C42"/>
    <mergeCell ref="A36:A40"/>
    <mergeCell ref="B36:B38"/>
    <mergeCell ref="C36:C38"/>
    <mergeCell ref="D36:D38"/>
    <mergeCell ref="W1:AF1"/>
    <mergeCell ref="W2:AF2"/>
    <mergeCell ref="W3:Z3"/>
    <mergeCell ref="AB3:AD3"/>
    <mergeCell ref="B33:B35"/>
    <mergeCell ref="C33:C35"/>
    <mergeCell ref="F25:F27"/>
    <mergeCell ref="B29:B31"/>
    <mergeCell ref="C29:C31"/>
    <mergeCell ref="D29:D31"/>
    <mergeCell ref="E29:E31"/>
    <mergeCell ref="F29:F31"/>
    <mergeCell ref="F21:F23"/>
    <mergeCell ref="F8:F10"/>
    <mergeCell ref="F5:F6"/>
    <mergeCell ref="G1:G4"/>
    <mergeCell ref="A21:A35"/>
    <mergeCell ref="B21:B23"/>
    <mergeCell ref="C21:C23"/>
    <mergeCell ref="D21:D23"/>
    <mergeCell ref="E21:E23"/>
    <mergeCell ref="B25:B27"/>
    <mergeCell ref="C25:C27"/>
    <mergeCell ref="D25:D27"/>
    <mergeCell ref="E25:E27"/>
    <mergeCell ref="A8:A20"/>
    <mergeCell ref="B8:B10"/>
    <mergeCell ref="C8:C10"/>
    <mergeCell ref="D8:D10"/>
    <mergeCell ref="E8:E10"/>
    <mergeCell ref="B11:B15"/>
    <mergeCell ref="C11:C15"/>
    <mergeCell ref="B16:B20"/>
    <mergeCell ref="C16:C20"/>
    <mergeCell ref="A5:A7"/>
    <mergeCell ref="B5:B6"/>
    <mergeCell ref="C5:C6"/>
    <mergeCell ref="D5:D6"/>
    <mergeCell ref="E5:E6"/>
    <mergeCell ref="H1:H4"/>
    <mergeCell ref="I1:I4"/>
    <mergeCell ref="J1:J4"/>
    <mergeCell ref="L1:U1"/>
    <mergeCell ref="L2:U2"/>
    <mergeCell ref="L3:O3"/>
    <mergeCell ref="Q3:S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4D91-EB5E-47A6-838B-9AB765B63AD3}">
  <dimension ref="A1:AG15"/>
  <sheetViews>
    <sheetView showGridLines="0" workbookViewId="0">
      <selection activeCell="J15" sqref="J15"/>
    </sheetView>
  </sheetViews>
  <sheetFormatPr defaultColWidth="9.109375" defaultRowHeight="10.199999999999999" x14ac:dyDescent="0.2"/>
  <cols>
    <col min="1" max="1" width="19.109375" style="16" bestFit="1" customWidth="1"/>
    <col min="2" max="2" width="12.44140625" style="16" bestFit="1" customWidth="1"/>
    <col min="3" max="7" width="10.33203125" style="16" bestFit="1" customWidth="1"/>
    <col min="8" max="8" width="8.6640625" style="16" bestFit="1" customWidth="1"/>
    <col min="9" max="9" width="8" style="16" bestFit="1" customWidth="1"/>
    <col min="10" max="10" width="7.33203125" style="16" bestFit="1" customWidth="1"/>
    <col min="11" max="11" width="7.109375" style="16" bestFit="1" customWidth="1"/>
    <col min="12" max="12" width="9.5546875" style="16" bestFit="1" customWidth="1"/>
    <col min="13" max="13" width="9.6640625" style="16" bestFit="1" customWidth="1"/>
    <col min="14" max="14" width="10" style="16" bestFit="1" customWidth="1"/>
    <col min="15" max="15" width="7.44140625" style="16" bestFit="1" customWidth="1"/>
    <col min="16" max="16" width="9.6640625" style="16" bestFit="1" customWidth="1"/>
    <col min="17" max="17" width="11" style="16" bestFit="1" customWidth="1"/>
    <col min="18" max="18" width="7.6640625" style="16" bestFit="1" customWidth="1"/>
    <col min="19" max="19" width="7.109375" style="16" bestFit="1" customWidth="1"/>
    <col min="20" max="20" width="14.5546875" style="16" bestFit="1" customWidth="1"/>
    <col min="21" max="21" width="17.6640625" style="16" bestFit="1" customWidth="1"/>
    <col min="22" max="22" width="18.44140625" style="16" bestFit="1" customWidth="1"/>
    <col min="23" max="23" width="6" style="16" bestFit="1" customWidth="1"/>
    <col min="24" max="24" width="10.88671875" style="16" bestFit="1" customWidth="1"/>
    <col min="25" max="26" width="9.109375" style="16"/>
    <col min="27" max="27" width="3" style="16" bestFit="1" customWidth="1"/>
    <col min="28" max="28" width="21.5546875" style="16" bestFit="1" customWidth="1"/>
    <col min="29" max="29" width="13.5546875" style="16" bestFit="1" customWidth="1"/>
    <col min="30" max="30" width="25.109375" style="16" bestFit="1" customWidth="1"/>
    <col min="31" max="33" width="10.33203125" style="16" bestFit="1" customWidth="1"/>
    <col min="34" max="16384" width="9.109375" style="16"/>
  </cols>
  <sheetData>
    <row r="1" spans="1:33" x14ac:dyDescent="0.2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15</v>
      </c>
      <c r="G1" s="16" t="s">
        <v>68</v>
      </c>
      <c r="I1" s="16" t="s">
        <v>1093</v>
      </c>
      <c r="AA1" s="16" t="s">
        <v>37</v>
      </c>
      <c r="AB1" s="16" t="s">
        <v>25</v>
      </c>
      <c r="AC1" s="16" t="s">
        <v>25</v>
      </c>
      <c r="AD1" s="16" t="s">
        <v>25</v>
      </c>
      <c r="AE1" s="16" t="s">
        <v>25</v>
      </c>
      <c r="AF1" s="16" t="s">
        <v>25</v>
      </c>
      <c r="AG1" s="16" t="s">
        <v>25</v>
      </c>
    </row>
    <row r="2" spans="1:33" x14ac:dyDescent="0.2">
      <c r="A2" s="16" t="s">
        <v>37</v>
      </c>
      <c r="B2" s="16" t="s">
        <v>25</v>
      </c>
      <c r="C2" s="16" t="s">
        <v>25</v>
      </c>
      <c r="D2" s="16" t="s">
        <v>25</v>
      </c>
      <c r="E2" s="16" t="s">
        <v>25</v>
      </c>
      <c r="F2" s="16" t="s">
        <v>25</v>
      </c>
      <c r="G2" s="16" t="s">
        <v>25</v>
      </c>
      <c r="I2" s="16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6" t="s">
        <v>82</v>
      </c>
      <c r="AB2" s="16" t="s">
        <v>41</v>
      </c>
      <c r="AC2" s="16" t="s">
        <v>24</v>
      </c>
      <c r="AD2" s="16" t="s">
        <v>24</v>
      </c>
      <c r="AE2" s="16" t="s">
        <v>80</v>
      </c>
      <c r="AG2" s="16" t="s">
        <v>78</v>
      </c>
    </row>
    <row r="3" spans="1:33" x14ac:dyDescent="0.2">
      <c r="AA3" s="16" t="s">
        <v>22</v>
      </c>
      <c r="AB3" s="16" t="s">
        <v>81</v>
      </c>
      <c r="AC3" s="16" t="s">
        <v>44</v>
      </c>
      <c r="AD3" s="16" t="s">
        <v>29</v>
      </c>
      <c r="AE3" s="16" t="s">
        <v>83</v>
      </c>
      <c r="AG3" s="16" t="s">
        <v>79</v>
      </c>
    </row>
    <row r="4" spans="1:33" x14ac:dyDescent="0.2">
      <c r="AA4" s="16" t="s">
        <v>43</v>
      </c>
      <c r="AB4" s="16" t="s">
        <v>38</v>
      </c>
      <c r="AC4" s="16" t="s">
        <v>47</v>
      </c>
      <c r="AD4" s="16" t="s">
        <v>30</v>
      </c>
      <c r="AE4" s="16" t="s">
        <v>84</v>
      </c>
      <c r="AG4" s="16" t="s">
        <v>76</v>
      </c>
    </row>
    <row r="5" spans="1:33" x14ac:dyDescent="0.2">
      <c r="A5" s="16" t="s">
        <v>1086</v>
      </c>
      <c r="B5" s="16" t="str">
        <f>TUSD!$AI$4</f>
        <v>CDE Covid TUSD</v>
      </c>
      <c r="C5" s="16" t="str">
        <f>TUSD!$AJ$4</f>
        <v>TFSEE</v>
      </c>
      <c r="D5" s="16" t="str">
        <f>TUSD!$AK$4</f>
        <v>P&amp;D</v>
      </c>
      <c r="E5" s="16" t="str">
        <f>TUSD!$AL$4</f>
        <v>ONS</v>
      </c>
      <c r="F5" s="16" t="str">
        <f>TUSD!$AM$4</f>
        <v>CCC</v>
      </c>
      <c r="G5" s="16" t="str">
        <f>TUSD!$AN$4</f>
        <v>CDE</v>
      </c>
      <c r="H5" s="16" t="str">
        <f>TUSD!$AO$4</f>
        <v>PROINFA</v>
      </c>
      <c r="I5" s="16" t="str">
        <f>TUSD!$AP$4</f>
        <v>LIMINAR 1</v>
      </c>
      <c r="J5" s="16" t="str">
        <f>TUSD!$AQ$4</f>
        <v>TUSD RB</v>
      </c>
      <c r="K5" s="16" t="str">
        <f>TUSD!$AR$4</f>
        <v>TUSD FR</v>
      </c>
      <c r="L5" s="16" t="str">
        <f>TUSD!$AS$4</f>
        <v>CONEXAO T</v>
      </c>
      <c r="M5" s="16" t="str">
        <f>TUSD!$AT$4</f>
        <v>CONEXAO D</v>
      </c>
      <c r="N5" s="16" t="str">
        <f>TUSD!$AU$4</f>
        <v>CUSD</v>
      </c>
      <c r="O5" s="16" t="str">
        <f>TUSD!$AV$4</f>
        <v>TUSDG-T</v>
      </c>
      <c r="P5" s="16" t="str">
        <f>TUSD!$AW$4</f>
        <v>TUSDG-ONS</v>
      </c>
      <c r="Q5" s="16" t="str">
        <f>TUSD!$AX$4</f>
        <v>DISTRIBUICAO</v>
      </c>
      <c r="R5" s="16" t="str">
        <f>TUSD!$AY$4</f>
        <v>SUBSIDIO</v>
      </c>
      <c r="S5" s="16" t="str">
        <f>TUSD!$AZ$4</f>
        <v>OUTROS</v>
      </c>
      <c r="T5" s="16" t="str">
        <f>TUSD!$BA$4</f>
        <v>PERDAS TECNICAS</v>
      </c>
      <c r="U5" s="16" t="str">
        <f>TUSD!$BB$4</f>
        <v>PERDAS RB/ PERDAS D</v>
      </c>
      <c r="V5" s="16" t="str">
        <f>TUSD!$BC$4</f>
        <v>PERDAS NAO TECNICAS</v>
      </c>
      <c r="W5" s="16" t="str">
        <f>TUSD!$BD$4</f>
        <v>RI</v>
      </c>
      <c r="X5" s="16" t="s">
        <v>507</v>
      </c>
      <c r="AA5" s="16" t="s">
        <v>35</v>
      </c>
      <c r="AB5" s="16" t="s">
        <v>33</v>
      </c>
      <c r="AD5" s="16" t="s">
        <v>31</v>
      </c>
      <c r="AG5" s="16" t="s">
        <v>9</v>
      </c>
    </row>
    <row r="6" spans="1:33" x14ac:dyDescent="0.2">
      <c r="A6" s="16" t="s">
        <v>1087</v>
      </c>
      <c r="B6" s="57">
        <f>SUM(TUSD!$AI$57:'TUSD'!$AI$103)</f>
        <v>0</v>
      </c>
      <c r="C6" s="57">
        <f>SUM(TUSD!$AJ$57:'TUSD'!$AJ$103)</f>
        <v>42125.116301566763</v>
      </c>
      <c r="D6" s="57">
        <f>SUM(TUSD!$AK$57:'TUSD'!$AK$103)</f>
        <v>0</v>
      </c>
      <c r="E6" s="57">
        <f>SUM(TUSD!$AL$57:'TUSD'!$AL$103)</f>
        <v>0</v>
      </c>
      <c r="F6" s="57">
        <f>SUM(TUSD!$AM$57:'TUSD'!$AM$103)</f>
        <v>0</v>
      </c>
      <c r="G6" s="57">
        <f>SUM(TUSD!$AN$57:'TUSD'!$AN$103)</f>
        <v>1254969.8423928125</v>
      </c>
      <c r="H6" s="57">
        <f>SUM(TUSD!$AO$57:'TUSD'!$AO$103)</f>
        <v>163544.30082931477</v>
      </c>
      <c r="I6" s="57">
        <f>SUM(TUSD!$AP$57:'TUSD'!$AP$103)</f>
        <v>0</v>
      </c>
      <c r="J6" s="57">
        <f>SUM(TUSD!$AQ$57:'TUSD'!$AQ$103)</f>
        <v>0</v>
      </c>
      <c r="K6" s="57">
        <f>SUM(TUSD!$AR$57:'TUSD'!$AR$103)</f>
        <v>0</v>
      </c>
      <c r="L6" s="57">
        <f>SUM(TUSD!$AS$57:'TUSD'!$AS$103)</f>
        <v>0</v>
      </c>
      <c r="M6" s="57">
        <f>SUM(TUSD!$AT$57:'TUSD'!$AT$103)</f>
        <v>0</v>
      </c>
      <c r="N6" s="57">
        <f>SUM(TUSD!$AU$57:'TUSD'!$AU$103)</f>
        <v>4290162.0510775251</v>
      </c>
      <c r="O6" s="57">
        <f>SUM(TUSD!$AV$57:'TUSD'!$AV$103)</f>
        <v>0</v>
      </c>
      <c r="P6" s="57">
        <f>SUM(TUSD!$AW$57:'TUSD'!$AW$103)</f>
        <v>0</v>
      </c>
      <c r="Q6" s="57">
        <f>SUM(TUSD!$AX$57:'TUSD'!$AX$103)</f>
        <v>7883122.3225468025</v>
      </c>
      <c r="R6" s="57">
        <f>SUM(TUSD!$AY$57:'TUSD'!$AY$103)</f>
        <v>261007.34693695823</v>
      </c>
      <c r="S6" s="57">
        <f>SUM(TUSD!$AZ$57:'TUSD'!$AZ$103)</f>
        <v>0</v>
      </c>
      <c r="T6" s="57">
        <f>SUM(TUSD!$BA$57:'TUSD'!$BA$103)</f>
        <v>579053.24451964803</v>
      </c>
      <c r="U6" s="57">
        <f>SUM(TUSD!$BB$57:'TUSD'!$BB$103)</f>
        <v>0</v>
      </c>
      <c r="V6" s="57">
        <f>SUM(TUSD!$BC$57:'TUSD'!$BC$103)</f>
        <v>0</v>
      </c>
      <c r="W6" s="57">
        <f>SUM(TUSD!$BD$57:'TUSD'!$BD$103)</f>
        <v>0</v>
      </c>
      <c r="X6" s="57">
        <f t="shared" ref="X6:X11" si="0">SUM(B6:W6)</f>
        <v>14473984.224604627</v>
      </c>
      <c r="AA6" s="16" t="s">
        <v>46</v>
      </c>
      <c r="AB6" s="16" t="s">
        <v>23</v>
      </c>
      <c r="AD6" s="16" t="s">
        <v>32</v>
      </c>
      <c r="AG6" s="16" t="s">
        <v>73</v>
      </c>
    </row>
    <row r="7" spans="1:33" x14ac:dyDescent="0.2">
      <c r="A7" s="16" t="s">
        <v>1088</v>
      </c>
      <c r="B7" s="57">
        <f>SUM(TUSD!$L$57:'TUSD'!$L$103)</f>
        <v>234447.1770770959</v>
      </c>
      <c r="C7" s="57">
        <f>SUM(TUSD!$M$57:'TUSD'!$M$103)</f>
        <v>53302.847199816475</v>
      </c>
      <c r="D7" s="57">
        <f ca="1">SUM(TUSD!$N$57:'TUSD'!$N$103)</f>
        <v>0</v>
      </c>
      <c r="E7" s="57">
        <f>SUM(TUSD!$O$57:'TUSD'!$O$103)</f>
        <v>0</v>
      </c>
      <c r="F7" s="57">
        <f>SUM(TUSD!$P$57:'TUSD'!$P$103)</f>
        <v>0</v>
      </c>
      <c r="G7" s="57">
        <f>SUM(TUSD!$Q$57:'TUSD'!$Q$103)</f>
        <v>1548185.535323889</v>
      </c>
      <c r="H7" s="57">
        <f>SUM(TUSD!$R$57:'TUSD'!$R$103)</f>
        <v>264850.02435790782</v>
      </c>
      <c r="I7" s="57">
        <f>SUM(TUSD!$S$57:'TUSD'!$S$103)</f>
        <v>0</v>
      </c>
      <c r="J7" s="57">
        <f>SUM(TUSD!$T$57:'TUSD'!$T$103)</f>
        <v>0</v>
      </c>
      <c r="K7" s="57">
        <f>SUM(TUSD!$U$57:'TUSD'!$U$103)</f>
        <v>0</v>
      </c>
      <c r="L7" s="57">
        <f>SUM(TUSD!$V$57:'TUSD'!$V$103)</f>
        <v>0</v>
      </c>
      <c r="M7" s="57">
        <f>SUM(TUSD!$W$57:'TUSD'!$W$103)</f>
        <v>0</v>
      </c>
      <c r="N7" s="57">
        <f>SUM(TUSD!$X$57:'TUSD'!$X$103)</f>
        <v>4682107.5787678938</v>
      </c>
      <c r="O7" s="57">
        <f>SUM(TUSD!$Y$57:'TUSD'!$Y$103)</f>
        <v>0</v>
      </c>
      <c r="P7" s="57">
        <f>SUM(TUSD!$Z$57:'TUSD'!$Z$103)</f>
        <v>0</v>
      </c>
      <c r="Q7" s="57">
        <f>SUM(TUSD!$AA$57:'TUSD'!$AA$103)</f>
        <v>8899032.3678602185</v>
      </c>
      <c r="R7" s="57">
        <f ca="1">SUM(TUSD!$AB$57:'TUSD'!$AB$103)</f>
        <v>0</v>
      </c>
      <c r="S7" s="57">
        <f ca="1">SUM(TUSD!$AC$57:'TUSD'!$AC$103)</f>
        <v>0</v>
      </c>
      <c r="T7" s="57">
        <f>SUM(TUSD!$AD$57:'TUSD'!$AD$103)</f>
        <v>468380.01027256571</v>
      </c>
      <c r="U7" s="57">
        <f>SUM(TUSD!$AE$57:'TUSD'!$AE$103)</f>
        <v>0</v>
      </c>
      <c r="V7" s="57">
        <f ca="1">SUM(TUSD!$AF$57:'TUSD'!$AF$103)</f>
        <v>278067.95123002067</v>
      </c>
      <c r="W7" s="57">
        <f ca="1">SUM(TUSD!$AG$57:'TUSD'!$AG$103)</f>
        <v>0</v>
      </c>
      <c r="X7" s="57">
        <f t="shared" ca="1" si="0"/>
        <v>16428373.492089409</v>
      </c>
      <c r="AB7" s="16" t="s">
        <v>87</v>
      </c>
      <c r="AD7" s="16" t="s">
        <v>88</v>
      </c>
      <c r="AG7" s="16" t="s">
        <v>74</v>
      </c>
    </row>
    <row r="8" spans="1:33" x14ac:dyDescent="0.2">
      <c r="A8" s="16" t="s">
        <v>1091</v>
      </c>
      <c r="B8" s="57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57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5640.1354064818588</v>
      </c>
      <c r="D8" s="57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57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57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57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216741.06862462402</v>
      </c>
      <c r="H8" s="57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31648.895810055172</v>
      </c>
      <c r="I8" s="57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57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57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57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57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57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879718.68667890364</v>
      </c>
      <c r="O8" s="57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57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57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1056496.98507009</v>
      </c>
      <c r="R8" s="57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40085.085740675757</v>
      </c>
      <c r="S8" s="57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57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53309.00697528047</v>
      </c>
      <c r="U8" s="57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57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57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57">
        <f t="shared" si="0"/>
        <v>2283639.8643061109</v>
      </c>
      <c r="AD8" s="16" t="s">
        <v>89</v>
      </c>
      <c r="AG8" s="16" t="s">
        <v>85</v>
      </c>
    </row>
    <row r="9" spans="1:33" x14ac:dyDescent="0.2">
      <c r="A9" s="16" t="s">
        <v>1092</v>
      </c>
      <c r="B9" s="57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39244.141122348046</v>
      </c>
      <c r="C9" s="57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7127.83632167411</v>
      </c>
      <c r="D9" s="57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57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57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57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259150.96265735448</v>
      </c>
      <c r="H9" s="57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51146.950372649211</v>
      </c>
      <c r="I9" s="57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57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57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57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57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57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958124.4543351857</v>
      </c>
      <c r="O9" s="57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57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57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1190011.3132293834</v>
      </c>
      <c r="R9" s="57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57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57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43020.174220524932</v>
      </c>
      <c r="U9" s="57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57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46042.551130392021</v>
      </c>
      <c r="W9" s="57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57">
        <f t="shared" ca="1" si="0"/>
        <v>2593868.3833895116</v>
      </c>
      <c r="AD9" s="16" t="s">
        <v>48</v>
      </c>
    </row>
    <row r="10" spans="1:33" x14ac:dyDescent="0.2">
      <c r="A10" s="16" t="s">
        <v>1089</v>
      </c>
      <c r="B10" s="57">
        <f>SUMIF(TUSD!$A$57:'TUSD'!$A$103,$A$2,TUSD!$AI$57:'TUSD'!$AI$103)</f>
        <v>0</v>
      </c>
      <c r="C10" s="57">
        <f>SUMIF(TUSD!$A$57:'TUSD'!$A$103,$A$2,TUSD!$AJ$57:'TUSD'!$AJ$103)</f>
        <v>5640.1354064818588</v>
      </c>
      <c r="D10" s="57">
        <f>SUMIF(TUSD!$A$57:'TUSD'!$A$103,$A$2,TUSD!$AK$57:'TUSD'!$AK$103)</f>
        <v>0</v>
      </c>
      <c r="E10" s="57">
        <f>SUMIF(TUSD!$A$57:'TUSD'!$A$103,$A$2,TUSD!$AL$57:'TUSD'!$AL$103)</f>
        <v>0</v>
      </c>
      <c r="F10" s="57">
        <f>SUMIF(TUSD!$A$57:'TUSD'!$A$103,$A$2,TUSD!$AM$57:'TUSD'!$AM$103)</f>
        <v>0</v>
      </c>
      <c r="G10" s="57">
        <f>SUMIF(TUSD!$A$57:'TUSD'!$A$103,$A$2,TUSD!$AN$57:'TUSD'!$AN$103)</f>
        <v>216741.06862462402</v>
      </c>
      <c r="H10" s="57">
        <f>SUMIF(TUSD!$A$57:'TUSD'!$A$103,$A$2,TUSD!$AO$57:'TUSD'!$AO$103)</f>
        <v>31648.895810055172</v>
      </c>
      <c r="I10" s="57">
        <f>SUMIF(TUSD!$A$57:'TUSD'!$A$103,$A$2,TUSD!$AP$57:'TUSD'!$AP$103)</f>
        <v>0</v>
      </c>
      <c r="J10" s="57">
        <f>SUMIF(TUSD!$A$57:'TUSD'!$A$103,$A$2,TUSD!$AQ$57:'TUSD'!$AQ$103)</f>
        <v>0</v>
      </c>
      <c r="K10" s="57">
        <f>SUMIF(TUSD!$A$57:'TUSD'!$A$103,$A$2,TUSD!$AR$57:'TUSD'!$AR$103)</f>
        <v>0</v>
      </c>
      <c r="L10" s="57">
        <f>SUMIF(TUSD!$A$57:'TUSD'!$A$103,$A$2,TUSD!$AS$57:'TUSD'!$AS$103)</f>
        <v>0</v>
      </c>
      <c r="M10" s="57">
        <f>SUMIF(TUSD!$A$57:'TUSD'!$A$103,$A$2,TUSD!$AT$57:'TUSD'!$AT$103)</f>
        <v>0</v>
      </c>
      <c r="N10" s="57">
        <f>SUMIF(TUSD!$A$57:'TUSD'!$A$103,$A$2,TUSD!$AU$57:'TUSD'!$AU$103)</f>
        <v>879718.68667890364</v>
      </c>
      <c r="O10" s="57">
        <f>SUMIF(TUSD!$A$57:'TUSD'!$A$103,$A$2,TUSD!$AV$57:'TUSD'!$AV$103)</f>
        <v>0</v>
      </c>
      <c r="P10" s="57">
        <f>SUMIF(TUSD!$A$57:'TUSD'!$A$103,$A$2,TUSD!$AW$57:'TUSD'!$AW$103)</f>
        <v>0</v>
      </c>
      <c r="Q10" s="57">
        <f>SUMIF(TUSD!$A$57:'TUSD'!$A$103,$A$2,TUSD!$AX$57:'TUSD'!$AX$103)</f>
        <v>1056496.98507009</v>
      </c>
      <c r="R10" s="57">
        <f>SUMIF(TUSD!$A$57:'TUSD'!$A$103,$A$2,TUSD!$AY$57:'TUSD'!$AY$103)</f>
        <v>40085.085740675757</v>
      </c>
      <c r="S10" s="57">
        <f>SUMIF(TUSD!$A$57:'TUSD'!$A$103,$A$2,TUSD!$AZ$57:'TUSD'!$AZ$103)</f>
        <v>0</v>
      </c>
      <c r="T10" s="57">
        <f>SUMIF(TUSD!$A$57:'TUSD'!$A$103,$A$2,TUSD!$BA$57:'TUSD'!$BA$103)</f>
        <v>53309.00697528047</v>
      </c>
      <c r="U10" s="57">
        <f>SUMIF(TUSD!$A$57:'TUSD'!$A$103,$A$2,TUSD!$BB$57:'TUSD'!$BB$103)</f>
        <v>0</v>
      </c>
      <c r="V10" s="57">
        <f>SUMIF(TUSD!$A$57:'TUSD'!$A$103,$A$2,TUSD!$BC$57:'TUSD'!$BC$103)</f>
        <v>0</v>
      </c>
      <c r="W10" s="57">
        <f>SUMIF(TUSD!$A$57:'TUSD'!$A$103,$A$2,TUSD!$BD$57:'TUSD'!$BD$103)</f>
        <v>0</v>
      </c>
      <c r="X10" s="57">
        <f t="shared" si="0"/>
        <v>2283639.8643061109</v>
      </c>
      <c r="AD10" s="16" t="s">
        <v>90</v>
      </c>
    </row>
    <row r="11" spans="1:33" x14ac:dyDescent="0.2">
      <c r="A11" s="16" t="s">
        <v>1090</v>
      </c>
      <c r="B11" s="57">
        <f>SUMIF(TUSD!$A$57:'TUSD'!$A$103,$A$2,TUSD!$L$57:'TUSD'!$L$103)</f>
        <v>39244.141122348046</v>
      </c>
      <c r="C11" s="57">
        <f>SUMIF(TUSD!$A$57:'TUSD'!$A$103,$A$2,TUSD!$M$57:'TUSD'!$M$103)</f>
        <v>7127.83632167411</v>
      </c>
      <c r="D11" s="57">
        <f ca="1">SUMIF(TUSD!$A$57:'TUSD'!$A$103,$A$2,TUSD!$N$57:'TUSD'!$N$103)</f>
        <v>0</v>
      </c>
      <c r="E11" s="57">
        <f>SUMIF(TUSD!$A$57:'TUSD'!$A$103,$A$2,TUSD!$O$57:'TUSD'!$O$103)</f>
        <v>0</v>
      </c>
      <c r="F11" s="57">
        <f>SUMIF(TUSD!$A$57:'TUSD'!$A$103,$A$2,TUSD!$P$57:'TUSD'!$P$103)</f>
        <v>0</v>
      </c>
      <c r="G11" s="57">
        <f>SUMIF(TUSD!$A$57:'TUSD'!$A$103,$A$2,TUSD!$Q$57:'TUSD'!$Q$103)</f>
        <v>259150.96265735448</v>
      </c>
      <c r="H11" s="57">
        <f>SUMIF(TUSD!$A$57:'TUSD'!$A$103,$A$2,TUSD!$R$57:'TUSD'!$R$103)</f>
        <v>51146.950372649211</v>
      </c>
      <c r="I11" s="57">
        <f>SUMIF(TUSD!$A$57:'TUSD'!$A$103,$A$2,TUSD!$S$57:'TUSD'!$S$103)</f>
        <v>0</v>
      </c>
      <c r="J11" s="57">
        <f>SUMIF(TUSD!$A$57:'TUSD'!$A$103,$A$2,TUSD!$T$57:'TUSD'!$T$103)</f>
        <v>0</v>
      </c>
      <c r="K11" s="57">
        <f>SUMIF(TUSD!$A$57:'TUSD'!$A$103,$A$2,TUSD!$U$57:'TUSD'!$U$103)</f>
        <v>0</v>
      </c>
      <c r="L11" s="57">
        <f>SUMIF(TUSD!$A$57:'TUSD'!$A$103,$A$2,TUSD!$V$57:'TUSD'!$V$103)</f>
        <v>0</v>
      </c>
      <c r="M11" s="57">
        <f>SUMIF(TUSD!$A$57:'TUSD'!$A$103,$A$2,TUSD!$W$57:'TUSD'!$W$103)</f>
        <v>0</v>
      </c>
      <c r="N11" s="57">
        <f>SUMIF(TUSD!$A$57:'TUSD'!$A$103,$A$2,TUSD!$X$57:'TUSD'!$X$103)</f>
        <v>958124.4543351857</v>
      </c>
      <c r="O11" s="57">
        <f>SUMIF(TUSD!$A$57:'TUSD'!$A$103,$A$2,TUSD!$Y$57:'TUSD'!$Y$103)</f>
        <v>0</v>
      </c>
      <c r="P11" s="57">
        <f>SUMIF(TUSD!$A$57:'TUSD'!$A$103,$A$2,TUSD!$Z$57:'TUSD'!$Z$103)</f>
        <v>0</v>
      </c>
      <c r="Q11" s="57">
        <f>SUMIF(TUSD!$A$57:'TUSD'!$A$103,$A$2,TUSD!$AA$57:'TUSD'!$AA$103)</f>
        <v>1190011.3132293834</v>
      </c>
      <c r="R11" s="57">
        <f ca="1">SUMIF(TUSD!$A$57:'TUSD'!$A$103,$A$2,TUSD!$AB$57:'TUSD'!$AB$103)</f>
        <v>0</v>
      </c>
      <c r="S11" s="57">
        <f ca="1">SUMIF(TUSD!$A$57:'TUSD'!$A$103,$A$2,TUSD!$AC$57:'TUSD'!$AC$103)</f>
        <v>0</v>
      </c>
      <c r="T11" s="57">
        <f>SUMIF(TUSD!$A$57:'TUSD'!$A$103,$A$2,TUSD!$AD$57:'TUSD'!$AD$103)</f>
        <v>43020.174220524932</v>
      </c>
      <c r="U11" s="57">
        <f>SUMIF(TUSD!$A$57:'TUSD'!$A$103,$A$2,TUSD!$AE$57:'TUSD'!$AE$103)</f>
        <v>0</v>
      </c>
      <c r="V11" s="57">
        <f ca="1">SUMIF(TUSD!$A$57:'TUSD'!$A$103,$A$2,TUSD!$AF$57:'TUSD'!$AF$103)</f>
        <v>46042.551130392021</v>
      </c>
      <c r="W11" s="57">
        <f ca="1">SUMIF(TUSD!$A$57:'TUSD'!$A$103,$A$2,TUSD!$AG$57:'TUSD'!$AG$103)</f>
        <v>0</v>
      </c>
      <c r="X11" s="57">
        <f t="shared" ca="1" si="0"/>
        <v>2593868.3833895116</v>
      </c>
    </row>
    <row r="13" spans="1:33" x14ac:dyDescent="0.2">
      <c r="A13" s="16" t="s">
        <v>1094</v>
      </c>
      <c r="B13" s="77">
        <f t="shared" ref="B13:X13" si="1">IF($X$6&lt;&gt;0,(B$7-B$6)/$X$6,0)</f>
        <v>1.6197832845399558E-2</v>
      </c>
      <c r="C13" s="77">
        <f t="shared" si="1"/>
        <v>7.7226358166457407E-4</v>
      </c>
      <c r="D13" s="77">
        <f t="shared" ca="1" si="1"/>
        <v>0</v>
      </c>
      <c r="E13" s="77">
        <f t="shared" si="1"/>
        <v>0</v>
      </c>
      <c r="F13" s="77">
        <f t="shared" si="1"/>
        <v>0</v>
      </c>
      <c r="G13" s="77">
        <f t="shared" si="1"/>
        <v>2.0258118869069447E-2</v>
      </c>
      <c r="H13" s="77">
        <f t="shared" si="1"/>
        <v>6.9991594544079536E-3</v>
      </c>
      <c r="I13" s="77">
        <f t="shared" si="1"/>
        <v>0</v>
      </c>
      <c r="J13" s="77">
        <f t="shared" si="1"/>
        <v>0</v>
      </c>
      <c r="K13" s="77">
        <f t="shared" si="1"/>
        <v>0</v>
      </c>
      <c r="L13" s="77">
        <f t="shared" si="1"/>
        <v>0</v>
      </c>
      <c r="M13" s="77">
        <f t="shared" si="1"/>
        <v>0</v>
      </c>
      <c r="N13" s="77">
        <f t="shared" si="1"/>
        <v>2.707931151562901E-2</v>
      </c>
      <c r="O13" s="77">
        <f t="shared" si="1"/>
        <v>0</v>
      </c>
      <c r="P13" s="77">
        <f t="shared" si="1"/>
        <v>0</v>
      </c>
      <c r="Q13" s="77">
        <f t="shared" si="1"/>
        <v>7.0188693696822568E-2</v>
      </c>
      <c r="R13" s="77">
        <f t="shared" ca="1" si="1"/>
        <v>-1.8032861089710629E-2</v>
      </c>
      <c r="S13" s="77">
        <f t="shared" ca="1" si="1"/>
        <v>0</v>
      </c>
      <c r="T13" s="77">
        <f t="shared" si="1"/>
        <v>-7.6463558706210679E-3</v>
      </c>
      <c r="U13" s="77">
        <f t="shared" si="1"/>
        <v>0</v>
      </c>
      <c r="V13" s="77">
        <f t="shared" ca="1" si="1"/>
        <v>1.9211569317405166E-2</v>
      </c>
      <c r="W13" s="77">
        <f t="shared" ca="1" si="1"/>
        <v>0</v>
      </c>
      <c r="X13" s="77">
        <f t="shared" ca="1" si="1"/>
        <v>0.13502773232006673</v>
      </c>
    </row>
    <row r="14" spans="1:33" x14ac:dyDescent="0.2">
      <c r="A14" s="16" t="s">
        <v>1095</v>
      </c>
      <c r="B14" s="77">
        <f t="shared" ref="B14:X14" si="2">IF($X$10&lt;&gt;0,(B$9-B$8)/$X$10,0)</f>
        <v>1.7184908065297093E-2</v>
      </c>
      <c r="C14" s="77">
        <f t="shared" si="2"/>
        <v>6.5146038937461466E-4</v>
      </c>
      <c r="D14" s="77">
        <f t="shared" ca="1" si="2"/>
        <v>0</v>
      </c>
      <c r="E14" s="77">
        <f t="shared" si="2"/>
        <v>0</v>
      </c>
      <c r="F14" s="77">
        <f t="shared" si="2"/>
        <v>0</v>
      </c>
      <c r="G14" s="77">
        <f t="shared" si="2"/>
        <v>1.8571183090472454E-2</v>
      </c>
      <c r="H14" s="77">
        <f t="shared" si="2"/>
        <v>8.5381477470917108E-3</v>
      </c>
      <c r="I14" s="77">
        <f t="shared" si="2"/>
        <v>0</v>
      </c>
      <c r="J14" s="77">
        <f t="shared" si="2"/>
        <v>0</v>
      </c>
      <c r="K14" s="77">
        <f t="shared" si="2"/>
        <v>0</v>
      </c>
      <c r="L14" s="77">
        <f t="shared" si="2"/>
        <v>0</v>
      </c>
      <c r="M14" s="77">
        <f t="shared" si="2"/>
        <v>0</v>
      </c>
      <c r="N14" s="77">
        <f t="shared" si="2"/>
        <v>3.4333683205388356E-2</v>
      </c>
      <c r="O14" s="77">
        <f t="shared" si="2"/>
        <v>0</v>
      </c>
      <c r="P14" s="77">
        <f t="shared" si="2"/>
        <v>0</v>
      </c>
      <c r="Q14" s="77">
        <f t="shared" si="2"/>
        <v>5.846557955400819E-2</v>
      </c>
      <c r="R14" s="77">
        <f t="shared" ca="1" si="2"/>
        <v>-1.7553155542262222E-2</v>
      </c>
      <c r="S14" s="77">
        <f t="shared" ca="1" si="2"/>
        <v>0</v>
      </c>
      <c r="T14" s="77">
        <f t="shared" si="2"/>
        <v>-4.5054532965432461E-3</v>
      </c>
      <c r="U14" s="77">
        <f t="shared" si="2"/>
        <v>0</v>
      </c>
      <c r="V14" s="77">
        <f t="shared" ca="1" si="2"/>
        <v>2.0161914253665453E-2</v>
      </c>
      <c r="W14" s="77">
        <f t="shared" ca="1" si="2"/>
        <v>0</v>
      </c>
      <c r="X14" s="77">
        <f t="shared" ca="1" si="2"/>
        <v>0.13584826746649228</v>
      </c>
    </row>
    <row r="15" spans="1:33" x14ac:dyDescent="0.2">
      <c r="A15" s="16" t="s">
        <v>1096</v>
      </c>
      <c r="B15" s="77">
        <f t="shared" ref="B15:X15" si="3">IF($X$8&lt;&gt;0,(B$9-B$8)/$X$8,0)</f>
        <v>1.7184908065297093E-2</v>
      </c>
      <c r="C15" s="77">
        <f t="shared" si="3"/>
        <v>6.5146038937461466E-4</v>
      </c>
      <c r="D15" s="77">
        <f t="shared" ca="1" si="3"/>
        <v>0</v>
      </c>
      <c r="E15" s="77">
        <f t="shared" si="3"/>
        <v>0</v>
      </c>
      <c r="F15" s="77">
        <f t="shared" si="3"/>
        <v>0</v>
      </c>
      <c r="G15" s="77">
        <f t="shared" si="3"/>
        <v>1.8571183090472454E-2</v>
      </c>
      <c r="H15" s="77">
        <f t="shared" si="3"/>
        <v>8.5381477470917108E-3</v>
      </c>
      <c r="I15" s="77">
        <f t="shared" si="3"/>
        <v>0</v>
      </c>
      <c r="J15" s="77">
        <f t="shared" si="3"/>
        <v>0</v>
      </c>
      <c r="K15" s="77">
        <f t="shared" si="3"/>
        <v>0</v>
      </c>
      <c r="L15" s="77">
        <f t="shared" si="3"/>
        <v>0</v>
      </c>
      <c r="M15" s="77">
        <f t="shared" si="3"/>
        <v>0</v>
      </c>
      <c r="N15" s="77">
        <f t="shared" si="3"/>
        <v>3.4333683205388356E-2</v>
      </c>
      <c r="O15" s="77">
        <f t="shared" si="3"/>
        <v>0</v>
      </c>
      <c r="P15" s="77">
        <f t="shared" si="3"/>
        <v>0</v>
      </c>
      <c r="Q15" s="77">
        <f t="shared" si="3"/>
        <v>5.846557955400819E-2</v>
      </c>
      <c r="R15" s="77">
        <f t="shared" ca="1" si="3"/>
        <v>-1.7553155542262222E-2</v>
      </c>
      <c r="S15" s="77">
        <f t="shared" ca="1" si="3"/>
        <v>0</v>
      </c>
      <c r="T15" s="77">
        <f t="shared" si="3"/>
        <v>-4.5054532965432461E-3</v>
      </c>
      <c r="U15" s="77">
        <f t="shared" si="3"/>
        <v>0</v>
      </c>
      <c r="V15" s="77">
        <f t="shared" ca="1" si="3"/>
        <v>2.0161914253665453E-2</v>
      </c>
      <c r="W15" s="77">
        <f t="shared" ca="1" si="3"/>
        <v>0</v>
      </c>
      <c r="X15" s="77">
        <f t="shared" ca="1" si="3"/>
        <v>0.13584826746649228</v>
      </c>
    </row>
  </sheetData>
  <dataValidations count="6">
    <dataValidation type="list" allowBlank="1" showInputMessage="1" showErrorMessage="1" error="Deve-se selecionar grupo válido" sqref="A2" xr:uid="{9597050B-C5FD-4586-AAB8-4D6EC887642C}">
      <formula1>AA1:AA6</formula1>
    </dataValidation>
    <dataValidation type="list" allowBlank="1" showInputMessage="1" showErrorMessage="1" error="Deve-se selecionar grupo válido" sqref="B2" xr:uid="{CEA0548D-E6CD-4BE3-B7DE-9622B5802495}">
      <formula1>AB1:AB7</formula1>
    </dataValidation>
    <dataValidation type="list" allowBlank="1" showInputMessage="1" showErrorMessage="1" error="Deve-se selecionar grupo válido" sqref="C2 E2" xr:uid="{1409387B-CCDC-4BF4-AC44-7A81D18B3518}">
      <formula1>AC1:AC4</formula1>
    </dataValidation>
    <dataValidation type="list" allowBlank="1" showInputMessage="1" showErrorMessage="1" error="Deve-se selecionar grupo válido" sqref="D2" xr:uid="{C0A5FB62-1B20-4C67-9AFA-1A64D48280A0}">
      <formula1>AD1:AD10</formula1>
    </dataValidation>
    <dataValidation type="list" allowBlank="1" showInputMessage="1" showErrorMessage="1" error="Deve-se selecionar grupo válido" sqref="F2" xr:uid="{EC9BAE6D-A738-4FBB-B76A-4A74B6A510BF}">
      <formula1>AF1:AF1</formula1>
    </dataValidation>
    <dataValidation type="list" allowBlank="1" showInputMessage="1" showErrorMessage="1" error="Deve-se selecionar grupo válido" sqref="G2" xr:uid="{7D5D7583-B2F4-4EA3-9A05-F995F937A333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60F4-7256-423A-BBB1-24D41A994F76}">
  <dimension ref="A1:AG15"/>
  <sheetViews>
    <sheetView showGridLines="0" workbookViewId="0">
      <selection activeCell="J15" sqref="J15"/>
    </sheetView>
  </sheetViews>
  <sheetFormatPr defaultColWidth="9.109375" defaultRowHeight="10.199999999999999" x14ac:dyDescent="0.2"/>
  <cols>
    <col min="1" max="1" width="19.109375" style="16" bestFit="1" customWidth="1"/>
    <col min="2" max="2" width="10.5546875" style="16" bestFit="1" customWidth="1"/>
    <col min="3" max="5" width="10.33203125" style="16" bestFit="1" customWidth="1"/>
    <col min="6" max="6" width="14.88671875" style="16" bestFit="1" customWidth="1"/>
    <col min="7" max="7" width="10.33203125" style="16" bestFit="1" customWidth="1"/>
    <col min="8" max="8" width="9.5546875" style="16" bestFit="1" customWidth="1"/>
    <col min="9" max="9" width="6.44140625" style="16" bestFit="1" customWidth="1"/>
    <col min="10" max="10" width="7.6640625" style="16" bestFit="1" customWidth="1"/>
    <col min="11" max="11" width="10.6640625" style="16" bestFit="1" customWidth="1"/>
    <col min="12" max="12" width="10" style="16" bestFit="1" customWidth="1"/>
    <col min="13" max="26" width="9.109375" style="16"/>
    <col min="27" max="27" width="3" style="16" bestFit="1" customWidth="1"/>
    <col min="28" max="28" width="27.109375" style="16" bestFit="1" customWidth="1"/>
    <col min="29" max="29" width="13.5546875" style="16" bestFit="1" customWidth="1"/>
    <col min="30" max="30" width="25.109375" style="16" bestFit="1" customWidth="1"/>
    <col min="31" max="33" width="10.33203125" style="16" bestFit="1" customWidth="1"/>
    <col min="34" max="16384" width="9.109375" style="16"/>
  </cols>
  <sheetData>
    <row r="1" spans="1:33" x14ac:dyDescent="0.2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15</v>
      </c>
      <c r="G1" s="16" t="s">
        <v>68</v>
      </c>
      <c r="I1" s="16" t="s">
        <v>1093</v>
      </c>
      <c r="AA1" s="16" t="s">
        <v>37</v>
      </c>
      <c r="AB1" s="16" t="s">
        <v>25</v>
      </c>
      <c r="AC1" s="16" t="s">
        <v>25</v>
      </c>
      <c r="AD1" s="16" t="s">
        <v>25</v>
      </c>
      <c r="AE1" s="16" t="s">
        <v>25</v>
      </c>
      <c r="AF1" s="16" t="s">
        <v>25</v>
      </c>
      <c r="AG1" s="16" t="s">
        <v>25</v>
      </c>
    </row>
    <row r="2" spans="1:33" x14ac:dyDescent="0.2">
      <c r="A2" s="16" t="s">
        <v>37</v>
      </c>
      <c r="B2" s="16" t="s">
        <v>25</v>
      </c>
      <c r="C2" s="16" t="s">
        <v>25</v>
      </c>
      <c r="D2" s="16" t="s">
        <v>25</v>
      </c>
      <c r="E2" s="16" t="s">
        <v>25</v>
      </c>
      <c r="F2" s="16" t="s">
        <v>25</v>
      </c>
      <c r="G2" s="16" t="s">
        <v>25</v>
      </c>
      <c r="I2" s="16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6" t="s">
        <v>22</v>
      </c>
      <c r="AB2" s="16" t="s">
        <v>71</v>
      </c>
      <c r="AC2" s="16" t="s">
        <v>24</v>
      </c>
      <c r="AD2" s="16" t="s">
        <v>24</v>
      </c>
      <c r="AG2" s="16" t="s">
        <v>73</v>
      </c>
    </row>
    <row r="3" spans="1:33" x14ac:dyDescent="0.2">
      <c r="AA3" s="16" t="s">
        <v>43</v>
      </c>
      <c r="AB3" s="16" t="s">
        <v>75</v>
      </c>
      <c r="AC3" s="16" t="s">
        <v>44</v>
      </c>
      <c r="AD3" s="16" t="s">
        <v>29</v>
      </c>
      <c r="AG3" s="16" t="s">
        <v>74</v>
      </c>
    </row>
    <row r="4" spans="1:33" x14ac:dyDescent="0.2">
      <c r="AA4" s="16" t="s">
        <v>35</v>
      </c>
      <c r="AB4" s="16" t="s">
        <v>86</v>
      </c>
      <c r="AC4" s="16" t="s">
        <v>47</v>
      </c>
      <c r="AD4" s="16" t="s">
        <v>30</v>
      </c>
      <c r="AG4" s="16" t="s">
        <v>76</v>
      </c>
    </row>
    <row r="5" spans="1:33" x14ac:dyDescent="0.2">
      <c r="A5" s="16" t="s">
        <v>1086</v>
      </c>
      <c r="B5" s="16" t="str">
        <f>TE!$W$4</f>
        <v>P&amp;D</v>
      </c>
      <c r="C5" s="16" t="str">
        <f>TE!$X$4</f>
        <v>ESS/ERR</v>
      </c>
      <c r="D5" s="16" t="str">
        <f>TE!$Y$4</f>
        <v>CFURH</v>
      </c>
      <c r="E5" s="16" t="str">
        <f>TE!$Z$4</f>
        <v>CDE Covid TE</v>
      </c>
      <c r="F5" s="16" t="str">
        <f>TE!$AA$4</f>
        <v>ENERGIA REVENDA</v>
      </c>
      <c r="G5" s="16" t="str">
        <f>TE!$AB$4</f>
        <v>ITAIPU</v>
      </c>
      <c r="H5" s="16" t="str">
        <f>TE!$AC$4</f>
        <v>TUST ITAIPU</v>
      </c>
      <c r="I5" s="16" t="str">
        <f>TE!$AD$4</f>
        <v>TUST CI</v>
      </c>
      <c r="J5" s="16" t="str">
        <f>TE!$AE$4</f>
        <v>SUBSIDIO</v>
      </c>
      <c r="K5" s="16" t="str">
        <f>TE!$AF$4</f>
        <v>PERDAS RB/C</v>
      </c>
      <c r="L5" s="16" t="s">
        <v>507</v>
      </c>
      <c r="AA5" s="16" t="s">
        <v>46</v>
      </c>
      <c r="AD5" s="16" t="s">
        <v>31</v>
      </c>
      <c r="AG5" s="16" t="s">
        <v>85</v>
      </c>
    </row>
    <row r="6" spans="1:33" x14ac:dyDescent="0.2">
      <c r="A6" s="16" t="s">
        <v>1087</v>
      </c>
      <c r="B6" s="57">
        <f>SUM(TE!$W$48:'TE'!$W$85)</f>
        <v>0</v>
      </c>
      <c r="C6" s="57">
        <f>SUM(TE!$X$48:'TE'!$X$85)</f>
        <v>0</v>
      </c>
      <c r="D6" s="57">
        <f>SUM(TE!$Y$48:'TE'!$Y$85)</f>
        <v>0</v>
      </c>
      <c r="E6" s="57">
        <f>SUM(TE!$Z$48:'TE'!$Z$85)</f>
        <v>0</v>
      </c>
      <c r="F6" s="57">
        <f>SUM(TE!$AA$48:'TE'!$AA$85)</f>
        <v>4153208.2006587768</v>
      </c>
      <c r="G6" s="57">
        <f>SUM(TE!$AB$48:'TE'!$AB$85)</f>
        <v>0</v>
      </c>
      <c r="H6" s="57">
        <f>SUM(TE!$AC$48:'TE'!$AC$85)</f>
        <v>0</v>
      </c>
      <c r="I6" s="57">
        <f>SUM(TE!$AD$48:'TE'!$AD$85)</f>
        <v>0</v>
      </c>
      <c r="J6" s="57">
        <f>SUM(TE!$AE$48:'TE'!$AE$85)</f>
        <v>31020.399424739626</v>
      </c>
      <c r="K6" s="57">
        <f>SUM(TE!$AF$48:'TE'!$AF$85)</f>
        <v>0</v>
      </c>
      <c r="L6" s="57">
        <f t="shared" ref="L6:L11" si="0">SUM(B6:K6)</f>
        <v>4184228.6000835164</v>
      </c>
      <c r="AD6" s="16" t="s">
        <v>32</v>
      </c>
    </row>
    <row r="7" spans="1:33" x14ac:dyDescent="0.2">
      <c r="A7" s="16" t="s">
        <v>1088</v>
      </c>
      <c r="B7" s="57">
        <f>SUM(TE!$L$48:'TE'!$L$85)</f>
        <v>0</v>
      </c>
      <c r="C7" s="57">
        <f>SUM(TE!$M$48:'TE'!$M$85)</f>
        <v>0</v>
      </c>
      <c r="D7" s="57">
        <f>SUM(TE!$N$48:'TE'!$N$85)</f>
        <v>0</v>
      </c>
      <c r="E7" s="57">
        <f>SUM(TE!$O$48:'TE'!$O$85)</f>
        <v>0</v>
      </c>
      <c r="F7" s="57">
        <f>SUM(TE!$P$48:'TE'!$P$85)</f>
        <v>5770957.0486273672</v>
      </c>
      <c r="G7" s="57">
        <f>SUM(TE!$Q$48:'TE'!$Q$85)</f>
        <v>0</v>
      </c>
      <c r="H7" s="57">
        <f>SUM(TE!$R$48:'TE'!$R$85)</f>
        <v>0</v>
      </c>
      <c r="I7" s="57">
        <f>SUM(TE!$S$48:'TE'!$S$85)</f>
        <v>0</v>
      </c>
      <c r="J7" s="57">
        <f>SUM(TE!$T$48:'TE'!$T$85)</f>
        <v>0</v>
      </c>
      <c r="K7" s="57">
        <f>SUM(TE!$U$48:'TE'!$U$85)</f>
        <v>0</v>
      </c>
      <c r="L7" s="57">
        <f t="shared" si="0"/>
        <v>5770957.0486273672</v>
      </c>
      <c r="AD7" s="16" t="s">
        <v>88</v>
      </c>
    </row>
    <row r="8" spans="1:33" x14ac:dyDescent="0.2">
      <c r="A8" s="16" t="s">
        <v>1091</v>
      </c>
      <c r="B8" s="57">
        <f>IF($G$2&lt;&gt;"Não se aplica",SUMIF(TE!$G$48:'TE'!$G$85,$I$2,TE!$W$48:'TE'!$W$85),IF($F$2&lt;&gt;"Não se aplica",SUMIF(TE!$F$48:'TE'!$F$85,$I$2,TE!$W$48:'TE'!$W$85),IF($E$2&lt;&gt;"Não se aplica",SUMIF(TE!$E$48:'TE'!$E$85,$I$2,TE!$W$48:'TE'!$W$85),IF($D$2&lt;&gt;"Não se aplica",SUMIF(TE!$D$48:'TE'!$D$85,$I$2,TE!$W$48:'TE'!$W$85),IF($C$2&lt;&gt;"Não se aplica",SUMIF(TE!$C$48:'TE'!$C$85,$I$2,TE!$W$48:'TE'!$W$85),IF($B$2&lt;&gt;"Não se aplica",SUMIF(TE!$B$48:'TE'!$B$85,$I$2,TE!$W$48:'TE'!$W$85),SUMIF(TE!$A$48:'TE'!$A$85,$I$2,TE!$W$48:'TE'!$W$85)))))))</f>
        <v>0</v>
      </c>
      <c r="C8" s="57">
        <f>IF($G$2&lt;&gt;"Não se aplica",SUMIF(TE!$G$48:'TE'!$G$85,$I$2,TE!$X$48:'TE'!$X$85),IF($F$2&lt;&gt;"Não se aplica",SUMIF(TE!$F$48:'TE'!$F$85,$I$2,TE!$X$48:'TE'!$X$85),IF($E$2&lt;&gt;"Não se aplica",SUMIF(TE!$E$48:'TE'!$E$85,$I$2,TE!$X$48:'TE'!$X$85),IF($D$2&lt;&gt;"Não se aplica",SUMIF(TE!$D$48:'TE'!$D$85,$I$2,TE!$X$48:'TE'!$X$85),IF($C$2&lt;&gt;"Não se aplica",SUMIF(TE!$C$48:'TE'!$C$85,$I$2,TE!$X$48:'TE'!$X$85),IF($B$2&lt;&gt;"Não se aplica",SUMIF(TE!$B$48:'TE'!$B$85,$I$2,TE!$X$48:'TE'!$X$85),SUMIF(TE!$A$48:'TE'!$A$85,$I$2,TE!$X$48:'TE'!$X$85)))))))</f>
        <v>0</v>
      </c>
      <c r="D8" s="57">
        <f>IF($G$2&lt;&gt;"Não se aplica",SUMIF(TE!$G$48:'TE'!$G$85,$I$2,TE!$Y$48:'TE'!$Y$85),IF($F$2&lt;&gt;"Não se aplica",SUMIF(TE!$F$48:'TE'!$F$85,$I$2,TE!$Y$48:'TE'!$Y$85),IF($E$2&lt;&gt;"Não se aplica",SUMIF(TE!$E$48:'TE'!$E$85,$I$2,TE!$Y$48:'TE'!$Y$85),IF($D$2&lt;&gt;"Não se aplica",SUMIF(TE!$D$48:'TE'!$D$85,$I$2,TE!$Y$48:'TE'!$Y$85),IF($C$2&lt;&gt;"Não se aplica",SUMIF(TE!$C$48:'TE'!$C$85,$I$2,TE!$Y$48:'TE'!$Y$85),IF($B$2&lt;&gt;"Não se aplica",SUMIF(TE!$B$48:'TE'!$B$85,$I$2,TE!$Y$48:'TE'!$Y$85),SUMIF(TE!$A$48:'TE'!$A$85,$I$2,TE!$Y$48:'TE'!$Y$85)))))))</f>
        <v>0</v>
      </c>
      <c r="E8" s="57">
        <f>IF($G$2&lt;&gt;"Não se aplica",SUMIF(TE!$G$48:'TE'!$G$85,$I$2,TE!$Z$48:'TE'!$Z$85),IF($F$2&lt;&gt;"Não se aplica",SUMIF(TE!$F$48:'TE'!$F$85,$I$2,TE!$Z$48:'TE'!$Z$85),IF($E$2&lt;&gt;"Não se aplica",SUMIF(TE!$E$48:'TE'!$E$85,$I$2,TE!$Z$48:'TE'!$Z$85),IF($D$2&lt;&gt;"Não se aplica",SUMIF(TE!$D$48:'TE'!$D$85,$I$2,TE!$Z$48:'TE'!$Z$85),IF($C$2&lt;&gt;"Não se aplica",SUMIF(TE!$C$48:'TE'!$C$85,$I$2,TE!$Z$48:'TE'!$Z$85),IF($B$2&lt;&gt;"Não se aplica",SUMIF(TE!$B$48:'TE'!$B$85,$I$2,TE!$Z$48:'TE'!$Z$85),SUMIF(TE!$A$48:'TE'!$A$85,$I$2,TE!$Z$48:'TE'!$Z$85)))))))</f>
        <v>0</v>
      </c>
      <c r="F8" s="57">
        <f>IF($G$2&lt;&gt;"Não se aplica",SUMIF(TE!$G$48:'TE'!$G$85,$I$2,TE!$AA$48:'TE'!$AA$85),IF($F$2&lt;&gt;"Não se aplica",SUMIF(TE!$F$48:'TE'!$F$85,$I$2,TE!$AA$48:'TE'!$AA$85),IF($E$2&lt;&gt;"Não se aplica",SUMIF(TE!$E$48:'TE'!$E$85,$I$2,TE!$AA$48:'TE'!$AA$85),IF($D$2&lt;&gt;"Não se aplica",SUMIF(TE!$D$48:'TE'!$D$85,$I$2,TE!$AA$48:'TE'!$AA$85),IF($C$2&lt;&gt;"Não se aplica",SUMIF(TE!$C$48:'TE'!$C$85,$I$2,TE!$AA$48:'TE'!$AA$85),IF($B$2&lt;&gt;"Não se aplica",SUMIF(TE!$B$48:'TE'!$B$85,$I$2,TE!$AA$48:'TE'!$AA$85),SUMIF(TE!$A$48:'TE'!$A$85,$I$2,TE!$AA$48:'TE'!$AA$85)))))))</f>
        <v>798281.29239425086</v>
      </c>
      <c r="G8" s="57">
        <f>IF($G$2&lt;&gt;"Não se aplica",SUMIF(TE!$G$48:'TE'!$G$85,$I$2,TE!$AB$48:'TE'!$AB$85),IF($F$2&lt;&gt;"Não se aplica",SUMIF(TE!$F$48:'TE'!$F$85,$I$2,TE!$AB$48:'TE'!$AB$85),IF($E$2&lt;&gt;"Não se aplica",SUMIF(TE!$E$48:'TE'!$E$85,$I$2,TE!$AB$48:'TE'!$AB$85),IF($D$2&lt;&gt;"Não se aplica",SUMIF(TE!$D$48:'TE'!$D$85,$I$2,TE!$AB$48:'TE'!$AB$85),IF($C$2&lt;&gt;"Não se aplica",SUMIF(TE!$C$48:'TE'!$C$85,$I$2,TE!$AB$48:'TE'!$AB$85),IF($B$2&lt;&gt;"Não se aplica",SUMIF(TE!$B$48:'TE'!$B$85,$I$2,TE!$AB$48:'TE'!$AB$85),SUMIF(TE!$A$48:'TE'!$A$85,$I$2,TE!$AB$48:'TE'!$AB$85)))))))</f>
        <v>0</v>
      </c>
      <c r="H8" s="57">
        <f>IF($G$2&lt;&gt;"Não se aplica",SUMIF(TE!$G$48:'TE'!$G$85,$I$2,TE!$AC$48:'TE'!$AC$85),IF($F$2&lt;&gt;"Não se aplica",SUMIF(TE!$F$48:'TE'!$F$85,$I$2,TE!$AC$48:'TE'!$AC$85),IF($E$2&lt;&gt;"Não se aplica",SUMIF(TE!$E$48:'TE'!$E$85,$I$2,TE!$AC$48:'TE'!$AC$85),IF($D$2&lt;&gt;"Não se aplica",SUMIF(TE!$D$48:'TE'!$D$85,$I$2,TE!$AC$48:'TE'!$AC$85),IF($C$2&lt;&gt;"Não se aplica",SUMIF(TE!$C$48:'TE'!$C$85,$I$2,TE!$AC$48:'TE'!$AC$85),IF($B$2&lt;&gt;"Não se aplica",SUMIF(TE!$B$48:'TE'!$B$85,$I$2,TE!$AC$48:'TE'!$AC$85),SUMIF(TE!$A$48:'TE'!$A$85,$I$2,TE!$AC$48:'TE'!$AC$85)))))))</f>
        <v>0</v>
      </c>
      <c r="I8" s="57">
        <f>IF($G$2&lt;&gt;"Não se aplica",SUMIF(TE!$G$48:'TE'!$G$85,$I$2,TE!$AD$48:'TE'!$AD$85),IF($F$2&lt;&gt;"Não se aplica",SUMIF(TE!$F$48:'TE'!$F$85,$I$2,TE!$AD$48:'TE'!$AD$85),IF($E$2&lt;&gt;"Não se aplica",SUMIF(TE!$E$48:'TE'!$E$85,$I$2,TE!$AD$48:'TE'!$AD$85),IF($D$2&lt;&gt;"Não se aplica",SUMIF(TE!$D$48:'TE'!$D$85,$I$2,TE!$AD$48:'TE'!$AD$85),IF($C$2&lt;&gt;"Não se aplica",SUMIF(TE!$C$48:'TE'!$C$85,$I$2,TE!$AD$48:'TE'!$AD$85),IF($B$2&lt;&gt;"Não se aplica",SUMIF(TE!$B$48:'TE'!$B$85,$I$2,TE!$AD$48:'TE'!$AD$85),SUMIF(TE!$A$48:'TE'!$A$85,$I$2,TE!$AD$48:'TE'!$AD$85)))))))</f>
        <v>0</v>
      </c>
      <c r="J8" s="57">
        <f>IF($G$2&lt;&gt;"Não se aplica",SUMIF(TE!$G$48:'TE'!$G$85,$I$2,TE!$AE$48:'TE'!$AE$85),IF($F$2&lt;&gt;"Não se aplica",SUMIF(TE!$F$48:'TE'!$F$85,$I$2,TE!$AE$48:'TE'!$AE$85),IF($E$2&lt;&gt;"Não se aplica",SUMIF(TE!$E$48:'TE'!$E$85,$I$2,TE!$AE$48:'TE'!$AE$85),IF($D$2&lt;&gt;"Não se aplica",SUMIF(TE!$D$48:'TE'!$D$85,$I$2,TE!$AE$48:'TE'!$AE$85),IF($C$2&lt;&gt;"Não se aplica",SUMIF(TE!$C$48:'TE'!$C$85,$I$2,TE!$AE$48:'TE'!$AE$85),IF($B$2&lt;&gt;"Não se aplica",SUMIF(TE!$B$48:'TE'!$B$85,$I$2,TE!$AE$48:'TE'!$AE$85),SUMIF(TE!$A$48:'TE'!$A$85,$I$2,TE!$AE$48:'TE'!$AE$85)))))))</f>
        <v>5962.3797669086616</v>
      </c>
      <c r="K8" s="57">
        <f>IF($G$2&lt;&gt;"Não se aplica",SUMIF(TE!$G$48:'TE'!$G$85,$I$2,TE!$AF$48:'TE'!$AF$85),IF($F$2&lt;&gt;"Não se aplica",SUMIF(TE!$F$48:'TE'!$F$85,$I$2,TE!$AF$48:'TE'!$AF$85),IF($E$2&lt;&gt;"Não se aplica",SUMIF(TE!$E$48:'TE'!$E$85,$I$2,TE!$AF$48:'TE'!$AF$85),IF($D$2&lt;&gt;"Não se aplica",SUMIF(TE!$D$48:'TE'!$D$85,$I$2,TE!$AF$48:'TE'!$AF$85),IF($C$2&lt;&gt;"Não se aplica",SUMIF(TE!$C$48:'TE'!$C$85,$I$2,TE!$AF$48:'TE'!$AF$85),IF($B$2&lt;&gt;"Não se aplica",SUMIF(TE!$B$48:'TE'!$B$85,$I$2,TE!$AF$48:'TE'!$AF$85),SUMIF(TE!$A$48:'TE'!$A$85,$I$2,TE!$AF$48:'TE'!$AF$85)))))))</f>
        <v>0</v>
      </c>
      <c r="L8" s="57">
        <f t="shared" si="0"/>
        <v>804243.67216115957</v>
      </c>
      <c r="AD8" s="16" t="s">
        <v>89</v>
      </c>
    </row>
    <row r="9" spans="1:33" x14ac:dyDescent="0.2">
      <c r="A9" s="16" t="s">
        <v>1092</v>
      </c>
      <c r="B9" s="57">
        <f>IF($G$2&lt;&gt;"Não se aplica",SUMIF(TE!$G$48:'TE'!$G$85,$I$2,TE!$L$48:'TE'!$L$85),IF($F$2&lt;&gt;"Não se aplica",SUMIF(TE!$F$48:'TE'!$F$85,$I$2,TE!$L$48:'TE'!$L$85),IF($E$2&lt;&gt;"Não se aplica",SUMIF(TE!$E$48:'TE'!$E$85,$I$2,TE!$L$48:'TE'!$L$85),IF($D$2&lt;&gt;"Não se aplica",SUMIF(TE!$D$48:'TE'!$D$85,$I$2,TE!$L$48:'TE'!$L$85),IF($C$2&lt;&gt;"Não se aplica",SUMIF(TE!$C$48:'TE'!$C$85,$I$2,TE!$L$48:'TE'!$L$85),IF($B$2&lt;&gt;"Não se aplica",SUMIF(TE!$B$48:'TE'!$B$85,$I$2,TE!$L$48:'TE'!$L$85),SUMIF(TE!$A$48:'TE'!$A$85,$I$2,TE!$L$48:'TE'!$L$85)))))))</f>
        <v>0</v>
      </c>
      <c r="C9" s="57">
        <f>IF($G$2&lt;&gt;"Não se aplica",SUMIF(TE!$G$48:'TE'!$G$85,$I$2,TE!$M$48:'TE'!$M$85),IF($F$2&lt;&gt;"Não se aplica",SUMIF(TE!$F$48:'TE'!$F$85,$I$2,TE!$M$48:'TE'!$M$85),IF($E$2&lt;&gt;"Não se aplica",SUMIF(TE!$E$48:'TE'!$E$85,$I$2,TE!$M$48:'TE'!$M$85),IF($D$2&lt;&gt;"Não se aplica",SUMIF(TE!$D$48:'TE'!$D$85,$I$2,TE!$M$48:'TE'!$M$85),IF($C$2&lt;&gt;"Não se aplica",SUMIF(TE!$C$48:'TE'!$C$85,$I$2,TE!$M$48:'TE'!$M$85),IF($B$2&lt;&gt;"Não se aplica",SUMIF(TE!$B$48:'TE'!$B$85,$I$2,TE!$M$48:'TE'!$M$85),SUMIF(TE!$A$48:'TE'!$A$85,$I$2,TE!$M$48:'TE'!$M$85)))))))</f>
        <v>0</v>
      </c>
      <c r="D9" s="57">
        <f>IF($G$2&lt;&gt;"Não se aplica",SUMIF(TE!$G$48:'TE'!$G$85,$I$2,TE!$N$48:'TE'!$N$85),IF($F$2&lt;&gt;"Não se aplica",SUMIF(TE!$F$48:'TE'!$F$85,$I$2,TE!$N$48:'TE'!$N$85),IF($E$2&lt;&gt;"Não se aplica",SUMIF(TE!$E$48:'TE'!$E$85,$I$2,TE!$N$48:'TE'!$N$85),IF($D$2&lt;&gt;"Não se aplica",SUMIF(TE!$D$48:'TE'!$D$85,$I$2,TE!$N$48:'TE'!$N$85),IF($C$2&lt;&gt;"Não se aplica",SUMIF(TE!$C$48:'TE'!$C$85,$I$2,TE!$N$48:'TE'!$N$85),IF($B$2&lt;&gt;"Não se aplica",SUMIF(TE!$B$48:'TE'!$B$85,$I$2,TE!$N$48:'TE'!$N$85),SUMIF(TE!$A$48:'TE'!$A$85,$I$2,TE!$N$48:'TE'!$N$85)))))))</f>
        <v>0</v>
      </c>
      <c r="E9" s="57">
        <f>IF($G$2&lt;&gt;"Não se aplica",SUMIF(TE!$G$48:'TE'!$G$85,$I$2,TE!$O$48:'TE'!$O$85),IF($F$2&lt;&gt;"Não se aplica",SUMIF(TE!$F$48:'TE'!$F$85,$I$2,TE!$O$48:'TE'!$O$85),IF($E$2&lt;&gt;"Não se aplica",SUMIF(TE!$E$48:'TE'!$E$85,$I$2,TE!$O$48:'TE'!$O$85),IF($D$2&lt;&gt;"Não se aplica",SUMIF(TE!$D$48:'TE'!$D$85,$I$2,TE!$O$48:'TE'!$O$85),IF($C$2&lt;&gt;"Não se aplica",SUMIF(TE!$C$48:'TE'!$C$85,$I$2,TE!$O$48:'TE'!$O$85),IF($B$2&lt;&gt;"Não se aplica",SUMIF(TE!$B$48:'TE'!$B$85,$I$2,TE!$O$48:'TE'!$O$85),SUMIF(TE!$A$48:'TE'!$A$85,$I$2,TE!$O$48:'TE'!$O$85)))))))</f>
        <v>0</v>
      </c>
      <c r="F9" s="57">
        <f>IF($G$2&lt;&gt;"Não se aplica",SUMIF(TE!$G$48:'TE'!$G$85,$I$2,TE!$P$48:'TE'!$P$85),IF($F$2&lt;&gt;"Não se aplica",SUMIF(TE!$F$48:'TE'!$F$85,$I$2,TE!$P$48:'TE'!$P$85),IF($E$2&lt;&gt;"Não se aplica",SUMIF(TE!$E$48:'TE'!$E$85,$I$2,TE!$P$48:'TE'!$P$85),IF($D$2&lt;&gt;"Não se aplica",SUMIF(TE!$D$48:'TE'!$D$85,$I$2,TE!$P$48:'TE'!$P$85),IF($C$2&lt;&gt;"Não se aplica",SUMIF(TE!$C$48:'TE'!$C$85,$I$2,TE!$P$48:'TE'!$P$85),IF($B$2&lt;&gt;"Não se aplica",SUMIF(TE!$B$48:'TE'!$B$85,$I$2,TE!$P$48:'TE'!$P$85),SUMIF(TE!$A$48:'TE'!$A$85,$I$2,TE!$P$48:'TE'!$P$85)))))))</f>
        <v>1106936.6858628236</v>
      </c>
      <c r="G9" s="57">
        <f>IF($G$2&lt;&gt;"Não se aplica",SUMIF(TE!$G$48:'TE'!$G$85,$I$2,TE!$Q$48:'TE'!$Q$85),IF($F$2&lt;&gt;"Não se aplica",SUMIF(TE!$F$48:'TE'!$F$85,$I$2,TE!$Q$48:'TE'!$Q$85),IF($E$2&lt;&gt;"Não se aplica",SUMIF(TE!$E$48:'TE'!$E$85,$I$2,TE!$Q$48:'TE'!$Q$85),IF($D$2&lt;&gt;"Não se aplica",SUMIF(TE!$D$48:'TE'!$D$85,$I$2,TE!$Q$48:'TE'!$Q$85),IF($C$2&lt;&gt;"Não se aplica",SUMIF(TE!$C$48:'TE'!$C$85,$I$2,TE!$Q$48:'TE'!$Q$85),IF($B$2&lt;&gt;"Não se aplica",SUMIF(TE!$B$48:'TE'!$B$85,$I$2,TE!$Q$48:'TE'!$Q$85),SUMIF(TE!$A$48:'TE'!$A$85,$I$2,TE!$Q$48:'TE'!$Q$85)))))))</f>
        <v>0</v>
      </c>
      <c r="H9" s="57">
        <f>IF($G$2&lt;&gt;"Não se aplica",SUMIF(TE!$G$48:'TE'!$G$85,$I$2,TE!$R$48:'TE'!$R$85),IF($F$2&lt;&gt;"Não se aplica",SUMIF(TE!$F$48:'TE'!$F$85,$I$2,TE!$R$48:'TE'!$R$85),IF($E$2&lt;&gt;"Não se aplica",SUMIF(TE!$E$48:'TE'!$E$85,$I$2,TE!$R$48:'TE'!$R$85),IF($D$2&lt;&gt;"Não se aplica",SUMIF(TE!$D$48:'TE'!$D$85,$I$2,TE!$R$48:'TE'!$R$85),IF($C$2&lt;&gt;"Não se aplica",SUMIF(TE!$C$48:'TE'!$C$85,$I$2,TE!$R$48:'TE'!$R$85),IF($B$2&lt;&gt;"Não se aplica",SUMIF(TE!$B$48:'TE'!$B$85,$I$2,TE!$R$48:'TE'!$R$85),SUMIF(TE!$A$48:'TE'!$A$85,$I$2,TE!$R$48:'TE'!$R$85)))))))</f>
        <v>0</v>
      </c>
      <c r="I9" s="57">
        <f>IF($G$2&lt;&gt;"Não se aplica",SUMIF(TE!$G$48:'TE'!$G$85,$I$2,TE!$S$48:'TE'!$S$85),IF($F$2&lt;&gt;"Não se aplica",SUMIF(TE!$F$48:'TE'!$F$85,$I$2,TE!$S$48:'TE'!$S$85),IF($E$2&lt;&gt;"Não se aplica",SUMIF(TE!$E$48:'TE'!$E$85,$I$2,TE!$S$48:'TE'!$S$85),IF($D$2&lt;&gt;"Não se aplica",SUMIF(TE!$D$48:'TE'!$D$85,$I$2,TE!$S$48:'TE'!$S$85),IF($C$2&lt;&gt;"Não se aplica",SUMIF(TE!$C$48:'TE'!$C$85,$I$2,TE!$S$48:'TE'!$S$85),IF($B$2&lt;&gt;"Não se aplica",SUMIF(TE!$B$48:'TE'!$B$85,$I$2,TE!$S$48:'TE'!$S$85),SUMIF(TE!$A$48:'TE'!$A$85,$I$2,TE!$S$48:'TE'!$S$85)))))))</f>
        <v>0</v>
      </c>
      <c r="J9" s="57">
        <f>IF($G$2&lt;&gt;"Não se aplica",SUMIF(TE!$G$48:'TE'!$G$85,$I$2,TE!$T$48:'TE'!$T$85),IF($F$2&lt;&gt;"Não se aplica",SUMIF(TE!$F$48:'TE'!$F$85,$I$2,TE!$T$48:'TE'!$T$85),IF($E$2&lt;&gt;"Não se aplica",SUMIF(TE!$E$48:'TE'!$E$85,$I$2,TE!$T$48:'TE'!$T$85),IF($D$2&lt;&gt;"Não se aplica",SUMIF(TE!$D$48:'TE'!$D$85,$I$2,TE!$T$48:'TE'!$T$85),IF($C$2&lt;&gt;"Não se aplica",SUMIF(TE!$C$48:'TE'!$C$85,$I$2,TE!$T$48:'TE'!$T$85),IF($B$2&lt;&gt;"Não se aplica",SUMIF(TE!$B$48:'TE'!$B$85,$I$2,TE!$T$48:'TE'!$T$85),SUMIF(TE!$A$48:'TE'!$A$85,$I$2,TE!$T$48:'TE'!$T$85)))))))</f>
        <v>0</v>
      </c>
      <c r="K9" s="57">
        <f>IF($G$2&lt;&gt;"Não se aplica",SUMIF(TE!$G$48:'TE'!$G$85,$I$2,TE!$U$48:'TE'!$U$85),IF($F$2&lt;&gt;"Não se aplica",SUMIF(TE!$F$48:'TE'!$F$85,$I$2,TE!$U$48:'TE'!$U$85),IF($E$2&lt;&gt;"Não se aplica",SUMIF(TE!$E$48:'TE'!$E$85,$I$2,TE!$U$48:'TE'!$U$85),IF($D$2&lt;&gt;"Não se aplica",SUMIF(TE!$D$48:'TE'!$D$85,$I$2,TE!$U$48:'TE'!$U$85),IF($C$2&lt;&gt;"Não se aplica",SUMIF(TE!$C$48:'TE'!$C$85,$I$2,TE!$U$48:'TE'!$U$85),IF($B$2&lt;&gt;"Não se aplica",SUMIF(TE!$B$48:'TE'!$B$85,$I$2,TE!$U$48:'TE'!$U$85),SUMIF(TE!$A$48:'TE'!$A$85,$I$2,TE!$U$48:'TE'!$U$85)))))))</f>
        <v>0</v>
      </c>
      <c r="L9" s="57">
        <f t="shared" si="0"/>
        <v>1106936.6858628236</v>
      </c>
      <c r="AD9" s="16" t="s">
        <v>48</v>
      </c>
    </row>
    <row r="10" spans="1:33" x14ac:dyDescent="0.2">
      <c r="A10" s="16" t="s">
        <v>1089</v>
      </c>
      <c r="B10" s="57">
        <f>SUMIF(TE!$A$48:'TE'!$A$85,$A$2,TE!$W$48:'TE'!$W$85)</f>
        <v>0</v>
      </c>
      <c r="C10" s="57">
        <f>SUMIF(TE!$A$48:'TE'!$A$85,$A$2,TE!$X$48:'TE'!$X$85)</f>
        <v>0</v>
      </c>
      <c r="D10" s="57">
        <f>SUMIF(TE!$A$48:'TE'!$A$85,$A$2,TE!$Y$48:'TE'!$Y$85)</f>
        <v>0</v>
      </c>
      <c r="E10" s="57">
        <f>SUMIF(TE!$A$48:'TE'!$A$85,$A$2,TE!$Z$48:'TE'!$Z$85)</f>
        <v>0</v>
      </c>
      <c r="F10" s="57">
        <f>SUMIF(TE!$A$48:'TE'!$A$85,$A$2,TE!$AA$48:'TE'!$AA$85)</f>
        <v>798281.29239425086</v>
      </c>
      <c r="G10" s="57">
        <f>SUMIF(TE!$A$48:'TE'!$A$85,$A$2,TE!$AB$48:'TE'!$AB$85)</f>
        <v>0</v>
      </c>
      <c r="H10" s="57">
        <f>SUMIF(TE!$A$48:'TE'!$A$85,$A$2,TE!$AC$48:'TE'!$AC$85)</f>
        <v>0</v>
      </c>
      <c r="I10" s="57">
        <f>SUMIF(TE!$A$48:'TE'!$A$85,$A$2,TE!$AD$48:'TE'!$AD$85)</f>
        <v>0</v>
      </c>
      <c r="J10" s="57">
        <f>SUMIF(TE!$A$48:'TE'!$A$85,$A$2,TE!$AE$48:'TE'!$AE$85)</f>
        <v>5962.3797669086616</v>
      </c>
      <c r="K10" s="57">
        <f>SUMIF(TE!$A$48:'TE'!$A$85,$A$2,TE!$AF$48:'TE'!$AF$85)</f>
        <v>0</v>
      </c>
      <c r="L10" s="57">
        <f t="shared" si="0"/>
        <v>804243.67216115957</v>
      </c>
      <c r="AD10" s="16" t="s">
        <v>90</v>
      </c>
    </row>
    <row r="11" spans="1:33" x14ac:dyDescent="0.2">
      <c r="A11" s="16" t="s">
        <v>1090</v>
      </c>
      <c r="B11" s="57">
        <f>SUMIF(TE!$A$48:'TE'!$A$85,$A$2,TE!$L$48:'TE'!$L$85)</f>
        <v>0</v>
      </c>
      <c r="C11" s="57">
        <f>SUMIF(TE!$A$48:'TE'!$A$85,$A$2,TE!$M$48:'TE'!$M$85)</f>
        <v>0</v>
      </c>
      <c r="D11" s="57">
        <f>SUMIF(TE!$A$48:'TE'!$A$85,$A$2,TE!$N$48:'TE'!$N$85)</f>
        <v>0</v>
      </c>
      <c r="E11" s="57">
        <f>SUMIF(TE!$A$48:'TE'!$A$85,$A$2,TE!$O$48:'TE'!$O$85)</f>
        <v>0</v>
      </c>
      <c r="F11" s="57">
        <f>SUMIF(TE!$A$48:'TE'!$A$85,$A$2,TE!$P$48:'TE'!$P$85)</f>
        <v>1106936.6858628236</v>
      </c>
      <c r="G11" s="57">
        <f>SUMIF(TE!$A$48:'TE'!$A$85,$A$2,TE!$Q$48:'TE'!$Q$85)</f>
        <v>0</v>
      </c>
      <c r="H11" s="57">
        <f>SUMIF(TE!$A$48:'TE'!$A$85,$A$2,TE!$R$48:'TE'!$R$85)</f>
        <v>0</v>
      </c>
      <c r="I11" s="57">
        <f>SUMIF(TE!$A$48:'TE'!$A$85,$A$2,TE!$S$48:'TE'!$S$85)</f>
        <v>0</v>
      </c>
      <c r="J11" s="57">
        <f>SUMIF(TE!$A$48:'TE'!$A$85,$A$2,TE!$T$48:'TE'!$T$85)</f>
        <v>0</v>
      </c>
      <c r="K11" s="57">
        <f>SUMIF(TE!$A$48:'TE'!$A$85,$A$2,TE!$U$48:'TE'!$U$85)</f>
        <v>0</v>
      </c>
      <c r="L11" s="57">
        <f t="shared" si="0"/>
        <v>1106936.6858628236</v>
      </c>
    </row>
    <row r="13" spans="1:33" x14ac:dyDescent="0.2">
      <c r="A13" s="16" t="s">
        <v>1094</v>
      </c>
      <c r="B13" s="77">
        <f t="shared" ref="B13:L13" si="1">IF($L$6&lt;&gt;0,(B$7-B$6)/$L$6,0)</f>
        <v>0</v>
      </c>
      <c r="C13" s="77">
        <f t="shared" si="1"/>
        <v>0</v>
      </c>
      <c r="D13" s="77">
        <f t="shared" si="1"/>
        <v>0</v>
      </c>
      <c r="E13" s="77">
        <f t="shared" si="1"/>
        <v>0</v>
      </c>
      <c r="F13" s="77">
        <f t="shared" si="1"/>
        <v>0.3866301300880885</v>
      </c>
      <c r="G13" s="77">
        <f t="shared" si="1"/>
        <v>0</v>
      </c>
      <c r="H13" s="77">
        <f t="shared" si="1"/>
        <v>0</v>
      </c>
      <c r="I13" s="77">
        <f t="shared" si="1"/>
        <v>0</v>
      </c>
      <c r="J13" s="77">
        <f t="shared" si="1"/>
        <v>-7.4136483422823658E-3</v>
      </c>
      <c r="K13" s="77">
        <f t="shared" si="1"/>
        <v>0</v>
      </c>
      <c r="L13" s="77">
        <f t="shared" si="1"/>
        <v>0.37921648174580613</v>
      </c>
    </row>
    <row r="14" spans="1:33" x14ac:dyDescent="0.2">
      <c r="A14" s="16" t="s">
        <v>1095</v>
      </c>
      <c r="B14" s="77">
        <f t="shared" ref="B14:L14" si="2">IF($L$10&lt;&gt;0,(B$9-B$8)/$L$10,0)</f>
        <v>0</v>
      </c>
      <c r="C14" s="77">
        <f t="shared" si="2"/>
        <v>0</v>
      </c>
      <c r="D14" s="77">
        <f t="shared" si="2"/>
        <v>0</v>
      </c>
      <c r="E14" s="77">
        <f t="shared" si="2"/>
        <v>0</v>
      </c>
      <c r="F14" s="77">
        <f t="shared" si="2"/>
        <v>0.38378342802394144</v>
      </c>
      <c r="G14" s="77">
        <f t="shared" si="2"/>
        <v>0</v>
      </c>
      <c r="H14" s="77">
        <f t="shared" si="2"/>
        <v>0</v>
      </c>
      <c r="I14" s="77">
        <f t="shared" si="2"/>
        <v>0</v>
      </c>
      <c r="J14" s="77">
        <f t="shared" si="2"/>
        <v>-7.413648342282364E-3</v>
      </c>
      <c r="K14" s="77">
        <f t="shared" si="2"/>
        <v>0</v>
      </c>
      <c r="L14" s="77">
        <f t="shared" si="2"/>
        <v>0.37636977968165902</v>
      </c>
    </row>
    <row r="15" spans="1:33" x14ac:dyDescent="0.2">
      <c r="A15" s="16" t="s">
        <v>1096</v>
      </c>
      <c r="B15" s="77">
        <f t="shared" ref="B15:L15" si="3">IF($L$8&lt;&gt;0,(B$9-B$8)/$L$8,0)</f>
        <v>0</v>
      </c>
      <c r="C15" s="77">
        <f t="shared" si="3"/>
        <v>0</v>
      </c>
      <c r="D15" s="77">
        <f t="shared" si="3"/>
        <v>0</v>
      </c>
      <c r="E15" s="77">
        <f t="shared" si="3"/>
        <v>0</v>
      </c>
      <c r="F15" s="77">
        <f t="shared" si="3"/>
        <v>0.38378342802394144</v>
      </c>
      <c r="G15" s="77">
        <f t="shared" si="3"/>
        <v>0</v>
      </c>
      <c r="H15" s="77">
        <f t="shared" si="3"/>
        <v>0</v>
      </c>
      <c r="I15" s="77">
        <f t="shared" si="3"/>
        <v>0</v>
      </c>
      <c r="J15" s="77">
        <f t="shared" si="3"/>
        <v>-7.413648342282364E-3</v>
      </c>
      <c r="K15" s="77">
        <f t="shared" si="3"/>
        <v>0</v>
      </c>
      <c r="L15" s="77">
        <f t="shared" si="3"/>
        <v>0.37636977968165902</v>
      </c>
    </row>
  </sheetData>
  <dataValidations count="4">
    <dataValidation type="list" allowBlank="1" showInputMessage="1" showErrorMessage="1" sqref="A2 G2" xr:uid="{BD17DDCF-D3E4-4944-8F40-812B662789C5}">
      <formula1>AA1:AA5</formula1>
    </dataValidation>
    <dataValidation type="list" allowBlank="1" showInputMessage="1" showErrorMessage="1" sqref="B2 C2" xr:uid="{F914213E-81A5-4A45-83B5-97714466159D}">
      <formula1>AB1:AB4</formula1>
    </dataValidation>
    <dataValidation type="list" allowBlank="1" showInputMessage="1" showErrorMessage="1" sqref="D2" xr:uid="{46C967CB-44CC-46D9-921A-3E7397CC07BF}">
      <formula1>AD1:AD10</formula1>
    </dataValidation>
    <dataValidation type="list" allowBlank="1" showInputMessage="1" showErrorMessage="1" sqref="E2 F2" xr:uid="{CC39818A-5E73-441F-A656-DCE033BCCBDE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0849-351E-4CD5-9FD0-0BF353E81DB6}">
  <dimension ref="B1:U16"/>
  <sheetViews>
    <sheetView showGridLines="0" workbookViewId="0">
      <selection activeCell="U1" sqref="U1"/>
    </sheetView>
  </sheetViews>
  <sheetFormatPr defaultRowHeight="14.4" x14ac:dyDescent="0.3"/>
  <sheetData>
    <row r="1" spans="2:21" x14ac:dyDescent="0.3">
      <c r="B1" s="69" t="s">
        <v>702</v>
      </c>
      <c r="C1" s="69" t="s">
        <v>703</v>
      </c>
      <c r="D1" s="69" t="s">
        <v>704</v>
      </c>
      <c r="E1" s="69" t="s">
        <v>2</v>
      </c>
      <c r="F1" s="69" t="s">
        <v>705</v>
      </c>
      <c r="G1" s="69" t="s">
        <v>612</v>
      </c>
      <c r="H1" s="69" t="s">
        <v>3</v>
      </c>
      <c r="I1" s="69" t="s">
        <v>706</v>
      </c>
      <c r="J1" s="69" t="s">
        <v>5</v>
      </c>
      <c r="K1" s="69" t="s">
        <v>1</v>
      </c>
      <c r="L1" s="69" t="s">
        <v>707</v>
      </c>
      <c r="M1" s="69" t="s">
        <v>708</v>
      </c>
      <c r="N1" s="69" t="s">
        <v>709</v>
      </c>
      <c r="O1" s="69" t="s">
        <v>710</v>
      </c>
      <c r="P1" s="69" t="s">
        <v>711</v>
      </c>
      <c r="Q1" s="69" t="s">
        <v>712</v>
      </c>
      <c r="R1" s="69" t="s">
        <v>713</v>
      </c>
      <c r="S1" s="69" t="s">
        <v>714</v>
      </c>
      <c r="T1" s="69" t="s">
        <v>715</v>
      </c>
      <c r="U1" s="69" t="s">
        <v>716</v>
      </c>
    </row>
    <row r="2" spans="2:21" x14ac:dyDescent="0.3">
      <c r="B2" s="68" t="s">
        <v>683</v>
      </c>
      <c r="C2" s="68">
        <v>6692</v>
      </c>
      <c r="D2" s="68">
        <v>6603</v>
      </c>
      <c r="E2" s="68" t="s">
        <v>41</v>
      </c>
      <c r="F2" s="68">
        <v>1</v>
      </c>
      <c r="G2" s="68" t="s">
        <v>684</v>
      </c>
      <c r="H2" s="68" t="s">
        <v>49</v>
      </c>
      <c r="I2" s="68" t="s">
        <v>50</v>
      </c>
      <c r="J2" s="68" t="s">
        <v>685</v>
      </c>
      <c r="K2" s="68" t="s">
        <v>37</v>
      </c>
      <c r="L2" s="68">
        <v>0.15</v>
      </c>
      <c r="M2" s="68">
        <v>0.12</v>
      </c>
      <c r="N2" s="68">
        <v>0.09</v>
      </c>
      <c r="O2" s="68">
        <v>0.06</v>
      </c>
      <c r="P2" s="68">
        <v>0.03</v>
      </c>
      <c r="Q2" s="68">
        <v>0</v>
      </c>
      <c r="R2" s="68"/>
      <c r="S2" s="68"/>
      <c r="T2" s="68"/>
      <c r="U2" s="68">
        <v>3</v>
      </c>
    </row>
    <row r="3" spans="2:21" x14ac:dyDescent="0.3">
      <c r="B3" s="68" t="s">
        <v>686</v>
      </c>
      <c r="C3" s="68">
        <v>6693</v>
      </c>
      <c r="D3" s="68">
        <v>6603</v>
      </c>
      <c r="E3" s="68" t="s">
        <v>38</v>
      </c>
      <c r="F3" s="68">
        <v>1</v>
      </c>
      <c r="G3" s="68" t="s">
        <v>684</v>
      </c>
      <c r="H3" s="68" t="s">
        <v>49</v>
      </c>
      <c r="I3" s="68" t="s">
        <v>50</v>
      </c>
      <c r="J3" s="68" t="s">
        <v>685</v>
      </c>
      <c r="K3" s="68" t="s">
        <v>37</v>
      </c>
      <c r="L3" s="68">
        <v>0.15</v>
      </c>
      <c r="M3" s="68">
        <v>0.12</v>
      </c>
      <c r="N3" s="68">
        <v>0.09</v>
      </c>
      <c r="O3" s="68">
        <v>0.06</v>
      </c>
      <c r="P3" s="68">
        <v>0.03</v>
      </c>
      <c r="Q3" s="68">
        <v>0</v>
      </c>
      <c r="R3" s="68"/>
      <c r="S3" s="68"/>
      <c r="T3" s="68"/>
      <c r="U3" s="68">
        <v>3</v>
      </c>
    </row>
    <row r="4" spans="2:21" x14ac:dyDescent="0.3">
      <c r="B4" s="68" t="s">
        <v>687</v>
      </c>
      <c r="C4" s="68">
        <v>6694</v>
      </c>
      <c r="D4" s="68">
        <v>6603</v>
      </c>
      <c r="E4" s="68" t="s">
        <v>688</v>
      </c>
      <c r="F4" s="68">
        <v>1</v>
      </c>
      <c r="G4" s="68" t="s">
        <v>684</v>
      </c>
      <c r="H4" s="68" t="s">
        <v>49</v>
      </c>
      <c r="I4" s="68" t="s">
        <v>50</v>
      </c>
      <c r="J4" s="68" t="s">
        <v>685</v>
      </c>
      <c r="K4" s="68" t="s">
        <v>37</v>
      </c>
      <c r="L4" s="68">
        <v>0.15</v>
      </c>
      <c r="M4" s="68">
        <v>0.12</v>
      </c>
      <c r="N4" s="68">
        <v>0.09</v>
      </c>
      <c r="O4" s="68">
        <v>0.06</v>
      </c>
      <c r="P4" s="68">
        <v>0.03</v>
      </c>
      <c r="Q4" s="68">
        <v>0</v>
      </c>
      <c r="R4" s="68"/>
      <c r="S4" s="68"/>
      <c r="T4" s="68"/>
      <c r="U4" s="68">
        <v>3</v>
      </c>
    </row>
    <row r="5" spans="2:21" x14ac:dyDescent="0.3">
      <c r="B5" s="68" t="s">
        <v>689</v>
      </c>
      <c r="C5" s="68">
        <v>6695</v>
      </c>
      <c r="D5" s="68">
        <v>6603</v>
      </c>
      <c r="E5" s="68" t="s">
        <v>23</v>
      </c>
      <c r="F5" s="68">
        <v>1</v>
      </c>
      <c r="G5" s="68" t="s">
        <v>684</v>
      </c>
      <c r="H5" s="68" t="s">
        <v>49</v>
      </c>
      <c r="I5" s="68" t="s">
        <v>50</v>
      </c>
      <c r="J5" s="68" t="s">
        <v>685</v>
      </c>
      <c r="K5" s="68" t="s">
        <v>35</v>
      </c>
      <c r="L5" s="68">
        <v>0.15</v>
      </c>
      <c r="M5" s="68">
        <v>0.12</v>
      </c>
      <c r="N5" s="68">
        <v>0.09</v>
      </c>
      <c r="O5" s="68">
        <v>0.06</v>
      </c>
      <c r="P5" s="68">
        <v>0.03</v>
      </c>
      <c r="Q5" s="68">
        <v>0</v>
      </c>
      <c r="R5" s="68"/>
      <c r="S5" s="68"/>
      <c r="T5" s="68"/>
      <c r="U5" s="68">
        <v>3</v>
      </c>
    </row>
    <row r="6" spans="2:21" x14ac:dyDescent="0.3">
      <c r="B6" s="68" t="s">
        <v>690</v>
      </c>
      <c r="C6" s="68">
        <v>6696</v>
      </c>
      <c r="D6" s="68">
        <v>6603</v>
      </c>
      <c r="E6" s="68" t="s">
        <v>33</v>
      </c>
      <c r="F6" s="68">
        <v>1</v>
      </c>
      <c r="G6" s="68" t="s">
        <v>684</v>
      </c>
      <c r="H6" s="68" t="s">
        <v>49</v>
      </c>
      <c r="I6" s="68" t="s">
        <v>50</v>
      </c>
      <c r="J6" s="68" t="s">
        <v>685</v>
      </c>
      <c r="K6" s="68" t="s">
        <v>35</v>
      </c>
      <c r="L6" s="68">
        <v>0.15</v>
      </c>
      <c r="M6" s="68">
        <v>0.12</v>
      </c>
      <c r="N6" s="68">
        <v>0.09</v>
      </c>
      <c r="O6" s="68">
        <v>0.06</v>
      </c>
      <c r="P6" s="68">
        <v>0.03</v>
      </c>
      <c r="Q6" s="68">
        <v>0</v>
      </c>
      <c r="R6" s="68"/>
      <c r="S6" s="68"/>
      <c r="T6" s="68"/>
      <c r="U6" s="68">
        <v>3</v>
      </c>
    </row>
    <row r="7" spans="2:21" x14ac:dyDescent="0.3">
      <c r="B7" s="68" t="s">
        <v>691</v>
      </c>
      <c r="C7" s="68">
        <v>6697</v>
      </c>
      <c r="D7" s="68">
        <v>6603</v>
      </c>
      <c r="E7" s="68" t="s">
        <v>23</v>
      </c>
      <c r="F7" s="68">
        <v>1</v>
      </c>
      <c r="G7" s="68" t="s">
        <v>684</v>
      </c>
      <c r="H7" s="68" t="s">
        <v>44</v>
      </c>
      <c r="I7" s="68" t="s">
        <v>88</v>
      </c>
      <c r="J7" s="68" t="s">
        <v>685</v>
      </c>
      <c r="K7" s="68" t="s">
        <v>43</v>
      </c>
      <c r="L7" s="68">
        <v>0.3</v>
      </c>
      <c r="M7" s="68">
        <v>0.24</v>
      </c>
      <c r="N7" s="68">
        <v>0.18</v>
      </c>
      <c r="O7" s="68">
        <v>0.12</v>
      </c>
      <c r="P7" s="68">
        <v>0.06</v>
      </c>
      <c r="Q7" s="68">
        <v>0</v>
      </c>
      <c r="R7" s="68"/>
      <c r="S7" s="68"/>
      <c r="T7" s="68"/>
      <c r="U7" s="68">
        <v>3</v>
      </c>
    </row>
    <row r="8" spans="2:21" x14ac:dyDescent="0.3">
      <c r="B8" s="68" t="s">
        <v>692</v>
      </c>
      <c r="C8" s="68">
        <v>6698</v>
      </c>
      <c r="D8" s="68">
        <v>6603</v>
      </c>
      <c r="E8" s="68" t="s">
        <v>693</v>
      </c>
      <c r="F8" s="68">
        <v>1</v>
      </c>
      <c r="G8" s="68" t="s">
        <v>684</v>
      </c>
      <c r="H8" s="68" t="s">
        <v>44</v>
      </c>
      <c r="I8" s="68" t="s">
        <v>88</v>
      </c>
      <c r="J8" s="68" t="s">
        <v>685</v>
      </c>
      <c r="K8" s="68" t="s">
        <v>43</v>
      </c>
      <c r="L8" s="68">
        <v>0.3</v>
      </c>
      <c r="M8" s="68">
        <v>0.24</v>
      </c>
      <c r="N8" s="68">
        <v>0.18</v>
      </c>
      <c r="O8" s="68">
        <v>0.12</v>
      </c>
      <c r="P8" s="68">
        <v>0.06</v>
      </c>
      <c r="Q8" s="68">
        <v>0</v>
      </c>
      <c r="R8" s="68"/>
      <c r="S8" s="68"/>
      <c r="T8" s="68"/>
      <c r="U8" s="68">
        <v>3</v>
      </c>
    </row>
    <row r="9" spans="2:21" x14ac:dyDescent="0.3">
      <c r="B9" s="68" t="s">
        <v>694</v>
      </c>
      <c r="C9" s="68">
        <v>6699</v>
      </c>
      <c r="D9" s="68">
        <v>6603</v>
      </c>
      <c r="E9" s="68" t="s">
        <v>23</v>
      </c>
      <c r="F9" s="68">
        <v>1</v>
      </c>
      <c r="G9" s="68" t="s">
        <v>684</v>
      </c>
      <c r="H9" s="68" t="s">
        <v>44</v>
      </c>
      <c r="I9" s="68" t="s">
        <v>25</v>
      </c>
      <c r="J9" s="68" t="s">
        <v>44</v>
      </c>
      <c r="K9" s="68" t="s">
        <v>43</v>
      </c>
      <c r="L9" s="68">
        <v>0.3</v>
      </c>
      <c r="M9" s="68">
        <v>0.24</v>
      </c>
      <c r="N9" s="68">
        <v>0.18</v>
      </c>
      <c r="O9" s="68">
        <v>0.12</v>
      </c>
      <c r="P9" s="68">
        <v>0.06</v>
      </c>
      <c r="Q9" s="68">
        <v>0</v>
      </c>
      <c r="R9" s="68"/>
      <c r="S9" s="68"/>
      <c r="T9" s="68"/>
      <c r="U9" s="68">
        <v>3</v>
      </c>
    </row>
    <row r="10" spans="2:21" x14ac:dyDescent="0.3">
      <c r="B10" s="68" t="s">
        <v>695</v>
      </c>
      <c r="C10" s="68">
        <v>6700</v>
      </c>
      <c r="D10" s="68">
        <v>6603</v>
      </c>
      <c r="E10" s="68" t="s">
        <v>41</v>
      </c>
      <c r="F10" s="68">
        <v>1</v>
      </c>
      <c r="G10" s="68" t="s">
        <v>684</v>
      </c>
      <c r="H10" s="68" t="s">
        <v>44</v>
      </c>
      <c r="I10" s="68" t="s">
        <v>25</v>
      </c>
      <c r="J10" s="68" t="s">
        <v>696</v>
      </c>
      <c r="K10" s="68" t="s">
        <v>37</v>
      </c>
      <c r="L10" s="68">
        <v>0.1</v>
      </c>
      <c r="M10" s="68">
        <v>0.08</v>
      </c>
      <c r="N10" s="68">
        <v>0.06</v>
      </c>
      <c r="O10" s="68">
        <v>0.04</v>
      </c>
      <c r="P10" s="68">
        <v>0.02</v>
      </c>
      <c r="Q10" s="68">
        <v>0</v>
      </c>
      <c r="R10" s="68"/>
      <c r="S10" s="68"/>
      <c r="T10" s="68"/>
      <c r="U10" s="68">
        <v>3</v>
      </c>
    </row>
    <row r="11" spans="2:21" x14ac:dyDescent="0.3">
      <c r="B11" s="68" t="s">
        <v>697</v>
      </c>
      <c r="C11" s="68">
        <v>6701</v>
      </c>
      <c r="D11" s="68">
        <v>6603</v>
      </c>
      <c r="E11" s="68" t="s">
        <v>38</v>
      </c>
      <c r="F11" s="68">
        <v>1</v>
      </c>
      <c r="G11" s="68" t="s">
        <v>684</v>
      </c>
      <c r="H11" s="68" t="s">
        <v>44</v>
      </c>
      <c r="I11" s="68" t="s">
        <v>25</v>
      </c>
      <c r="J11" s="68" t="s">
        <v>696</v>
      </c>
      <c r="K11" s="68" t="s">
        <v>37</v>
      </c>
      <c r="L11" s="68">
        <v>0.1</v>
      </c>
      <c r="M11" s="68">
        <v>0.08</v>
      </c>
      <c r="N11" s="68">
        <v>0.06</v>
      </c>
      <c r="O11" s="68">
        <v>0.04</v>
      </c>
      <c r="P11" s="68">
        <v>0.02</v>
      </c>
      <c r="Q11" s="68">
        <v>0</v>
      </c>
      <c r="R11" s="68"/>
      <c r="S11" s="68"/>
      <c r="T11" s="68"/>
      <c r="U11" s="68">
        <v>3</v>
      </c>
    </row>
    <row r="12" spans="2:21" x14ac:dyDescent="0.3">
      <c r="B12" s="68" t="s">
        <v>698</v>
      </c>
      <c r="C12" s="68">
        <v>6702</v>
      </c>
      <c r="D12" s="68">
        <v>6603</v>
      </c>
      <c r="E12" s="68" t="s">
        <v>23</v>
      </c>
      <c r="F12" s="68">
        <v>1</v>
      </c>
      <c r="G12" s="68" t="s">
        <v>684</v>
      </c>
      <c r="H12" s="68" t="s">
        <v>44</v>
      </c>
      <c r="I12" s="68" t="s">
        <v>25</v>
      </c>
      <c r="J12" s="68" t="s">
        <v>696</v>
      </c>
      <c r="K12" s="68" t="s">
        <v>37</v>
      </c>
      <c r="L12" s="68">
        <v>0.1</v>
      </c>
      <c r="M12" s="68">
        <v>0.08</v>
      </c>
      <c r="N12" s="68">
        <v>0.06</v>
      </c>
      <c r="O12" s="68">
        <v>0.04</v>
      </c>
      <c r="P12" s="68">
        <v>0.02</v>
      </c>
      <c r="Q12" s="68">
        <v>0</v>
      </c>
      <c r="R12" s="68"/>
      <c r="S12" s="68"/>
      <c r="T12" s="68"/>
      <c r="U12" s="68">
        <v>3</v>
      </c>
    </row>
    <row r="13" spans="2:21" x14ac:dyDescent="0.3">
      <c r="B13" s="68" t="s">
        <v>694</v>
      </c>
      <c r="C13" s="68">
        <v>6703</v>
      </c>
      <c r="D13" s="68">
        <v>6603</v>
      </c>
      <c r="E13" s="68" t="s">
        <v>23</v>
      </c>
      <c r="F13" s="68">
        <v>1</v>
      </c>
      <c r="G13" s="68" t="s">
        <v>684</v>
      </c>
      <c r="H13" s="68" t="s">
        <v>44</v>
      </c>
      <c r="I13" s="68" t="s">
        <v>25</v>
      </c>
      <c r="J13" s="68" t="s">
        <v>44</v>
      </c>
      <c r="K13" s="68" t="s">
        <v>43</v>
      </c>
      <c r="L13" s="68">
        <v>0.3</v>
      </c>
      <c r="M13" s="68">
        <v>0.24</v>
      </c>
      <c r="N13" s="68">
        <v>0.18</v>
      </c>
      <c r="O13" s="68">
        <v>0.12</v>
      </c>
      <c r="P13" s="68">
        <v>0.06</v>
      </c>
      <c r="Q13" s="68">
        <v>0</v>
      </c>
      <c r="R13" s="68"/>
      <c r="S13" s="68"/>
      <c r="T13" s="68"/>
      <c r="U13" s="68">
        <v>3</v>
      </c>
    </row>
    <row r="14" spans="2:21" x14ac:dyDescent="0.3">
      <c r="B14" s="68" t="s">
        <v>699</v>
      </c>
      <c r="C14" s="68">
        <v>6704</v>
      </c>
      <c r="D14" s="68">
        <v>6603</v>
      </c>
      <c r="E14" s="68" t="s">
        <v>33</v>
      </c>
      <c r="F14" s="68">
        <v>1</v>
      </c>
      <c r="G14" s="68" t="s">
        <v>684</v>
      </c>
      <c r="H14" s="68" t="s">
        <v>44</v>
      </c>
      <c r="I14" s="68" t="s">
        <v>25</v>
      </c>
      <c r="J14" s="68" t="s">
        <v>44</v>
      </c>
      <c r="K14" s="68" t="s">
        <v>43</v>
      </c>
      <c r="L14" s="68">
        <v>0.3</v>
      </c>
      <c r="M14" s="68">
        <v>0.24</v>
      </c>
      <c r="N14" s="68">
        <v>0.18</v>
      </c>
      <c r="O14" s="68">
        <v>0.12</v>
      </c>
      <c r="P14" s="68">
        <v>0.06</v>
      </c>
      <c r="Q14" s="68">
        <v>0</v>
      </c>
      <c r="R14" s="68"/>
      <c r="S14" s="68"/>
      <c r="T14" s="68"/>
      <c r="U14" s="68">
        <v>3</v>
      </c>
    </row>
    <row r="15" spans="2:21" x14ac:dyDescent="0.3">
      <c r="B15" s="68" t="s">
        <v>700</v>
      </c>
      <c r="C15" s="68">
        <v>6705</v>
      </c>
      <c r="D15" s="68">
        <v>6603</v>
      </c>
      <c r="E15" s="68" t="s">
        <v>23</v>
      </c>
      <c r="F15" s="68">
        <v>1</v>
      </c>
      <c r="G15" s="68" t="s">
        <v>684</v>
      </c>
      <c r="H15" s="68" t="s">
        <v>44</v>
      </c>
      <c r="I15" s="68" t="s">
        <v>89</v>
      </c>
      <c r="J15" s="68" t="s">
        <v>685</v>
      </c>
      <c r="K15" s="68" t="s">
        <v>43</v>
      </c>
      <c r="L15" s="68">
        <v>0.4</v>
      </c>
      <c r="M15" s="68">
        <v>0.32</v>
      </c>
      <c r="N15" s="68">
        <v>0.24</v>
      </c>
      <c r="O15" s="68">
        <v>0.16</v>
      </c>
      <c r="P15" s="68">
        <v>0.08</v>
      </c>
      <c r="Q15" s="68">
        <v>0</v>
      </c>
      <c r="R15" s="68"/>
      <c r="S15" s="68"/>
      <c r="T15" s="68"/>
      <c r="U15" s="68">
        <v>3</v>
      </c>
    </row>
    <row r="16" spans="2:21" x14ac:dyDescent="0.3">
      <c r="B16" s="68" t="s">
        <v>701</v>
      </c>
      <c r="C16" s="68">
        <v>6706</v>
      </c>
      <c r="D16" s="68">
        <v>6603</v>
      </c>
      <c r="E16" s="68" t="s">
        <v>693</v>
      </c>
      <c r="F16" s="68">
        <v>1</v>
      </c>
      <c r="G16" s="68" t="s">
        <v>684</v>
      </c>
      <c r="H16" s="68" t="s">
        <v>44</v>
      </c>
      <c r="I16" s="68" t="s">
        <v>89</v>
      </c>
      <c r="J16" s="68" t="s">
        <v>685</v>
      </c>
      <c r="K16" s="68" t="s">
        <v>43</v>
      </c>
      <c r="L16" s="68">
        <v>0.4</v>
      </c>
      <c r="M16" s="68">
        <v>0.32</v>
      </c>
      <c r="N16" s="68">
        <v>0.24</v>
      </c>
      <c r="O16" s="68">
        <v>0.16</v>
      </c>
      <c r="P16" s="68">
        <v>0.08</v>
      </c>
      <c r="Q16" s="68">
        <v>0</v>
      </c>
      <c r="R16" s="68"/>
      <c r="S16" s="68"/>
      <c r="T16" s="68"/>
      <c r="U16" s="68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0059-06AA-44AC-9001-2404E415E0B6}">
  <dimension ref="A1:L18"/>
  <sheetViews>
    <sheetView showGridLines="0" workbookViewId="0">
      <selection activeCell="F8" sqref="F8"/>
    </sheetView>
  </sheetViews>
  <sheetFormatPr defaultColWidth="9.109375" defaultRowHeight="10.199999999999999" x14ac:dyDescent="0.2"/>
  <cols>
    <col min="1" max="1" width="31.44140625" style="16" bestFit="1" customWidth="1"/>
    <col min="2" max="2" width="18.44140625" style="16" customWidth="1"/>
    <col min="3" max="12" width="11" style="16" customWidth="1"/>
    <col min="13" max="16384" width="9.109375" style="16"/>
  </cols>
  <sheetData>
    <row r="1" spans="1:12" ht="10.8" thickBot="1" x14ac:dyDescent="0.25">
      <c r="A1" s="102" t="s">
        <v>1111</v>
      </c>
      <c r="B1" s="102" t="s">
        <v>22</v>
      </c>
      <c r="C1" s="102" t="s">
        <v>1110</v>
      </c>
      <c r="D1" s="102" t="s">
        <v>1109</v>
      </c>
      <c r="E1" s="102" t="s">
        <v>35</v>
      </c>
      <c r="F1" s="102" t="s">
        <v>1108</v>
      </c>
      <c r="G1" s="102" t="s">
        <v>1107</v>
      </c>
      <c r="H1" s="102" t="s">
        <v>605</v>
      </c>
      <c r="I1" s="102" t="s">
        <v>37</v>
      </c>
      <c r="J1" s="102" t="s">
        <v>604</v>
      </c>
      <c r="K1" s="102" t="s">
        <v>603</v>
      </c>
      <c r="L1" s="102" t="s">
        <v>602</v>
      </c>
    </row>
    <row r="2" spans="1:12" x14ac:dyDescent="0.2">
      <c r="A2" s="98" t="s">
        <v>1106</v>
      </c>
      <c r="B2" s="104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912.68916924712028</v>
      </c>
      <c r="C2" s="104">
        <f t="shared" si="0"/>
        <v>857.83444935630871</v>
      </c>
      <c r="D2" s="104">
        <f t="shared" si="0"/>
        <v>839.54954272603811</v>
      </c>
      <c r="E2" s="104">
        <f t="shared" si="0"/>
        <v>912.68916924712028</v>
      </c>
      <c r="F2" s="104">
        <f t="shared" si="0"/>
        <v>501.86233091593573</v>
      </c>
      <c r="G2" s="104">
        <f t="shared" si="0"/>
        <v>547.76911777491284</v>
      </c>
      <c r="H2" s="104">
        <f t="shared" si="0"/>
        <v>0</v>
      </c>
      <c r="I2" s="104">
        <f t="shared" si="0"/>
        <v>2046.38625044268</v>
      </c>
      <c r="J2" s="104">
        <f t="shared" si="0"/>
        <v>0</v>
      </c>
      <c r="K2" s="104">
        <f t="shared" si="0"/>
        <v>0</v>
      </c>
      <c r="L2" s="104">
        <f t="shared" si="0"/>
        <v>0</v>
      </c>
    </row>
    <row r="3" spans="1:12" ht="10.8" thickBot="1" x14ac:dyDescent="0.25">
      <c r="A3" s="96" t="s">
        <v>1105</v>
      </c>
      <c r="B3" s="103">
        <v>23.46</v>
      </c>
      <c r="C3" s="103">
        <v>22.05</v>
      </c>
      <c r="D3" s="103">
        <v>21.58</v>
      </c>
      <c r="E3" s="103">
        <v>23.46</v>
      </c>
      <c r="F3" s="103">
        <v>12.9</v>
      </c>
      <c r="G3" s="103">
        <v>14.08</v>
      </c>
      <c r="H3" s="103">
        <v>0</v>
      </c>
      <c r="I3" s="103">
        <f>'TUSD BE'!$AC$6</f>
        <v>52.600844902090145</v>
      </c>
      <c r="J3" s="103">
        <v>0</v>
      </c>
      <c r="K3" s="103">
        <v>0</v>
      </c>
      <c r="L3" s="103">
        <v>0</v>
      </c>
    </row>
    <row r="5" spans="1:12" ht="10.8" thickBot="1" x14ac:dyDescent="0.25">
      <c r="A5" s="102" t="s">
        <v>1104</v>
      </c>
      <c r="B5" s="102" t="s">
        <v>1103</v>
      </c>
    </row>
    <row r="6" spans="1:12" x14ac:dyDescent="0.2">
      <c r="A6" s="98" t="s">
        <v>1102</v>
      </c>
      <c r="B6" s="101">
        <v>9.9699999999999997E-2</v>
      </c>
    </row>
    <row r="7" spans="1:12" x14ac:dyDescent="0.2">
      <c r="A7" s="100" t="s">
        <v>1101</v>
      </c>
      <c r="B7" s="99">
        <v>0</v>
      </c>
    </row>
    <row r="8" spans="1:12" x14ac:dyDescent="0.2">
      <c r="A8" s="98" t="s">
        <v>1100</v>
      </c>
      <c r="B8" s="97">
        <v>11057461.609999999</v>
      </c>
    </row>
    <row r="9" spans="1:12" x14ac:dyDescent="0.2">
      <c r="A9" s="100" t="s">
        <v>1099</v>
      </c>
      <c r="B9" s="99">
        <v>0.04</v>
      </c>
    </row>
    <row r="10" spans="1:12" x14ac:dyDescent="0.2">
      <c r="A10" s="98" t="s">
        <v>1098</v>
      </c>
      <c r="B10" s="97">
        <v>7117225.4400000004</v>
      </c>
    </row>
    <row r="11" spans="1:12" ht="10.8" thickBot="1" x14ac:dyDescent="0.25">
      <c r="A11" s="96" t="s">
        <v>1097</v>
      </c>
      <c r="B11" s="95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9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89B2-3C76-4F7F-93FB-D007AA1A14E0}">
  <dimension ref="B1:AQ50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13.88671875" bestFit="1" customWidth="1"/>
    <col min="30" max="30" width="12" bestFit="1" customWidth="1"/>
    <col min="31" max="31" width="17.109375" bestFit="1" customWidth="1"/>
    <col min="32" max="32" width="12.21875" bestFit="1" customWidth="1"/>
    <col min="33" max="33" width="10.44140625" bestFit="1" customWidth="1"/>
    <col min="34" max="34" width="16.109375" bestFit="1" customWidth="1"/>
    <col min="35" max="35" width="9.5546875" bestFit="1" customWidth="1"/>
    <col min="36" max="36" width="12.44140625" bestFit="1" customWidth="1"/>
    <col min="37" max="37" width="11.88671875" bestFit="1" customWidth="1"/>
    <col min="38" max="38" width="13.6640625" bestFit="1" customWidth="1"/>
    <col min="39" max="39" width="24.5546875" bestFit="1" customWidth="1"/>
    <col min="40" max="40" width="17.44140625" bestFit="1" customWidth="1"/>
    <col min="41" max="41" width="13.21875" bestFit="1" customWidth="1"/>
    <col min="42" max="42" width="12.77734375" bestFit="1" customWidth="1"/>
    <col min="43" max="43" width="12.21875" bestFit="1" customWidth="1"/>
  </cols>
  <sheetData>
    <row r="1" spans="2:43" ht="12" customHeight="1" x14ac:dyDescent="0.3">
      <c r="L1" s="148" t="s">
        <v>1148</v>
      </c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9"/>
      <c r="AH1" s="148" t="s">
        <v>1149</v>
      </c>
      <c r="AI1" s="148"/>
      <c r="AJ1" s="148"/>
      <c r="AK1" s="148"/>
      <c r="AL1" s="148"/>
      <c r="AM1" s="148"/>
      <c r="AN1" s="148"/>
      <c r="AO1" s="148"/>
      <c r="AP1" s="148"/>
      <c r="AQ1" s="148"/>
    </row>
    <row r="2" spans="2:43" ht="12" customHeight="1" x14ac:dyDescent="0.3">
      <c r="L2" s="150" t="s">
        <v>471</v>
      </c>
      <c r="M2" s="150"/>
      <c r="N2" s="150"/>
      <c r="O2" s="150"/>
      <c r="P2" s="150"/>
      <c r="Q2" s="150"/>
      <c r="R2" s="150"/>
      <c r="S2" s="151"/>
      <c r="T2" s="150" t="s">
        <v>480</v>
      </c>
      <c r="U2" s="150"/>
      <c r="V2" s="150"/>
      <c r="W2" s="150"/>
      <c r="X2" s="150"/>
      <c r="Y2" s="150"/>
      <c r="Z2" s="151"/>
      <c r="AA2" s="152" t="s">
        <v>488</v>
      </c>
      <c r="AB2" s="150" t="s">
        <v>25</v>
      </c>
      <c r="AC2" s="151"/>
      <c r="AD2" s="150" t="s">
        <v>1147</v>
      </c>
      <c r="AE2" s="150"/>
      <c r="AF2" s="150"/>
      <c r="AG2" s="151"/>
      <c r="AH2" s="150" t="s">
        <v>471</v>
      </c>
      <c r="AI2" s="150"/>
      <c r="AJ2" s="150"/>
      <c r="AK2" s="151"/>
      <c r="AL2" s="152" t="s">
        <v>501</v>
      </c>
      <c r="AM2" s="150" t="s">
        <v>480</v>
      </c>
      <c r="AN2" s="150"/>
      <c r="AO2" s="150"/>
      <c r="AP2" s="151"/>
      <c r="AQ2" s="153" t="s">
        <v>1147</v>
      </c>
    </row>
    <row r="3" spans="2:43" ht="12" customHeight="1" x14ac:dyDescent="0.3">
      <c r="B3" s="139" t="s">
        <v>62</v>
      </c>
      <c r="C3" s="140" t="s">
        <v>63</v>
      </c>
      <c r="D3" s="140" t="s">
        <v>64</v>
      </c>
      <c r="E3" s="140" t="s">
        <v>65</v>
      </c>
      <c r="F3" s="140" t="s">
        <v>66</v>
      </c>
      <c r="G3" s="140" t="s">
        <v>68</v>
      </c>
      <c r="H3" s="140" t="s">
        <v>69</v>
      </c>
      <c r="I3" s="140" t="s">
        <v>747</v>
      </c>
      <c r="J3" s="140" t="s">
        <v>1112</v>
      </c>
      <c r="K3" s="140" t="s">
        <v>1113</v>
      </c>
      <c r="L3" s="140" t="s">
        <v>1114</v>
      </c>
      <c r="M3" s="140" t="s">
        <v>1115</v>
      </c>
      <c r="N3" s="140" t="s">
        <v>1116</v>
      </c>
      <c r="O3" s="140" t="s">
        <v>1117</v>
      </c>
      <c r="P3" s="140" t="s">
        <v>1118</v>
      </c>
      <c r="Q3" s="140" t="s">
        <v>1119</v>
      </c>
      <c r="R3" s="140" t="s">
        <v>1120</v>
      </c>
      <c r="S3" s="140" t="s">
        <v>1121</v>
      </c>
      <c r="T3" s="140" t="s">
        <v>1122</v>
      </c>
      <c r="U3" s="140" t="s">
        <v>1123</v>
      </c>
      <c r="V3" s="140" t="s">
        <v>1124</v>
      </c>
      <c r="W3" s="140" t="s">
        <v>1125</v>
      </c>
      <c r="X3" s="140" t="s">
        <v>1126</v>
      </c>
      <c r="Y3" s="140" t="s">
        <v>1127</v>
      </c>
      <c r="Z3" s="140" t="s">
        <v>1128</v>
      </c>
      <c r="AA3" s="140" t="s">
        <v>1129</v>
      </c>
      <c r="AB3" s="140" t="s">
        <v>1130</v>
      </c>
      <c r="AC3" s="140" t="s">
        <v>1131</v>
      </c>
      <c r="AD3" s="140" t="s">
        <v>1132</v>
      </c>
      <c r="AE3" s="140" t="s">
        <v>1133</v>
      </c>
      <c r="AF3" s="140" t="s">
        <v>1134</v>
      </c>
      <c r="AG3" s="140" t="s">
        <v>1135</v>
      </c>
      <c r="AH3" s="140" t="s">
        <v>1136</v>
      </c>
      <c r="AI3" s="140" t="s">
        <v>1137</v>
      </c>
      <c r="AJ3" s="140" t="s">
        <v>1138</v>
      </c>
      <c r="AK3" s="140" t="s">
        <v>1139</v>
      </c>
      <c r="AL3" s="140" t="s">
        <v>1140</v>
      </c>
      <c r="AM3" s="140" t="s">
        <v>1141</v>
      </c>
      <c r="AN3" s="140" t="s">
        <v>1142</v>
      </c>
      <c r="AO3" s="140" t="s">
        <v>1143</v>
      </c>
      <c r="AP3" s="140" t="s">
        <v>1144</v>
      </c>
      <c r="AQ3" s="141" t="s">
        <v>1145</v>
      </c>
    </row>
    <row r="4" spans="2:43" ht="12" customHeight="1" x14ac:dyDescent="0.3">
      <c r="B4" s="142" t="s">
        <v>37</v>
      </c>
      <c r="C4" s="143" t="s">
        <v>41</v>
      </c>
      <c r="D4" s="143" t="s">
        <v>25</v>
      </c>
      <c r="E4" s="143" t="s">
        <v>25</v>
      </c>
      <c r="F4" s="143" t="s">
        <v>80</v>
      </c>
      <c r="G4" s="143" t="s">
        <v>39</v>
      </c>
      <c r="H4" s="143" t="s">
        <v>72</v>
      </c>
      <c r="I4" s="143" t="s">
        <v>25</v>
      </c>
      <c r="J4" s="143">
        <v>28.74</v>
      </c>
      <c r="K4" s="143">
        <v>0</v>
      </c>
      <c r="L4" s="143">
        <v>0</v>
      </c>
      <c r="M4" s="143">
        <v>2.1296569977403599</v>
      </c>
      <c r="N4" s="143">
        <v>0</v>
      </c>
      <c r="O4" s="143">
        <v>0</v>
      </c>
      <c r="P4" s="143">
        <v>0</v>
      </c>
      <c r="Q4" s="143">
        <v>0</v>
      </c>
      <c r="R4" s="143">
        <v>0</v>
      </c>
      <c r="S4" s="143">
        <v>0</v>
      </c>
      <c r="T4" s="143">
        <v>0</v>
      </c>
      <c r="U4" s="143">
        <v>0</v>
      </c>
      <c r="V4" s="143">
        <v>0</v>
      </c>
      <c r="W4" s="143">
        <v>0</v>
      </c>
      <c r="X4" s="143">
        <v>0</v>
      </c>
      <c r="Y4" s="143">
        <v>0</v>
      </c>
      <c r="Z4" s="143">
        <v>0</v>
      </c>
      <c r="AA4" s="143">
        <v>0</v>
      </c>
      <c r="AB4" s="143">
        <v>0</v>
      </c>
      <c r="AC4" s="143">
        <v>0</v>
      </c>
      <c r="AD4" s="143">
        <v>12.853580096130999</v>
      </c>
      <c r="AE4" s="143">
        <v>0</v>
      </c>
      <c r="AF4" s="143">
        <v>13.756606743409</v>
      </c>
      <c r="AG4" s="143">
        <v>0</v>
      </c>
      <c r="AH4" s="143">
        <v>0</v>
      </c>
      <c r="AI4" s="143">
        <v>0</v>
      </c>
      <c r="AJ4" s="143">
        <v>0</v>
      </c>
      <c r="AK4" s="143">
        <v>0</v>
      </c>
      <c r="AL4" s="143">
        <v>0</v>
      </c>
      <c r="AM4" s="143">
        <v>0</v>
      </c>
      <c r="AN4" s="143">
        <v>0</v>
      </c>
      <c r="AO4" s="143">
        <v>0</v>
      </c>
      <c r="AP4" s="143">
        <v>0</v>
      </c>
      <c r="AQ4" s="144">
        <v>0</v>
      </c>
    </row>
    <row r="5" spans="2:43" ht="12" customHeight="1" x14ac:dyDescent="0.3">
      <c r="B5" s="142" t="s">
        <v>37</v>
      </c>
      <c r="C5" s="143" t="s">
        <v>41</v>
      </c>
      <c r="D5" s="143" t="s">
        <v>25</v>
      </c>
      <c r="E5" s="143" t="s">
        <v>25</v>
      </c>
      <c r="F5" s="143" t="s">
        <v>80</v>
      </c>
      <c r="G5" s="143" t="s">
        <v>39</v>
      </c>
      <c r="H5" s="143" t="s">
        <v>77</v>
      </c>
      <c r="I5" s="143" t="s">
        <v>25</v>
      </c>
      <c r="J5" s="143">
        <v>204.33</v>
      </c>
      <c r="K5" s="143">
        <v>0</v>
      </c>
      <c r="L5" s="143">
        <v>0</v>
      </c>
      <c r="M5" s="143">
        <v>0</v>
      </c>
      <c r="N5" s="143">
        <v>0</v>
      </c>
      <c r="O5" s="143">
        <v>0</v>
      </c>
      <c r="P5" s="143">
        <v>0</v>
      </c>
      <c r="Q5" s="143">
        <v>0</v>
      </c>
      <c r="R5" s="143">
        <v>0</v>
      </c>
      <c r="S5" s="143">
        <v>0</v>
      </c>
      <c r="T5" s="143">
        <v>0</v>
      </c>
      <c r="U5" s="143">
        <v>0</v>
      </c>
      <c r="V5" s="143">
        <v>0</v>
      </c>
      <c r="W5" s="143">
        <v>0</v>
      </c>
      <c r="X5" s="143">
        <v>70.837059261334105</v>
      </c>
      <c r="Y5" s="143">
        <v>0</v>
      </c>
      <c r="Z5" s="143">
        <v>0</v>
      </c>
      <c r="AA5" s="143">
        <v>133.49793964602799</v>
      </c>
      <c r="AB5" s="143">
        <v>0</v>
      </c>
      <c r="AC5" s="143">
        <v>0</v>
      </c>
      <c r="AD5" s="143">
        <v>0</v>
      </c>
      <c r="AE5" s="143">
        <v>0</v>
      </c>
      <c r="AF5" s="143">
        <v>0</v>
      </c>
      <c r="AG5" s="143">
        <v>0</v>
      </c>
      <c r="AH5" s="143">
        <v>0</v>
      </c>
      <c r="AI5" s="143">
        <v>0</v>
      </c>
      <c r="AJ5" s="143">
        <v>0</v>
      </c>
      <c r="AK5" s="143">
        <v>0</v>
      </c>
      <c r="AL5" s="143">
        <v>0</v>
      </c>
      <c r="AM5" s="143">
        <v>0</v>
      </c>
      <c r="AN5" s="143">
        <v>0</v>
      </c>
      <c r="AO5" s="143">
        <v>0</v>
      </c>
      <c r="AP5" s="143">
        <v>0</v>
      </c>
      <c r="AQ5" s="144">
        <v>0</v>
      </c>
    </row>
    <row r="6" spans="2:43" ht="12" customHeight="1" x14ac:dyDescent="0.3">
      <c r="B6" s="142" t="s">
        <v>37</v>
      </c>
      <c r="C6" s="143" t="s">
        <v>41</v>
      </c>
      <c r="D6" s="143" t="s">
        <v>25</v>
      </c>
      <c r="E6" s="143" t="s">
        <v>25</v>
      </c>
      <c r="F6" s="143" t="s">
        <v>80</v>
      </c>
      <c r="G6" s="143" t="s">
        <v>34</v>
      </c>
      <c r="H6" s="143" t="s">
        <v>72</v>
      </c>
      <c r="I6" s="143" t="s">
        <v>25</v>
      </c>
      <c r="J6" s="143">
        <v>28.74</v>
      </c>
      <c r="K6" s="143">
        <v>0</v>
      </c>
      <c r="L6" s="143">
        <v>0</v>
      </c>
      <c r="M6" s="143">
        <v>2.1296569977403599</v>
      </c>
      <c r="N6" s="143">
        <v>0</v>
      </c>
      <c r="O6" s="143">
        <v>0</v>
      </c>
      <c r="P6" s="143">
        <v>0</v>
      </c>
      <c r="Q6" s="143">
        <v>0</v>
      </c>
      <c r="R6" s="143">
        <v>0</v>
      </c>
      <c r="S6" s="143">
        <v>0</v>
      </c>
      <c r="T6" s="143">
        <v>0</v>
      </c>
      <c r="U6" s="143">
        <v>0</v>
      </c>
      <c r="V6" s="143">
        <v>0</v>
      </c>
      <c r="W6" s="143">
        <v>0</v>
      </c>
      <c r="X6" s="143">
        <v>0</v>
      </c>
      <c r="Y6" s="143">
        <v>0</v>
      </c>
      <c r="Z6" s="143">
        <v>0</v>
      </c>
      <c r="AA6" s="143">
        <v>0</v>
      </c>
      <c r="AB6" s="143">
        <v>0</v>
      </c>
      <c r="AC6" s="143">
        <v>0</v>
      </c>
      <c r="AD6" s="143">
        <v>12.853580096130999</v>
      </c>
      <c r="AE6" s="143">
        <v>0</v>
      </c>
      <c r="AF6" s="143">
        <v>13.756606743409</v>
      </c>
      <c r="AG6" s="143">
        <v>0</v>
      </c>
      <c r="AH6" s="143">
        <v>0</v>
      </c>
      <c r="AI6" s="143">
        <v>0</v>
      </c>
      <c r="AJ6" s="143">
        <v>0</v>
      </c>
      <c r="AK6" s="143">
        <v>0</v>
      </c>
      <c r="AL6" s="143">
        <v>0</v>
      </c>
      <c r="AM6" s="143">
        <v>0</v>
      </c>
      <c r="AN6" s="143">
        <v>0</v>
      </c>
      <c r="AO6" s="143">
        <v>0</v>
      </c>
      <c r="AP6" s="143">
        <v>0</v>
      </c>
      <c r="AQ6" s="144">
        <v>0</v>
      </c>
    </row>
    <row r="7" spans="2:43" ht="12" customHeight="1" x14ac:dyDescent="0.3">
      <c r="B7" s="142" t="s">
        <v>37</v>
      </c>
      <c r="C7" s="143" t="s">
        <v>41</v>
      </c>
      <c r="D7" s="143" t="s">
        <v>25</v>
      </c>
      <c r="E7" s="143" t="s">
        <v>25</v>
      </c>
      <c r="F7" s="143" t="s">
        <v>80</v>
      </c>
      <c r="G7" s="143" t="s">
        <v>34</v>
      </c>
      <c r="H7" s="143" t="s">
        <v>77</v>
      </c>
      <c r="I7" s="143" t="s">
        <v>25</v>
      </c>
      <c r="J7" s="143">
        <v>81.040000000000006</v>
      </c>
      <c r="K7" s="143">
        <v>0</v>
      </c>
      <c r="L7" s="143">
        <v>0</v>
      </c>
      <c r="M7" s="143">
        <v>0</v>
      </c>
      <c r="N7" s="143">
        <v>0</v>
      </c>
      <c r="O7" s="143">
        <v>0</v>
      </c>
      <c r="P7" s="143">
        <v>0</v>
      </c>
      <c r="Q7" s="143">
        <v>0</v>
      </c>
      <c r="R7" s="143">
        <v>0</v>
      </c>
      <c r="S7" s="143">
        <v>0</v>
      </c>
      <c r="T7" s="143">
        <v>0</v>
      </c>
      <c r="U7" s="143">
        <v>0</v>
      </c>
      <c r="V7" s="143">
        <v>0</v>
      </c>
      <c r="W7" s="143">
        <v>0</v>
      </c>
      <c r="X7" s="143">
        <v>38.454617838025399</v>
      </c>
      <c r="Y7" s="143">
        <v>0</v>
      </c>
      <c r="Z7" s="143">
        <v>0</v>
      </c>
      <c r="AA7" s="143">
        <v>42.5863585014853</v>
      </c>
      <c r="AB7" s="143">
        <v>0</v>
      </c>
      <c r="AC7" s="143">
        <v>0</v>
      </c>
      <c r="AD7" s="143">
        <v>0</v>
      </c>
      <c r="AE7" s="143">
        <v>0</v>
      </c>
      <c r="AF7" s="143">
        <v>0</v>
      </c>
      <c r="AG7" s="143">
        <v>0</v>
      </c>
      <c r="AH7" s="143">
        <v>0</v>
      </c>
      <c r="AI7" s="143">
        <v>0</v>
      </c>
      <c r="AJ7" s="143">
        <v>0</v>
      </c>
      <c r="AK7" s="143">
        <v>0</v>
      </c>
      <c r="AL7" s="143">
        <v>0</v>
      </c>
      <c r="AM7" s="143">
        <v>0</v>
      </c>
      <c r="AN7" s="143">
        <v>0</v>
      </c>
      <c r="AO7" s="143">
        <v>0</v>
      </c>
      <c r="AP7" s="143">
        <v>0</v>
      </c>
      <c r="AQ7" s="144">
        <v>0</v>
      </c>
    </row>
    <row r="8" spans="2:43" ht="12" customHeight="1" x14ac:dyDescent="0.3">
      <c r="B8" s="142" t="s">
        <v>37</v>
      </c>
      <c r="C8" s="143" t="s">
        <v>41</v>
      </c>
      <c r="D8" s="143" t="s">
        <v>25</v>
      </c>
      <c r="E8" s="143" t="s">
        <v>25</v>
      </c>
      <c r="F8" s="143" t="s">
        <v>25</v>
      </c>
      <c r="G8" s="143" t="s">
        <v>39</v>
      </c>
      <c r="H8" s="143" t="s">
        <v>72</v>
      </c>
      <c r="I8" s="143" t="s">
        <v>25</v>
      </c>
      <c r="J8" s="143">
        <v>133.18</v>
      </c>
      <c r="K8" s="143">
        <v>330.73</v>
      </c>
      <c r="L8" s="143">
        <v>11.7253758349335</v>
      </c>
      <c r="M8" s="143">
        <v>2.1296569977403599</v>
      </c>
      <c r="N8" s="143">
        <v>0</v>
      </c>
      <c r="O8" s="143">
        <v>0</v>
      </c>
      <c r="P8" s="143">
        <v>0</v>
      </c>
      <c r="Q8" s="143">
        <v>77.4291995757781</v>
      </c>
      <c r="R8" s="143">
        <v>15.281700625332</v>
      </c>
      <c r="S8" s="143">
        <v>0</v>
      </c>
      <c r="T8" s="143">
        <v>0</v>
      </c>
      <c r="U8" s="143">
        <v>0</v>
      </c>
      <c r="V8" s="143">
        <v>0</v>
      </c>
      <c r="W8" s="143">
        <v>0</v>
      </c>
      <c r="X8" s="143">
        <v>0</v>
      </c>
      <c r="Y8" s="143">
        <v>0</v>
      </c>
      <c r="Z8" s="143">
        <v>0</v>
      </c>
      <c r="AA8" s="143">
        <v>0</v>
      </c>
      <c r="AB8" s="143">
        <v>0</v>
      </c>
      <c r="AC8" s="143">
        <v>0</v>
      </c>
      <c r="AD8" s="143">
        <v>12.853580096130999</v>
      </c>
      <c r="AE8" s="143">
        <v>0</v>
      </c>
      <c r="AF8" s="143">
        <v>13.756606743409</v>
      </c>
      <c r="AG8" s="143">
        <v>0</v>
      </c>
      <c r="AH8" s="143">
        <v>0</v>
      </c>
      <c r="AI8" s="143">
        <v>0</v>
      </c>
      <c r="AJ8" s="143">
        <v>0</v>
      </c>
      <c r="AK8" s="143">
        <v>0</v>
      </c>
      <c r="AL8" s="143">
        <v>330.73086315618502</v>
      </c>
      <c r="AM8" s="143">
        <v>0</v>
      </c>
      <c r="AN8" s="143">
        <v>0</v>
      </c>
      <c r="AO8" s="143">
        <v>0</v>
      </c>
      <c r="AP8" s="143">
        <v>0</v>
      </c>
      <c r="AQ8" s="144">
        <v>0</v>
      </c>
    </row>
    <row r="9" spans="2:43" ht="12" customHeight="1" x14ac:dyDescent="0.3">
      <c r="B9" s="142" t="s">
        <v>37</v>
      </c>
      <c r="C9" s="143" t="s">
        <v>41</v>
      </c>
      <c r="D9" s="143" t="s">
        <v>25</v>
      </c>
      <c r="E9" s="143" t="s">
        <v>25</v>
      </c>
      <c r="F9" s="143" t="s">
        <v>25</v>
      </c>
      <c r="G9" s="143" t="s">
        <v>39</v>
      </c>
      <c r="H9" s="143" t="s">
        <v>77</v>
      </c>
      <c r="I9" s="143" t="s">
        <v>25</v>
      </c>
      <c r="J9" s="143">
        <v>204.33</v>
      </c>
      <c r="K9" s="143">
        <v>0</v>
      </c>
      <c r="L9" s="143">
        <v>0</v>
      </c>
      <c r="M9" s="143">
        <v>0</v>
      </c>
      <c r="N9" s="143">
        <v>0</v>
      </c>
      <c r="O9" s="143">
        <v>0</v>
      </c>
      <c r="P9" s="143">
        <v>0</v>
      </c>
      <c r="Q9" s="143">
        <v>0</v>
      </c>
      <c r="R9" s="143">
        <v>0</v>
      </c>
      <c r="S9" s="143">
        <v>0</v>
      </c>
      <c r="T9" s="143">
        <v>0</v>
      </c>
      <c r="U9" s="143">
        <v>0</v>
      </c>
      <c r="V9" s="143">
        <v>0</v>
      </c>
      <c r="W9" s="143">
        <v>0</v>
      </c>
      <c r="X9" s="143">
        <v>70.837059261334105</v>
      </c>
      <c r="Y9" s="143">
        <v>0</v>
      </c>
      <c r="Z9" s="143">
        <v>0</v>
      </c>
      <c r="AA9" s="143">
        <v>133.49793964602799</v>
      </c>
      <c r="AB9" s="143">
        <v>0</v>
      </c>
      <c r="AC9" s="143">
        <v>0</v>
      </c>
      <c r="AD9" s="143">
        <v>0</v>
      </c>
      <c r="AE9" s="143">
        <v>0</v>
      </c>
      <c r="AF9" s="143">
        <v>0</v>
      </c>
      <c r="AG9" s="143">
        <v>0</v>
      </c>
      <c r="AH9" s="143">
        <v>0</v>
      </c>
      <c r="AI9" s="143">
        <v>0</v>
      </c>
      <c r="AJ9" s="143">
        <v>0</v>
      </c>
      <c r="AK9" s="143">
        <v>0</v>
      </c>
      <c r="AL9" s="143">
        <v>0</v>
      </c>
      <c r="AM9" s="143">
        <v>0</v>
      </c>
      <c r="AN9" s="143">
        <v>0</v>
      </c>
      <c r="AO9" s="143">
        <v>0</v>
      </c>
      <c r="AP9" s="143">
        <v>0</v>
      </c>
      <c r="AQ9" s="144">
        <v>0</v>
      </c>
    </row>
    <row r="10" spans="2:43" ht="12" customHeight="1" x14ac:dyDescent="0.3">
      <c r="B10" s="142" t="s">
        <v>37</v>
      </c>
      <c r="C10" s="143" t="s">
        <v>41</v>
      </c>
      <c r="D10" s="143" t="s">
        <v>25</v>
      </c>
      <c r="E10" s="143" t="s">
        <v>25</v>
      </c>
      <c r="F10" s="143" t="s">
        <v>25</v>
      </c>
      <c r="G10" s="143" t="s">
        <v>34</v>
      </c>
      <c r="H10" s="143" t="s">
        <v>72</v>
      </c>
      <c r="I10" s="143" t="s">
        <v>25</v>
      </c>
      <c r="J10" s="143">
        <v>133.18</v>
      </c>
      <c r="K10" s="143">
        <v>330.73</v>
      </c>
      <c r="L10" s="143">
        <v>11.7253758349335</v>
      </c>
      <c r="M10" s="143">
        <v>2.1296569977403599</v>
      </c>
      <c r="N10" s="143">
        <v>0</v>
      </c>
      <c r="O10" s="143">
        <v>0</v>
      </c>
      <c r="P10" s="143">
        <v>0</v>
      </c>
      <c r="Q10" s="143">
        <v>77.4291995757781</v>
      </c>
      <c r="R10" s="143">
        <v>15.281700625332</v>
      </c>
      <c r="S10" s="143">
        <v>0</v>
      </c>
      <c r="T10" s="143">
        <v>0</v>
      </c>
      <c r="U10" s="143">
        <v>0</v>
      </c>
      <c r="V10" s="143">
        <v>0</v>
      </c>
      <c r="W10" s="143">
        <v>0</v>
      </c>
      <c r="X10" s="143">
        <v>0</v>
      </c>
      <c r="Y10" s="143">
        <v>0</v>
      </c>
      <c r="Z10" s="143">
        <v>0</v>
      </c>
      <c r="AA10" s="143">
        <v>0</v>
      </c>
      <c r="AB10" s="143">
        <v>0</v>
      </c>
      <c r="AC10" s="143">
        <v>0</v>
      </c>
      <c r="AD10" s="143">
        <v>12.853580096130999</v>
      </c>
      <c r="AE10" s="143">
        <v>0</v>
      </c>
      <c r="AF10" s="143">
        <v>13.756606743409</v>
      </c>
      <c r="AG10" s="143">
        <v>0</v>
      </c>
      <c r="AH10" s="143">
        <v>0</v>
      </c>
      <c r="AI10" s="143">
        <v>0</v>
      </c>
      <c r="AJ10" s="143">
        <v>0</v>
      </c>
      <c r="AK10" s="143">
        <v>0</v>
      </c>
      <c r="AL10" s="143">
        <v>330.73086315618502</v>
      </c>
      <c r="AM10" s="143">
        <v>0</v>
      </c>
      <c r="AN10" s="143">
        <v>0</v>
      </c>
      <c r="AO10" s="143">
        <v>0</v>
      </c>
      <c r="AP10" s="143">
        <v>0</v>
      </c>
      <c r="AQ10" s="144">
        <v>0</v>
      </c>
    </row>
    <row r="11" spans="2:43" ht="12" customHeight="1" x14ac:dyDescent="0.3">
      <c r="B11" s="142" t="s">
        <v>37</v>
      </c>
      <c r="C11" s="143" t="s">
        <v>41</v>
      </c>
      <c r="D11" s="143" t="s">
        <v>25</v>
      </c>
      <c r="E11" s="143" t="s">
        <v>25</v>
      </c>
      <c r="F11" s="143" t="s">
        <v>25</v>
      </c>
      <c r="G11" s="143" t="s">
        <v>34</v>
      </c>
      <c r="H11" s="143" t="s">
        <v>77</v>
      </c>
      <c r="I11" s="143" t="s">
        <v>25</v>
      </c>
      <c r="J11" s="143">
        <v>81.040000000000006</v>
      </c>
      <c r="K11" s="143">
        <v>0</v>
      </c>
      <c r="L11" s="143">
        <v>0</v>
      </c>
      <c r="M11" s="143">
        <v>0</v>
      </c>
      <c r="N11" s="143">
        <v>0</v>
      </c>
      <c r="O11" s="143">
        <v>0</v>
      </c>
      <c r="P11" s="143">
        <v>0</v>
      </c>
      <c r="Q11" s="143">
        <v>0</v>
      </c>
      <c r="R11" s="143">
        <v>0</v>
      </c>
      <c r="S11" s="143">
        <v>0</v>
      </c>
      <c r="T11" s="143">
        <v>0</v>
      </c>
      <c r="U11" s="143">
        <v>0</v>
      </c>
      <c r="V11" s="143">
        <v>0</v>
      </c>
      <c r="W11" s="143">
        <v>0</v>
      </c>
      <c r="X11" s="143">
        <v>38.454617838025399</v>
      </c>
      <c r="Y11" s="143">
        <v>0</v>
      </c>
      <c r="Z11" s="143">
        <v>0</v>
      </c>
      <c r="AA11" s="143">
        <v>42.5863585014853</v>
      </c>
      <c r="AB11" s="143">
        <v>0</v>
      </c>
      <c r="AC11" s="143">
        <v>0</v>
      </c>
      <c r="AD11" s="143">
        <v>0</v>
      </c>
      <c r="AE11" s="143">
        <v>0</v>
      </c>
      <c r="AF11" s="143">
        <v>0</v>
      </c>
      <c r="AG11" s="143">
        <v>0</v>
      </c>
      <c r="AH11" s="143">
        <v>0</v>
      </c>
      <c r="AI11" s="143">
        <v>0</v>
      </c>
      <c r="AJ11" s="143">
        <v>0</v>
      </c>
      <c r="AK11" s="143">
        <v>0</v>
      </c>
      <c r="AL11" s="143">
        <v>0</v>
      </c>
      <c r="AM11" s="143">
        <v>0</v>
      </c>
      <c r="AN11" s="143">
        <v>0</v>
      </c>
      <c r="AO11" s="143">
        <v>0</v>
      </c>
      <c r="AP11" s="143">
        <v>0</v>
      </c>
      <c r="AQ11" s="144">
        <v>0</v>
      </c>
    </row>
    <row r="12" spans="2:43" ht="12" customHeight="1" x14ac:dyDescent="0.3">
      <c r="B12" s="142" t="s">
        <v>37</v>
      </c>
      <c r="C12" s="143" t="s">
        <v>23</v>
      </c>
      <c r="D12" s="143" t="s">
        <v>25</v>
      </c>
      <c r="E12" s="143" t="s">
        <v>25</v>
      </c>
      <c r="F12" s="143" t="s">
        <v>25</v>
      </c>
      <c r="G12" s="143" t="s">
        <v>25</v>
      </c>
      <c r="H12" s="143" t="s">
        <v>72</v>
      </c>
      <c r="I12" s="143" t="s">
        <v>25</v>
      </c>
      <c r="J12" s="143">
        <v>0</v>
      </c>
      <c r="K12" s="143">
        <v>330.73</v>
      </c>
      <c r="L12" s="143">
        <v>0</v>
      </c>
      <c r="M12" s="143">
        <v>0</v>
      </c>
      <c r="N12" s="143">
        <v>0</v>
      </c>
      <c r="O12" s="143">
        <v>0</v>
      </c>
      <c r="P12" s="143">
        <v>0</v>
      </c>
      <c r="Q12" s="143">
        <v>0</v>
      </c>
      <c r="R12" s="143">
        <v>0</v>
      </c>
      <c r="S12" s="143">
        <v>0</v>
      </c>
      <c r="T12" s="143">
        <v>0</v>
      </c>
      <c r="U12" s="143">
        <v>0</v>
      </c>
      <c r="V12" s="143">
        <v>0</v>
      </c>
      <c r="W12" s="143">
        <v>0</v>
      </c>
      <c r="X12" s="143">
        <v>0</v>
      </c>
      <c r="Y12" s="143">
        <v>0</v>
      </c>
      <c r="Z12" s="143">
        <v>0</v>
      </c>
      <c r="AA12" s="143">
        <v>0</v>
      </c>
      <c r="AB12" s="143">
        <v>0</v>
      </c>
      <c r="AC12" s="143">
        <v>0</v>
      </c>
      <c r="AD12" s="143">
        <v>0</v>
      </c>
      <c r="AE12" s="143">
        <v>0</v>
      </c>
      <c r="AF12" s="143">
        <v>0</v>
      </c>
      <c r="AG12" s="143">
        <v>0</v>
      </c>
      <c r="AH12" s="143">
        <v>0</v>
      </c>
      <c r="AI12" s="143">
        <v>0</v>
      </c>
      <c r="AJ12" s="143">
        <v>0</v>
      </c>
      <c r="AK12" s="143">
        <v>0</v>
      </c>
      <c r="AL12" s="143">
        <v>330.73086315618502</v>
      </c>
      <c r="AM12" s="143">
        <v>0</v>
      </c>
      <c r="AN12" s="143">
        <v>0</v>
      </c>
      <c r="AO12" s="143">
        <v>0</v>
      </c>
      <c r="AP12" s="143">
        <v>0</v>
      </c>
      <c r="AQ12" s="144">
        <v>0</v>
      </c>
    </row>
    <row r="13" spans="2:43" ht="12" customHeight="1" x14ac:dyDescent="0.3">
      <c r="B13" s="142" t="s">
        <v>37</v>
      </c>
      <c r="C13" s="143" t="s">
        <v>81</v>
      </c>
      <c r="D13" s="143" t="s">
        <v>25</v>
      </c>
      <c r="E13" s="143" t="s">
        <v>25</v>
      </c>
      <c r="F13" s="143" t="s">
        <v>25</v>
      </c>
      <c r="G13" s="143" t="s">
        <v>25</v>
      </c>
      <c r="H13" s="143" t="s">
        <v>77</v>
      </c>
      <c r="I13" s="143" t="s">
        <v>25</v>
      </c>
      <c r="J13" s="143">
        <v>18.46</v>
      </c>
      <c r="K13" s="143">
        <v>0</v>
      </c>
      <c r="L13" s="143">
        <v>0</v>
      </c>
      <c r="M13" s="143">
        <v>2.8682344714401699E-2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3">
        <v>0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18.434053496667801</v>
      </c>
      <c r="AB13" s="143">
        <v>0</v>
      </c>
      <c r="AC13" s="143">
        <v>0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4">
        <v>0</v>
      </c>
    </row>
    <row r="14" spans="2:43" ht="12" customHeight="1" x14ac:dyDescent="0.3">
      <c r="B14" s="142" t="s">
        <v>37</v>
      </c>
      <c r="C14" s="143" t="s">
        <v>38</v>
      </c>
      <c r="D14" s="143" t="s">
        <v>25</v>
      </c>
      <c r="E14" s="143" t="s">
        <v>25</v>
      </c>
      <c r="F14" s="143" t="s">
        <v>80</v>
      </c>
      <c r="G14" s="143" t="s">
        <v>39</v>
      </c>
      <c r="H14" s="143" t="s">
        <v>72</v>
      </c>
      <c r="I14" s="143" t="s">
        <v>25</v>
      </c>
      <c r="J14" s="143">
        <v>4943.0200000000004</v>
      </c>
      <c r="K14" s="143">
        <v>0</v>
      </c>
      <c r="L14" s="143">
        <v>0</v>
      </c>
      <c r="M14" s="143">
        <v>2.1296569977403599</v>
      </c>
      <c r="N14" s="143">
        <v>0</v>
      </c>
      <c r="O14" s="143">
        <v>0</v>
      </c>
      <c r="P14" s="143">
        <v>0</v>
      </c>
      <c r="Q14" s="143">
        <v>0</v>
      </c>
      <c r="R14" s="143">
        <v>0</v>
      </c>
      <c r="S14" s="143">
        <v>0</v>
      </c>
      <c r="T14" s="143">
        <v>0</v>
      </c>
      <c r="U14" s="143">
        <v>0</v>
      </c>
      <c r="V14" s="143">
        <v>0</v>
      </c>
      <c r="W14" s="143">
        <v>0</v>
      </c>
      <c r="X14" s="143">
        <v>1703.6466468844401</v>
      </c>
      <c r="Y14" s="143">
        <v>0</v>
      </c>
      <c r="Z14" s="143">
        <v>0</v>
      </c>
      <c r="AA14" s="143">
        <v>3210.6327725503502</v>
      </c>
      <c r="AB14" s="143">
        <v>0</v>
      </c>
      <c r="AC14" s="143">
        <v>0</v>
      </c>
      <c r="AD14" s="143">
        <v>12.853580096130999</v>
      </c>
      <c r="AE14" s="143">
        <v>0</v>
      </c>
      <c r="AF14" s="143">
        <v>13.756606743409</v>
      </c>
      <c r="AG14" s="143">
        <v>0</v>
      </c>
      <c r="AH14" s="143">
        <v>0</v>
      </c>
      <c r="AI14" s="143">
        <v>0</v>
      </c>
      <c r="AJ14" s="143">
        <v>0</v>
      </c>
      <c r="AK14" s="143">
        <v>0</v>
      </c>
      <c r="AL14" s="143">
        <v>0</v>
      </c>
      <c r="AM14" s="143">
        <v>0</v>
      </c>
      <c r="AN14" s="143">
        <v>0</v>
      </c>
      <c r="AO14" s="143">
        <v>0</v>
      </c>
      <c r="AP14" s="143">
        <v>0</v>
      </c>
      <c r="AQ14" s="144">
        <v>0</v>
      </c>
    </row>
    <row r="15" spans="2:43" ht="12" customHeight="1" x14ac:dyDescent="0.3">
      <c r="B15" s="142" t="s">
        <v>37</v>
      </c>
      <c r="C15" s="143" t="s">
        <v>38</v>
      </c>
      <c r="D15" s="143" t="s">
        <v>25</v>
      </c>
      <c r="E15" s="143" t="s">
        <v>25</v>
      </c>
      <c r="F15" s="143" t="s">
        <v>80</v>
      </c>
      <c r="G15" s="143" t="s">
        <v>25</v>
      </c>
      <c r="H15" s="143" t="s">
        <v>77</v>
      </c>
      <c r="I15" s="143" t="s">
        <v>25</v>
      </c>
      <c r="J15" s="143">
        <v>81.040000000000006</v>
      </c>
      <c r="K15" s="143">
        <v>0</v>
      </c>
      <c r="L15" s="143">
        <v>0</v>
      </c>
      <c r="M15" s="143">
        <v>0</v>
      </c>
      <c r="N15" s="143">
        <v>0</v>
      </c>
      <c r="O15" s="143">
        <v>0</v>
      </c>
      <c r="P15" s="143">
        <v>0</v>
      </c>
      <c r="Q15" s="143">
        <v>0</v>
      </c>
      <c r="R15" s="143">
        <v>0</v>
      </c>
      <c r="S15" s="143">
        <v>0</v>
      </c>
      <c r="T15" s="143">
        <v>0</v>
      </c>
      <c r="U15" s="143">
        <v>0</v>
      </c>
      <c r="V15" s="143">
        <v>0</v>
      </c>
      <c r="W15" s="143">
        <v>0</v>
      </c>
      <c r="X15" s="143">
        <v>38.454617838025399</v>
      </c>
      <c r="Y15" s="143">
        <v>0</v>
      </c>
      <c r="Z15" s="143">
        <v>0</v>
      </c>
      <c r="AA15" s="143">
        <v>42.5863585014853</v>
      </c>
      <c r="AB15" s="143">
        <v>0</v>
      </c>
      <c r="AC15" s="143">
        <v>0</v>
      </c>
      <c r="AD15" s="143">
        <v>0</v>
      </c>
      <c r="AE15" s="143">
        <v>0</v>
      </c>
      <c r="AF15" s="143">
        <v>0</v>
      </c>
      <c r="AG15" s="143">
        <v>0</v>
      </c>
      <c r="AH15" s="143">
        <v>0</v>
      </c>
      <c r="AI15" s="143">
        <v>0</v>
      </c>
      <c r="AJ15" s="143">
        <v>0</v>
      </c>
      <c r="AK15" s="143">
        <v>0</v>
      </c>
      <c r="AL15" s="143">
        <v>0</v>
      </c>
      <c r="AM15" s="143">
        <v>0</v>
      </c>
      <c r="AN15" s="143">
        <v>0</v>
      </c>
      <c r="AO15" s="143">
        <v>0</v>
      </c>
      <c r="AP15" s="143">
        <v>0</v>
      </c>
      <c r="AQ15" s="144">
        <v>0</v>
      </c>
    </row>
    <row r="16" spans="2:43" ht="12" customHeight="1" x14ac:dyDescent="0.3">
      <c r="B16" s="142" t="s">
        <v>37</v>
      </c>
      <c r="C16" s="143" t="s">
        <v>38</v>
      </c>
      <c r="D16" s="143" t="s">
        <v>25</v>
      </c>
      <c r="E16" s="143" t="s">
        <v>25</v>
      </c>
      <c r="F16" s="143" t="s">
        <v>80</v>
      </c>
      <c r="G16" s="143" t="s">
        <v>34</v>
      </c>
      <c r="H16" s="143" t="s">
        <v>72</v>
      </c>
      <c r="I16" s="143" t="s">
        <v>25</v>
      </c>
      <c r="J16" s="143">
        <v>28.74</v>
      </c>
      <c r="K16" s="143">
        <v>0</v>
      </c>
      <c r="L16" s="143">
        <v>0</v>
      </c>
      <c r="M16" s="143">
        <v>2.1296569977403599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43">
        <v>0</v>
      </c>
      <c r="U16" s="143">
        <v>0</v>
      </c>
      <c r="V16" s="143">
        <v>0</v>
      </c>
      <c r="W16" s="143">
        <v>0</v>
      </c>
      <c r="X16" s="143">
        <v>0</v>
      </c>
      <c r="Y16" s="143">
        <v>0</v>
      </c>
      <c r="Z16" s="143">
        <v>0</v>
      </c>
      <c r="AA16" s="143">
        <v>0</v>
      </c>
      <c r="AB16" s="143">
        <v>0</v>
      </c>
      <c r="AC16" s="143">
        <v>0</v>
      </c>
      <c r="AD16" s="143">
        <v>12.853580096130999</v>
      </c>
      <c r="AE16" s="143">
        <v>0</v>
      </c>
      <c r="AF16" s="143">
        <v>13.756606743409</v>
      </c>
      <c r="AG16" s="143">
        <v>0</v>
      </c>
      <c r="AH16" s="143">
        <v>0</v>
      </c>
      <c r="AI16" s="143">
        <v>0</v>
      </c>
      <c r="AJ16" s="143">
        <v>0</v>
      </c>
      <c r="AK16" s="143">
        <v>0</v>
      </c>
      <c r="AL16" s="143">
        <v>0</v>
      </c>
      <c r="AM16" s="143">
        <v>0</v>
      </c>
      <c r="AN16" s="143">
        <v>0</v>
      </c>
      <c r="AO16" s="143">
        <v>0</v>
      </c>
      <c r="AP16" s="143">
        <v>0</v>
      </c>
      <c r="AQ16" s="144">
        <v>0</v>
      </c>
    </row>
    <row r="17" spans="2:43" ht="12" customHeight="1" x14ac:dyDescent="0.3">
      <c r="B17" s="142" t="s">
        <v>37</v>
      </c>
      <c r="C17" s="143" t="s">
        <v>38</v>
      </c>
      <c r="D17" s="143" t="s">
        <v>25</v>
      </c>
      <c r="E17" s="143" t="s">
        <v>25</v>
      </c>
      <c r="F17" s="143" t="s">
        <v>25</v>
      </c>
      <c r="G17" s="143" t="s">
        <v>39</v>
      </c>
      <c r="H17" s="143" t="s">
        <v>72</v>
      </c>
      <c r="I17" s="143" t="s">
        <v>25</v>
      </c>
      <c r="J17" s="143">
        <v>5047.46</v>
      </c>
      <c r="K17" s="143">
        <v>330.73</v>
      </c>
      <c r="L17" s="143">
        <v>11.7253758349335</v>
      </c>
      <c r="M17" s="143">
        <v>2.1296569977403599</v>
      </c>
      <c r="N17" s="143">
        <v>0</v>
      </c>
      <c r="O17" s="143">
        <v>0</v>
      </c>
      <c r="P17" s="143">
        <v>0</v>
      </c>
      <c r="Q17" s="143">
        <v>77.4291995757781</v>
      </c>
      <c r="R17" s="143">
        <v>15.281700625332</v>
      </c>
      <c r="S17" s="143">
        <v>0</v>
      </c>
      <c r="T17" s="143">
        <v>0</v>
      </c>
      <c r="U17" s="143">
        <v>0</v>
      </c>
      <c r="V17" s="143">
        <v>0</v>
      </c>
      <c r="W17" s="143">
        <v>0</v>
      </c>
      <c r="X17" s="143">
        <v>1703.6466468844401</v>
      </c>
      <c r="Y17" s="143">
        <v>0</v>
      </c>
      <c r="Z17" s="143">
        <v>0</v>
      </c>
      <c r="AA17" s="143">
        <v>3210.6327725503502</v>
      </c>
      <c r="AB17" s="143">
        <v>0</v>
      </c>
      <c r="AC17" s="143">
        <v>0</v>
      </c>
      <c r="AD17" s="143">
        <v>12.853580096130999</v>
      </c>
      <c r="AE17" s="143">
        <v>0</v>
      </c>
      <c r="AF17" s="143">
        <v>13.756606743409</v>
      </c>
      <c r="AG17" s="143">
        <v>0</v>
      </c>
      <c r="AH17" s="143">
        <v>0</v>
      </c>
      <c r="AI17" s="143">
        <v>0</v>
      </c>
      <c r="AJ17" s="143">
        <v>0</v>
      </c>
      <c r="AK17" s="143">
        <v>0</v>
      </c>
      <c r="AL17" s="143">
        <v>330.73086315618502</v>
      </c>
      <c r="AM17" s="143">
        <v>0</v>
      </c>
      <c r="AN17" s="143">
        <v>0</v>
      </c>
      <c r="AO17" s="143">
        <v>0</v>
      </c>
      <c r="AP17" s="143">
        <v>0</v>
      </c>
      <c r="AQ17" s="144">
        <v>0</v>
      </c>
    </row>
    <row r="18" spans="2:43" ht="12" customHeight="1" x14ac:dyDescent="0.3">
      <c r="B18" s="142" t="s">
        <v>37</v>
      </c>
      <c r="C18" s="143" t="s">
        <v>38</v>
      </c>
      <c r="D18" s="143" t="s">
        <v>25</v>
      </c>
      <c r="E18" s="143" t="s">
        <v>25</v>
      </c>
      <c r="F18" s="143" t="s">
        <v>25</v>
      </c>
      <c r="G18" s="143" t="s">
        <v>25</v>
      </c>
      <c r="H18" s="143" t="s">
        <v>77</v>
      </c>
      <c r="I18" s="143" t="s">
        <v>25</v>
      </c>
      <c r="J18" s="143">
        <v>81.040000000000006</v>
      </c>
      <c r="K18" s="143">
        <v>0</v>
      </c>
      <c r="L18" s="143">
        <v>0</v>
      </c>
      <c r="M18" s="143">
        <v>0</v>
      </c>
      <c r="N18" s="143">
        <v>0</v>
      </c>
      <c r="O18" s="143">
        <v>0</v>
      </c>
      <c r="P18" s="143">
        <v>0</v>
      </c>
      <c r="Q18" s="143">
        <v>0</v>
      </c>
      <c r="R18" s="143">
        <v>0</v>
      </c>
      <c r="S18" s="143">
        <v>0</v>
      </c>
      <c r="T18" s="143">
        <v>0</v>
      </c>
      <c r="U18" s="143">
        <v>0</v>
      </c>
      <c r="V18" s="143">
        <v>0</v>
      </c>
      <c r="W18" s="143">
        <v>0</v>
      </c>
      <c r="X18" s="143">
        <v>38.454617838025399</v>
      </c>
      <c r="Y18" s="143">
        <v>0</v>
      </c>
      <c r="Z18" s="143">
        <v>0</v>
      </c>
      <c r="AA18" s="143">
        <v>42.5863585014853</v>
      </c>
      <c r="AB18" s="143">
        <v>0</v>
      </c>
      <c r="AC18" s="143">
        <v>0</v>
      </c>
      <c r="AD18" s="143">
        <v>0</v>
      </c>
      <c r="AE18" s="143">
        <v>0</v>
      </c>
      <c r="AF18" s="143">
        <v>0</v>
      </c>
      <c r="AG18" s="143">
        <v>0</v>
      </c>
      <c r="AH18" s="143">
        <v>0</v>
      </c>
      <c r="AI18" s="143">
        <v>0</v>
      </c>
      <c r="AJ18" s="143">
        <v>0</v>
      </c>
      <c r="AK18" s="143">
        <v>0</v>
      </c>
      <c r="AL18" s="143">
        <v>0</v>
      </c>
      <c r="AM18" s="143">
        <v>0</v>
      </c>
      <c r="AN18" s="143">
        <v>0</v>
      </c>
      <c r="AO18" s="143">
        <v>0</v>
      </c>
      <c r="AP18" s="143">
        <v>0</v>
      </c>
      <c r="AQ18" s="144">
        <v>0</v>
      </c>
    </row>
    <row r="19" spans="2:43" ht="12" customHeight="1" x14ac:dyDescent="0.3">
      <c r="B19" s="142" t="s">
        <v>37</v>
      </c>
      <c r="C19" s="143" t="s">
        <v>38</v>
      </c>
      <c r="D19" s="143" t="s">
        <v>25</v>
      </c>
      <c r="E19" s="143" t="s">
        <v>25</v>
      </c>
      <c r="F19" s="143" t="s">
        <v>25</v>
      </c>
      <c r="G19" s="143" t="s">
        <v>34</v>
      </c>
      <c r="H19" s="143" t="s">
        <v>72</v>
      </c>
      <c r="I19" s="143" t="s">
        <v>25</v>
      </c>
      <c r="J19" s="143">
        <v>133.18</v>
      </c>
      <c r="K19" s="143">
        <v>330.73</v>
      </c>
      <c r="L19" s="143">
        <v>11.7253758349335</v>
      </c>
      <c r="M19" s="143">
        <v>2.1296569977403599</v>
      </c>
      <c r="N19" s="143">
        <v>0</v>
      </c>
      <c r="O19" s="143">
        <v>0</v>
      </c>
      <c r="P19" s="143">
        <v>0</v>
      </c>
      <c r="Q19" s="143">
        <v>77.4291995757781</v>
      </c>
      <c r="R19" s="143">
        <v>15.281700625332</v>
      </c>
      <c r="S19" s="143">
        <v>0</v>
      </c>
      <c r="T19" s="143">
        <v>0</v>
      </c>
      <c r="U19" s="143">
        <v>0</v>
      </c>
      <c r="V19" s="143">
        <v>0</v>
      </c>
      <c r="W19" s="143">
        <v>0</v>
      </c>
      <c r="X19" s="143">
        <v>0</v>
      </c>
      <c r="Y19" s="143">
        <v>0</v>
      </c>
      <c r="Z19" s="143">
        <v>0</v>
      </c>
      <c r="AA19" s="143">
        <v>0</v>
      </c>
      <c r="AB19" s="143">
        <v>0</v>
      </c>
      <c r="AC19" s="143">
        <v>0</v>
      </c>
      <c r="AD19" s="143">
        <v>12.853580096130999</v>
      </c>
      <c r="AE19" s="143">
        <v>0</v>
      </c>
      <c r="AF19" s="143">
        <v>13.756606743409</v>
      </c>
      <c r="AG19" s="143">
        <v>0</v>
      </c>
      <c r="AH19" s="143">
        <v>0</v>
      </c>
      <c r="AI19" s="143">
        <v>0</v>
      </c>
      <c r="AJ19" s="143">
        <v>0</v>
      </c>
      <c r="AK19" s="143">
        <v>0</v>
      </c>
      <c r="AL19" s="143">
        <v>330.73086315618502</v>
      </c>
      <c r="AM19" s="143">
        <v>0</v>
      </c>
      <c r="AN19" s="143">
        <v>0</v>
      </c>
      <c r="AO19" s="143">
        <v>0</v>
      </c>
      <c r="AP19" s="143">
        <v>0</v>
      </c>
      <c r="AQ19" s="144">
        <v>0</v>
      </c>
    </row>
    <row r="20" spans="2:43" ht="12" customHeight="1" x14ac:dyDescent="0.3">
      <c r="B20" s="142" t="s">
        <v>82</v>
      </c>
      <c r="C20" s="143" t="s">
        <v>81</v>
      </c>
      <c r="D20" s="143" t="s">
        <v>25</v>
      </c>
      <c r="E20" s="143" t="s">
        <v>25</v>
      </c>
      <c r="F20" s="143" t="s">
        <v>83</v>
      </c>
      <c r="G20" s="143" t="s">
        <v>25</v>
      </c>
      <c r="H20" s="143" t="s">
        <v>77</v>
      </c>
      <c r="I20" s="143" t="s">
        <v>25</v>
      </c>
      <c r="J20" s="143">
        <v>7.28</v>
      </c>
      <c r="K20" s="143">
        <v>0</v>
      </c>
      <c r="L20" s="143">
        <v>0</v>
      </c>
      <c r="M20" s="143">
        <v>1.14298065403255E-2</v>
      </c>
      <c r="N20" s="143">
        <v>0</v>
      </c>
      <c r="O20" s="143">
        <v>0</v>
      </c>
      <c r="P20" s="143">
        <v>0</v>
      </c>
      <c r="Q20" s="143">
        <v>0</v>
      </c>
      <c r="R20" s="143">
        <v>0</v>
      </c>
      <c r="S20" s="143">
        <v>0</v>
      </c>
      <c r="T20" s="143">
        <v>0</v>
      </c>
      <c r="U20" s="143">
        <v>0</v>
      </c>
      <c r="V20" s="143">
        <v>0</v>
      </c>
      <c r="W20" s="143">
        <v>0</v>
      </c>
      <c r="X20" s="143">
        <v>0</v>
      </c>
      <c r="Y20" s="143">
        <v>0</v>
      </c>
      <c r="Z20" s="143">
        <v>0</v>
      </c>
      <c r="AA20" s="143">
        <v>7.2725317815617299</v>
      </c>
      <c r="AB20" s="143">
        <v>0</v>
      </c>
      <c r="AC20" s="143">
        <v>0</v>
      </c>
      <c r="AD20" s="143">
        <v>0</v>
      </c>
      <c r="AE20" s="143">
        <v>0</v>
      </c>
      <c r="AF20" s="143">
        <v>0</v>
      </c>
      <c r="AG20" s="143">
        <v>0</v>
      </c>
      <c r="AH20" s="143">
        <v>0</v>
      </c>
      <c r="AI20" s="143">
        <v>0</v>
      </c>
      <c r="AJ20" s="143">
        <v>0</v>
      </c>
      <c r="AK20" s="143">
        <v>0</v>
      </c>
      <c r="AL20" s="143">
        <v>0</v>
      </c>
      <c r="AM20" s="143">
        <v>0</v>
      </c>
      <c r="AN20" s="143">
        <v>0</v>
      </c>
      <c r="AO20" s="143">
        <v>0</v>
      </c>
      <c r="AP20" s="143">
        <v>0</v>
      </c>
      <c r="AQ20" s="144">
        <v>0</v>
      </c>
    </row>
    <row r="21" spans="2:43" ht="12" customHeight="1" x14ac:dyDescent="0.3">
      <c r="B21" s="142" t="s">
        <v>82</v>
      </c>
      <c r="C21" s="143" t="s">
        <v>81</v>
      </c>
      <c r="D21" s="143" t="s">
        <v>25</v>
      </c>
      <c r="E21" s="143" t="s">
        <v>25</v>
      </c>
      <c r="F21" s="143" t="s">
        <v>84</v>
      </c>
      <c r="G21" s="143" t="s">
        <v>25</v>
      </c>
      <c r="H21" s="143" t="s">
        <v>77</v>
      </c>
      <c r="I21" s="143" t="s">
        <v>25</v>
      </c>
      <c r="J21" s="143">
        <v>23.45</v>
      </c>
      <c r="K21" s="143">
        <v>0</v>
      </c>
      <c r="L21" s="143">
        <v>0</v>
      </c>
      <c r="M21" s="143">
        <v>1.14298065403255E-2</v>
      </c>
      <c r="N21" s="143">
        <v>0</v>
      </c>
      <c r="O21" s="143">
        <v>0</v>
      </c>
      <c r="P21" s="143">
        <v>0</v>
      </c>
      <c r="Q21" s="143">
        <v>0</v>
      </c>
      <c r="R21" s="143">
        <v>0</v>
      </c>
      <c r="S21" s="143">
        <v>0</v>
      </c>
      <c r="T21" s="143">
        <v>0</v>
      </c>
      <c r="U21" s="143">
        <v>0</v>
      </c>
      <c r="V21" s="143">
        <v>0</v>
      </c>
      <c r="W21" s="143">
        <v>0</v>
      </c>
      <c r="X21" s="143">
        <v>0</v>
      </c>
      <c r="Y21" s="143">
        <v>0</v>
      </c>
      <c r="Z21" s="143">
        <v>0</v>
      </c>
      <c r="AA21" s="143">
        <v>23.439414885057001</v>
      </c>
      <c r="AB21" s="143">
        <v>0</v>
      </c>
      <c r="AC21" s="143">
        <v>0</v>
      </c>
      <c r="AD21" s="143">
        <v>0</v>
      </c>
      <c r="AE21" s="143">
        <v>0</v>
      </c>
      <c r="AF21" s="143">
        <v>0</v>
      </c>
      <c r="AG21" s="143">
        <v>0</v>
      </c>
      <c r="AH21" s="143">
        <v>0</v>
      </c>
      <c r="AI21" s="143">
        <v>0</v>
      </c>
      <c r="AJ21" s="143">
        <v>0</v>
      </c>
      <c r="AK21" s="143">
        <v>0</v>
      </c>
      <c r="AL21" s="143">
        <v>0</v>
      </c>
      <c r="AM21" s="143">
        <v>0</v>
      </c>
      <c r="AN21" s="143">
        <v>0</v>
      </c>
      <c r="AO21" s="143">
        <v>0</v>
      </c>
      <c r="AP21" s="143">
        <v>0</v>
      </c>
      <c r="AQ21" s="144">
        <v>0</v>
      </c>
    </row>
    <row r="22" spans="2:43" ht="12" customHeight="1" x14ac:dyDescent="0.3">
      <c r="B22" s="142" t="s">
        <v>22</v>
      </c>
      <c r="C22" s="143" t="s">
        <v>33</v>
      </c>
      <c r="D22" s="143" t="s">
        <v>24</v>
      </c>
      <c r="E22" s="143" t="s">
        <v>24</v>
      </c>
      <c r="F22" s="143" t="s">
        <v>25</v>
      </c>
      <c r="G22" s="143" t="s">
        <v>39</v>
      </c>
      <c r="H22" s="143" t="s">
        <v>72</v>
      </c>
      <c r="I22" s="143" t="s">
        <v>25</v>
      </c>
      <c r="J22" s="143">
        <v>2360.33</v>
      </c>
      <c r="K22" s="143">
        <v>330.73</v>
      </c>
      <c r="L22" s="143">
        <v>13.9587807558732</v>
      </c>
      <c r="M22" s="143">
        <v>3.27432129711418</v>
      </c>
      <c r="N22" s="143">
        <v>0</v>
      </c>
      <c r="O22" s="143">
        <v>0</v>
      </c>
      <c r="P22" s="143">
        <v>0</v>
      </c>
      <c r="Q22" s="143">
        <v>92.177618542592995</v>
      </c>
      <c r="R22" s="143">
        <v>15.281700625332</v>
      </c>
      <c r="S22" s="143">
        <v>0</v>
      </c>
      <c r="T22" s="143">
        <v>0</v>
      </c>
      <c r="U22" s="143">
        <v>0</v>
      </c>
      <c r="V22" s="143">
        <v>0</v>
      </c>
      <c r="W22" s="143">
        <v>0</v>
      </c>
      <c r="X22" s="143">
        <v>713.01208088292606</v>
      </c>
      <c r="Y22" s="143">
        <v>0</v>
      </c>
      <c r="Z22" s="143">
        <v>0</v>
      </c>
      <c r="AA22" s="143">
        <v>1476.0086222223299</v>
      </c>
      <c r="AB22" s="143">
        <v>0</v>
      </c>
      <c r="AC22" s="143">
        <v>0</v>
      </c>
      <c r="AD22" s="143">
        <v>30.162738321768</v>
      </c>
      <c r="AE22" s="143">
        <v>0</v>
      </c>
      <c r="AF22" s="143">
        <v>16.4531787772092</v>
      </c>
      <c r="AG22" s="143">
        <v>0</v>
      </c>
      <c r="AH22" s="143">
        <v>0</v>
      </c>
      <c r="AI22" s="143">
        <v>0</v>
      </c>
      <c r="AJ22" s="143">
        <v>0</v>
      </c>
      <c r="AK22" s="143">
        <v>0</v>
      </c>
      <c r="AL22" s="143">
        <v>330.73086315618502</v>
      </c>
      <c r="AM22" s="143">
        <v>0</v>
      </c>
      <c r="AN22" s="143">
        <v>0</v>
      </c>
      <c r="AO22" s="143">
        <v>0</v>
      </c>
      <c r="AP22" s="143">
        <v>0</v>
      </c>
      <c r="AQ22" s="144">
        <v>0</v>
      </c>
    </row>
    <row r="23" spans="2:43" ht="12" customHeight="1" x14ac:dyDescent="0.3">
      <c r="B23" s="142" t="s">
        <v>22</v>
      </c>
      <c r="C23" s="143" t="s">
        <v>33</v>
      </c>
      <c r="D23" s="143" t="s">
        <v>24</v>
      </c>
      <c r="E23" s="143" t="s">
        <v>24</v>
      </c>
      <c r="F23" s="143" t="s">
        <v>25</v>
      </c>
      <c r="G23" s="143" t="s">
        <v>42</v>
      </c>
      <c r="H23" s="143" t="s">
        <v>72</v>
      </c>
      <c r="I23" s="143" t="s">
        <v>25</v>
      </c>
      <c r="J23" s="143">
        <v>1484.72</v>
      </c>
      <c r="K23" s="143">
        <v>330.73</v>
      </c>
      <c r="L23" s="143">
        <v>13.9587807558732</v>
      </c>
      <c r="M23" s="143">
        <v>3.27432129711418</v>
      </c>
      <c r="N23" s="143">
        <v>0</v>
      </c>
      <c r="O23" s="143">
        <v>0</v>
      </c>
      <c r="P23" s="143">
        <v>0</v>
      </c>
      <c r="Q23" s="143">
        <v>92.177618542592995</v>
      </c>
      <c r="R23" s="143">
        <v>15.281700625332</v>
      </c>
      <c r="S23" s="143">
        <v>0</v>
      </c>
      <c r="T23" s="143">
        <v>0</v>
      </c>
      <c r="U23" s="143">
        <v>0</v>
      </c>
      <c r="V23" s="143">
        <v>0</v>
      </c>
      <c r="W23" s="143">
        <v>0</v>
      </c>
      <c r="X23" s="143">
        <v>427.80724852975601</v>
      </c>
      <c r="Y23" s="143">
        <v>0</v>
      </c>
      <c r="Z23" s="143">
        <v>0</v>
      </c>
      <c r="AA23" s="143">
        <v>885.605348760065</v>
      </c>
      <c r="AB23" s="143">
        <v>0</v>
      </c>
      <c r="AC23" s="143">
        <v>0</v>
      </c>
      <c r="AD23" s="143">
        <v>30.162738321768</v>
      </c>
      <c r="AE23" s="143">
        <v>0</v>
      </c>
      <c r="AF23" s="143">
        <v>16.4531787772092</v>
      </c>
      <c r="AG23" s="143">
        <v>0</v>
      </c>
      <c r="AH23" s="143">
        <v>0</v>
      </c>
      <c r="AI23" s="143">
        <v>0</v>
      </c>
      <c r="AJ23" s="143">
        <v>0</v>
      </c>
      <c r="AK23" s="143">
        <v>0</v>
      </c>
      <c r="AL23" s="143">
        <v>330.73086315618502</v>
      </c>
      <c r="AM23" s="143">
        <v>0</v>
      </c>
      <c r="AN23" s="143">
        <v>0</v>
      </c>
      <c r="AO23" s="143">
        <v>0</v>
      </c>
      <c r="AP23" s="143">
        <v>0</v>
      </c>
      <c r="AQ23" s="144">
        <v>0</v>
      </c>
    </row>
    <row r="24" spans="2:43" ht="12" customHeight="1" x14ac:dyDescent="0.3">
      <c r="B24" s="142" t="s">
        <v>22</v>
      </c>
      <c r="C24" s="143" t="s">
        <v>33</v>
      </c>
      <c r="D24" s="143" t="s">
        <v>24</v>
      </c>
      <c r="E24" s="143" t="s">
        <v>24</v>
      </c>
      <c r="F24" s="143" t="s">
        <v>25</v>
      </c>
      <c r="G24" s="143" t="s">
        <v>34</v>
      </c>
      <c r="H24" s="143" t="s">
        <v>72</v>
      </c>
      <c r="I24" s="143" t="s">
        <v>25</v>
      </c>
      <c r="J24" s="143">
        <v>609.11</v>
      </c>
      <c r="K24" s="143">
        <v>330.73</v>
      </c>
      <c r="L24" s="143">
        <v>13.9587807558732</v>
      </c>
      <c r="M24" s="143">
        <v>3.27432129711418</v>
      </c>
      <c r="N24" s="143">
        <v>0</v>
      </c>
      <c r="O24" s="143">
        <v>0</v>
      </c>
      <c r="P24" s="143">
        <v>0</v>
      </c>
      <c r="Q24" s="143">
        <v>92.177618542592995</v>
      </c>
      <c r="R24" s="143">
        <v>15.281700625332</v>
      </c>
      <c r="S24" s="143">
        <v>0</v>
      </c>
      <c r="T24" s="143">
        <v>0</v>
      </c>
      <c r="U24" s="143">
        <v>0</v>
      </c>
      <c r="V24" s="143">
        <v>0</v>
      </c>
      <c r="W24" s="143">
        <v>0</v>
      </c>
      <c r="X24" s="143">
        <v>142.60391584969301</v>
      </c>
      <c r="Y24" s="143">
        <v>0</v>
      </c>
      <c r="Z24" s="143">
        <v>0</v>
      </c>
      <c r="AA24" s="143">
        <v>295.201636731132</v>
      </c>
      <c r="AB24" s="143">
        <v>0</v>
      </c>
      <c r="AC24" s="143">
        <v>0</v>
      </c>
      <c r="AD24" s="143">
        <v>30.162738321768</v>
      </c>
      <c r="AE24" s="143">
        <v>0</v>
      </c>
      <c r="AF24" s="143">
        <v>16.4531787772092</v>
      </c>
      <c r="AG24" s="143">
        <v>0</v>
      </c>
      <c r="AH24" s="143">
        <v>0</v>
      </c>
      <c r="AI24" s="143">
        <v>0</v>
      </c>
      <c r="AJ24" s="143">
        <v>0</v>
      </c>
      <c r="AK24" s="143">
        <v>0</v>
      </c>
      <c r="AL24" s="143">
        <v>330.73086315618502</v>
      </c>
      <c r="AM24" s="143">
        <v>0</v>
      </c>
      <c r="AN24" s="143">
        <v>0</v>
      </c>
      <c r="AO24" s="143">
        <v>0</v>
      </c>
      <c r="AP24" s="143">
        <v>0</v>
      </c>
      <c r="AQ24" s="144">
        <v>0</v>
      </c>
    </row>
    <row r="25" spans="2:43" ht="12" customHeight="1" x14ac:dyDescent="0.3">
      <c r="B25" s="142" t="s">
        <v>22</v>
      </c>
      <c r="C25" s="143" t="s">
        <v>23</v>
      </c>
      <c r="D25" s="143" t="s">
        <v>24</v>
      </c>
      <c r="E25" s="143" t="s">
        <v>1146</v>
      </c>
      <c r="F25" s="143" t="s">
        <v>25</v>
      </c>
      <c r="G25" s="143" t="s">
        <v>25</v>
      </c>
      <c r="H25" s="143" t="s">
        <v>72</v>
      </c>
      <c r="I25" s="143" t="s">
        <v>25</v>
      </c>
      <c r="J25" s="143">
        <v>860.64</v>
      </c>
      <c r="K25" s="143">
        <v>330.73</v>
      </c>
      <c r="L25" s="143">
        <v>0</v>
      </c>
      <c r="M25" s="143">
        <v>3.27432129711418</v>
      </c>
      <c r="N25" s="143">
        <v>0</v>
      </c>
      <c r="O25" s="143">
        <v>0</v>
      </c>
      <c r="P25" s="143">
        <v>0</v>
      </c>
      <c r="Q25" s="143">
        <v>0</v>
      </c>
      <c r="R25" s="143">
        <v>0</v>
      </c>
      <c r="S25" s="143">
        <v>0</v>
      </c>
      <c r="T25" s="143">
        <v>0</v>
      </c>
      <c r="U25" s="143">
        <v>0</v>
      </c>
      <c r="V25" s="143">
        <v>0</v>
      </c>
      <c r="W25" s="143">
        <v>0</v>
      </c>
      <c r="X25" s="143">
        <v>264.07893727929701</v>
      </c>
      <c r="Y25" s="143">
        <v>0</v>
      </c>
      <c r="Z25" s="143">
        <v>0</v>
      </c>
      <c r="AA25" s="143">
        <v>546.67006312246895</v>
      </c>
      <c r="AB25" s="143">
        <v>0</v>
      </c>
      <c r="AC25" s="143">
        <v>0</v>
      </c>
      <c r="AD25" s="143">
        <v>30.162738321768</v>
      </c>
      <c r="AE25" s="143">
        <v>0</v>
      </c>
      <c r="AF25" s="143">
        <v>16.4531787772092</v>
      </c>
      <c r="AG25" s="143">
        <v>0</v>
      </c>
      <c r="AH25" s="143">
        <v>0</v>
      </c>
      <c r="AI25" s="143">
        <v>0</v>
      </c>
      <c r="AJ25" s="143">
        <v>0</v>
      </c>
      <c r="AK25" s="143">
        <v>0</v>
      </c>
      <c r="AL25" s="143">
        <v>330.73086315618502</v>
      </c>
      <c r="AM25" s="143">
        <v>0</v>
      </c>
      <c r="AN25" s="143">
        <v>0</v>
      </c>
      <c r="AO25" s="143">
        <v>0</v>
      </c>
      <c r="AP25" s="143">
        <v>0</v>
      </c>
      <c r="AQ25" s="144">
        <v>0</v>
      </c>
    </row>
    <row r="26" spans="2:43" ht="12" customHeight="1" x14ac:dyDescent="0.3">
      <c r="B26" s="142" t="s">
        <v>22</v>
      </c>
      <c r="C26" s="143" t="s">
        <v>23</v>
      </c>
      <c r="D26" s="143" t="s">
        <v>24</v>
      </c>
      <c r="E26" s="143" t="s">
        <v>24</v>
      </c>
      <c r="F26" s="143" t="s">
        <v>25</v>
      </c>
      <c r="G26" s="143" t="s">
        <v>25</v>
      </c>
      <c r="H26" s="143" t="s">
        <v>72</v>
      </c>
      <c r="I26" s="143" t="s">
        <v>25</v>
      </c>
      <c r="J26" s="143">
        <v>982.06</v>
      </c>
      <c r="K26" s="143">
        <v>330.73</v>
      </c>
      <c r="L26" s="143">
        <v>13.9587807558732</v>
      </c>
      <c r="M26" s="143">
        <v>3.27432129711418</v>
      </c>
      <c r="N26" s="143">
        <v>0</v>
      </c>
      <c r="O26" s="143">
        <v>0</v>
      </c>
      <c r="P26" s="143">
        <v>0</v>
      </c>
      <c r="Q26" s="143">
        <v>92.177618542592995</v>
      </c>
      <c r="R26" s="143">
        <v>15.281700625332</v>
      </c>
      <c r="S26" s="143">
        <v>0</v>
      </c>
      <c r="T26" s="143">
        <v>0</v>
      </c>
      <c r="U26" s="143">
        <v>0</v>
      </c>
      <c r="V26" s="143">
        <v>0</v>
      </c>
      <c r="W26" s="143">
        <v>0</v>
      </c>
      <c r="X26" s="143">
        <v>264.07893727929701</v>
      </c>
      <c r="Y26" s="143">
        <v>0</v>
      </c>
      <c r="Z26" s="143">
        <v>0</v>
      </c>
      <c r="AA26" s="143">
        <v>546.67006312246895</v>
      </c>
      <c r="AB26" s="143">
        <v>0</v>
      </c>
      <c r="AC26" s="143">
        <v>0</v>
      </c>
      <c r="AD26" s="143">
        <v>30.162738321768</v>
      </c>
      <c r="AE26" s="143">
        <v>0</v>
      </c>
      <c r="AF26" s="143">
        <v>16.4531787772092</v>
      </c>
      <c r="AG26" s="143">
        <v>0</v>
      </c>
      <c r="AH26" s="143">
        <v>0</v>
      </c>
      <c r="AI26" s="143">
        <v>0</v>
      </c>
      <c r="AJ26" s="143">
        <v>0</v>
      </c>
      <c r="AK26" s="143">
        <v>0</v>
      </c>
      <c r="AL26" s="143">
        <v>330.73086315618502</v>
      </c>
      <c r="AM26" s="143">
        <v>0</v>
      </c>
      <c r="AN26" s="143">
        <v>0</v>
      </c>
      <c r="AO26" s="143">
        <v>0</v>
      </c>
      <c r="AP26" s="143">
        <v>0</v>
      </c>
      <c r="AQ26" s="144">
        <v>0</v>
      </c>
    </row>
    <row r="27" spans="2:43" ht="12" customHeight="1" x14ac:dyDescent="0.3">
      <c r="B27" s="142" t="s">
        <v>22</v>
      </c>
      <c r="C27" s="143" t="s">
        <v>87</v>
      </c>
      <c r="D27" s="143" t="s">
        <v>24</v>
      </c>
      <c r="E27" s="143" t="s">
        <v>1146</v>
      </c>
      <c r="F27" s="143" t="s">
        <v>25</v>
      </c>
      <c r="G27" s="143" t="s">
        <v>25</v>
      </c>
      <c r="H27" s="143" t="s">
        <v>72</v>
      </c>
      <c r="I27" s="143" t="s">
        <v>25</v>
      </c>
      <c r="J27" s="143">
        <v>860.64</v>
      </c>
      <c r="K27" s="143">
        <v>330.73</v>
      </c>
      <c r="L27" s="143">
        <v>0</v>
      </c>
      <c r="M27" s="143">
        <v>3.27432129711418</v>
      </c>
      <c r="N27" s="143">
        <v>0</v>
      </c>
      <c r="O27" s="143">
        <v>0</v>
      </c>
      <c r="P27" s="143">
        <v>0</v>
      </c>
      <c r="Q27" s="143">
        <v>0</v>
      </c>
      <c r="R27" s="143">
        <v>0</v>
      </c>
      <c r="S27" s="143">
        <v>0</v>
      </c>
      <c r="T27" s="143">
        <v>0</v>
      </c>
      <c r="U27" s="143">
        <v>0</v>
      </c>
      <c r="V27" s="143">
        <v>0</v>
      </c>
      <c r="W27" s="143">
        <v>0</v>
      </c>
      <c r="X27" s="143">
        <v>264.07893727929701</v>
      </c>
      <c r="Y27" s="143">
        <v>0</v>
      </c>
      <c r="Z27" s="143">
        <v>0</v>
      </c>
      <c r="AA27" s="143">
        <v>546.67006312246895</v>
      </c>
      <c r="AB27" s="143">
        <v>0</v>
      </c>
      <c r="AC27" s="143">
        <v>0</v>
      </c>
      <c r="AD27" s="143">
        <v>30.162738321768</v>
      </c>
      <c r="AE27" s="143">
        <v>0</v>
      </c>
      <c r="AF27" s="143">
        <v>16.4531787772092</v>
      </c>
      <c r="AG27" s="143">
        <v>0</v>
      </c>
      <c r="AH27" s="143">
        <v>0</v>
      </c>
      <c r="AI27" s="143">
        <v>0</v>
      </c>
      <c r="AJ27" s="143">
        <v>0</v>
      </c>
      <c r="AK27" s="143">
        <v>0</v>
      </c>
      <c r="AL27" s="143">
        <v>330.73086315618502</v>
      </c>
      <c r="AM27" s="143">
        <v>0</v>
      </c>
      <c r="AN27" s="143">
        <v>0</v>
      </c>
      <c r="AO27" s="143">
        <v>0</v>
      </c>
      <c r="AP27" s="143">
        <v>0</v>
      </c>
      <c r="AQ27" s="144">
        <v>0</v>
      </c>
    </row>
    <row r="28" spans="2:43" ht="12" customHeight="1" x14ac:dyDescent="0.3">
      <c r="B28" s="142" t="s">
        <v>22</v>
      </c>
      <c r="C28" s="143" t="s">
        <v>87</v>
      </c>
      <c r="D28" s="143" t="s">
        <v>24</v>
      </c>
      <c r="E28" s="143" t="s">
        <v>24</v>
      </c>
      <c r="F28" s="143" t="s">
        <v>25</v>
      </c>
      <c r="G28" s="143" t="s">
        <v>25</v>
      </c>
      <c r="H28" s="143" t="s">
        <v>72</v>
      </c>
      <c r="I28" s="143" t="s">
        <v>25</v>
      </c>
      <c r="J28" s="143">
        <v>982.06</v>
      </c>
      <c r="K28" s="143">
        <v>330.73</v>
      </c>
      <c r="L28" s="143">
        <v>13.9587807558732</v>
      </c>
      <c r="M28" s="143">
        <v>3.27432129711418</v>
      </c>
      <c r="N28" s="143">
        <v>0</v>
      </c>
      <c r="O28" s="143">
        <v>0</v>
      </c>
      <c r="P28" s="143">
        <v>0</v>
      </c>
      <c r="Q28" s="143">
        <v>92.177618542592995</v>
      </c>
      <c r="R28" s="143">
        <v>15.281700625332</v>
      </c>
      <c r="S28" s="143">
        <v>0</v>
      </c>
      <c r="T28" s="143">
        <v>0</v>
      </c>
      <c r="U28" s="143">
        <v>0</v>
      </c>
      <c r="V28" s="143">
        <v>0</v>
      </c>
      <c r="W28" s="143">
        <v>0</v>
      </c>
      <c r="X28" s="143">
        <v>264.07893727929701</v>
      </c>
      <c r="Y28" s="143">
        <v>0</v>
      </c>
      <c r="Z28" s="143">
        <v>0</v>
      </c>
      <c r="AA28" s="143">
        <v>546.67006312246895</v>
      </c>
      <c r="AB28" s="143">
        <v>0</v>
      </c>
      <c r="AC28" s="143">
        <v>0</v>
      </c>
      <c r="AD28" s="143">
        <v>30.162738321768</v>
      </c>
      <c r="AE28" s="143">
        <v>0</v>
      </c>
      <c r="AF28" s="143">
        <v>16.4531787772092</v>
      </c>
      <c r="AG28" s="143">
        <v>0</v>
      </c>
      <c r="AH28" s="143">
        <v>0</v>
      </c>
      <c r="AI28" s="143">
        <v>0</v>
      </c>
      <c r="AJ28" s="143">
        <v>0</v>
      </c>
      <c r="AK28" s="143">
        <v>0</v>
      </c>
      <c r="AL28" s="143">
        <v>330.73086315618502</v>
      </c>
      <c r="AM28" s="143">
        <v>0</v>
      </c>
      <c r="AN28" s="143">
        <v>0</v>
      </c>
      <c r="AO28" s="143">
        <v>0</v>
      </c>
      <c r="AP28" s="143">
        <v>0</v>
      </c>
      <c r="AQ28" s="144">
        <v>0</v>
      </c>
    </row>
    <row r="29" spans="2:43" ht="12" customHeight="1" x14ac:dyDescent="0.3">
      <c r="B29" s="142" t="s">
        <v>43</v>
      </c>
      <c r="C29" s="143" t="s">
        <v>33</v>
      </c>
      <c r="D29" s="143" t="s">
        <v>44</v>
      </c>
      <c r="E29" s="143" t="s">
        <v>88</v>
      </c>
      <c r="F29" s="143" t="s">
        <v>25</v>
      </c>
      <c r="G29" s="143" t="s">
        <v>39</v>
      </c>
      <c r="H29" s="143" t="s">
        <v>72</v>
      </c>
      <c r="I29" s="143" t="s">
        <v>25</v>
      </c>
      <c r="J29" s="143">
        <v>2142.5</v>
      </c>
      <c r="K29" s="143">
        <v>310.89</v>
      </c>
      <c r="L29" s="143">
        <v>13.121253910520799</v>
      </c>
      <c r="M29" s="143">
        <v>3.0778620192873301</v>
      </c>
      <c r="N29" s="143">
        <v>0</v>
      </c>
      <c r="O29" s="143">
        <v>0</v>
      </c>
      <c r="P29" s="143">
        <v>0</v>
      </c>
      <c r="Q29" s="143">
        <v>86.646961430037393</v>
      </c>
      <c r="R29" s="143">
        <v>14.3647985878121</v>
      </c>
      <c r="S29" s="143">
        <v>0</v>
      </c>
      <c r="T29" s="143">
        <v>0</v>
      </c>
      <c r="U29" s="143">
        <v>0</v>
      </c>
      <c r="V29" s="143">
        <v>0</v>
      </c>
      <c r="W29" s="143">
        <v>0</v>
      </c>
      <c r="X29" s="143">
        <v>645.40948658769003</v>
      </c>
      <c r="Y29" s="143">
        <v>0</v>
      </c>
      <c r="Z29" s="143">
        <v>0</v>
      </c>
      <c r="AA29" s="143">
        <v>1336.0612220186399</v>
      </c>
      <c r="AB29" s="143">
        <v>0</v>
      </c>
      <c r="AC29" s="143">
        <v>0</v>
      </c>
      <c r="AD29" s="143">
        <v>28.352974022462</v>
      </c>
      <c r="AE29" s="143">
        <v>0</v>
      </c>
      <c r="AF29" s="143">
        <v>15.4659880505767</v>
      </c>
      <c r="AG29" s="143">
        <v>0</v>
      </c>
      <c r="AH29" s="143">
        <v>0</v>
      </c>
      <c r="AI29" s="143">
        <v>0</v>
      </c>
      <c r="AJ29" s="143">
        <v>0</v>
      </c>
      <c r="AK29" s="143">
        <v>0</v>
      </c>
      <c r="AL29" s="143">
        <v>310.887011366813</v>
      </c>
      <c r="AM29" s="143">
        <v>0</v>
      </c>
      <c r="AN29" s="143">
        <v>0</v>
      </c>
      <c r="AO29" s="143">
        <v>0</v>
      </c>
      <c r="AP29" s="143">
        <v>0</v>
      </c>
      <c r="AQ29" s="144">
        <v>0</v>
      </c>
    </row>
    <row r="30" spans="2:43" ht="12" customHeight="1" x14ac:dyDescent="0.3">
      <c r="B30" s="142" t="s">
        <v>43</v>
      </c>
      <c r="C30" s="143" t="s">
        <v>33</v>
      </c>
      <c r="D30" s="143" t="s">
        <v>44</v>
      </c>
      <c r="E30" s="143" t="s">
        <v>88</v>
      </c>
      <c r="F30" s="143" t="s">
        <v>25</v>
      </c>
      <c r="G30" s="143" t="s">
        <v>42</v>
      </c>
      <c r="H30" s="143" t="s">
        <v>72</v>
      </c>
      <c r="I30" s="143" t="s">
        <v>25</v>
      </c>
      <c r="J30" s="143">
        <v>1349.91</v>
      </c>
      <c r="K30" s="143">
        <v>310.89</v>
      </c>
      <c r="L30" s="143">
        <v>13.121253910520799</v>
      </c>
      <c r="M30" s="143">
        <v>3.0778620192873301</v>
      </c>
      <c r="N30" s="143">
        <v>0</v>
      </c>
      <c r="O30" s="143">
        <v>0</v>
      </c>
      <c r="P30" s="143">
        <v>0</v>
      </c>
      <c r="Q30" s="143">
        <v>86.646961430037393</v>
      </c>
      <c r="R30" s="143">
        <v>14.3647985878121</v>
      </c>
      <c r="S30" s="143">
        <v>0</v>
      </c>
      <c r="T30" s="143">
        <v>0</v>
      </c>
      <c r="U30" s="143">
        <v>0</v>
      </c>
      <c r="V30" s="143">
        <v>0</v>
      </c>
      <c r="W30" s="143">
        <v>0</v>
      </c>
      <c r="X30" s="143">
        <v>387.24541001406999</v>
      </c>
      <c r="Y30" s="143">
        <v>0</v>
      </c>
      <c r="Z30" s="143">
        <v>0</v>
      </c>
      <c r="AA30" s="143">
        <v>801.63685688698695</v>
      </c>
      <c r="AB30" s="143">
        <v>0</v>
      </c>
      <c r="AC30" s="143">
        <v>0</v>
      </c>
      <c r="AD30" s="143">
        <v>28.352974022462</v>
      </c>
      <c r="AE30" s="143">
        <v>0</v>
      </c>
      <c r="AF30" s="143">
        <v>15.4659880505767</v>
      </c>
      <c r="AG30" s="143">
        <v>0</v>
      </c>
      <c r="AH30" s="143">
        <v>0</v>
      </c>
      <c r="AI30" s="143">
        <v>0</v>
      </c>
      <c r="AJ30" s="143">
        <v>0</v>
      </c>
      <c r="AK30" s="143">
        <v>0</v>
      </c>
      <c r="AL30" s="143">
        <v>310.887011366813</v>
      </c>
      <c r="AM30" s="143">
        <v>0</v>
      </c>
      <c r="AN30" s="143">
        <v>0</v>
      </c>
      <c r="AO30" s="143">
        <v>0</v>
      </c>
      <c r="AP30" s="143">
        <v>0</v>
      </c>
      <c r="AQ30" s="144">
        <v>0</v>
      </c>
    </row>
    <row r="31" spans="2:43" ht="12" customHeight="1" x14ac:dyDescent="0.3">
      <c r="B31" s="142" t="s">
        <v>43</v>
      </c>
      <c r="C31" s="143" t="s">
        <v>33</v>
      </c>
      <c r="D31" s="143" t="s">
        <v>44</v>
      </c>
      <c r="E31" s="143" t="s">
        <v>88</v>
      </c>
      <c r="F31" s="143" t="s">
        <v>25</v>
      </c>
      <c r="G31" s="143" t="s">
        <v>34</v>
      </c>
      <c r="H31" s="143" t="s">
        <v>72</v>
      </c>
      <c r="I31" s="143" t="s">
        <v>25</v>
      </c>
      <c r="J31" s="143">
        <v>557.32000000000005</v>
      </c>
      <c r="K31" s="143">
        <v>310.89</v>
      </c>
      <c r="L31" s="143">
        <v>13.121253910520799</v>
      </c>
      <c r="M31" s="143">
        <v>3.0778620192873301</v>
      </c>
      <c r="N31" s="143">
        <v>0</v>
      </c>
      <c r="O31" s="143">
        <v>0</v>
      </c>
      <c r="P31" s="143">
        <v>0</v>
      </c>
      <c r="Q31" s="143">
        <v>86.646961430037393</v>
      </c>
      <c r="R31" s="143">
        <v>14.3647985878121</v>
      </c>
      <c r="S31" s="143">
        <v>0</v>
      </c>
      <c r="T31" s="143">
        <v>0</v>
      </c>
      <c r="U31" s="143">
        <v>0</v>
      </c>
      <c r="V31" s="143">
        <v>0</v>
      </c>
      <c r="W31" s="143">
        <v>0</v>
      </c>
      <c r="X31" s="143">
        <v>129.08133344044899</v>
      </c>
      <c r="Y31" s="143">
        <v>0</v>
      </c>
      <c r="Z31" s="143">
        <v>0</v>
      </c>
      <c r="AA31" s="143">
        <v>267.21228562899603</v>
      </c>
      <c r="AB31" s="143">
        <v>0</v>
      </c>
      <c r="AC31" s="143">
        <v>0</v>
      </c>
      <c r="AD31" s="143">
        <v>28.352974022462</v>
      </c>
      <c r="AE31" s="143">
        <v>0</v>
      </c>
      <c r="AF31" s="143">
        <v>15.4659880505767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310.887011366813</v>
      </c>
      <c r="AM31" s="143">
        <v>0</v>
      </c>
      <c r="AN31" s="143">
        <v>0</v>
      </c>
      <c r="AO31" s="143">
        <v>0</v>
      </c>
      <c r="AP31" s="143">
        <v>0</v>
      </c>
      <c r="AQ31" s="144">
        <v>0</v>
      </c>
    </row>
    <row r="32" spans="2:43" ht="12" customHeight="1" x14ac:dyDescent="0.3">
      <c r="B32" s="142" t="s">
        <v>43</v>
      </c>
      <c r="C32" s="143" t="s">
        <v>33</v>
      </c>
      <c r="D32" s="143" t="s">
        <v>44</v>
      </c>
      <c r="E32" s="143" t="s">
        <v>25</v>
      </c>
      <c r="F32" s="143" t="s">
        <v>25</v>
      </c>
      <c r="G32" s="143" t="s">
        <v>39</v>
      </c>
      <c r="H32" s="143" t="s">
        <v>72</v>
      </c>
      <c r="I32" s="143" t="s">
        <v>25</v>
      </c>
      <c r="J32" s="143">
        <v>2142.5</v>
      </c>
      <c r="K32" s="143">
        <v>310.89</v>
      </c>
      <c r="L32" s="143">
        <v>13.121253910520799</v>
      </c>
      <c r="M32" s="143">
        <v>3.0778620192873301</v>
      </c>
      <c r="N32" s="143">
        <v>0</v>
      </c>
      <c r="O32" s="143">
        <v>0</v>
      </c>
      <c r="P32" s="143">
        <v>0</v>
      </c>
      <c r="Q32" s="143">
        <v>86.646961430037393</v>
      </c>
      <c r="R32" s="143">
        <v>14.3647985878121</v>
      </c>
      <c r="S32" s="143">
        <v>0</v>
      </c>
      <c r="T32" s="143">
        <v>0</v>
      </c>
      <c r="U32" s="143">
        <v>0</v>
      </c>
      <c r="V32" s="143">
        <v>0</v>
      </c>
      <c r="W32" s="143">
        <v>0</v>
      </c>
      <c r="X32" s="143">
        <v>645.40948658769003</v>
      </c>
      <c r="Y32" s="143">
        <v>0</v>
      </c>
      <c r="Z32" s="143">
        <v>0</v>
      </c>
      <c r="AA32" s="143">
        <v>1336.0612220186399</v>
      </c>
      <c r="AB32" s="143">
        <v>0</v>
      </c>
      <c r="AC32" s="143">
        <v>0</v>
      </c>
      <c r="AD32" s="143">
        <v>28.352974022462</v>
      </c>
      <c r="AE32" s="143">
        <v>0</v>
      </c>
      <c r="AF32" s="143">
        <v>15.4659880505767</v>
      </c>
      <c r="AG32" s="143">
        <v>0</v>
      </c>
      <c r="AH32" s="143">
        <v>0</v>
      </c>
      <c r="AI32" s="143">
        <v>0</v>
      </c>
      <c r="AJ32" s="143">
        <v>0</v>
      </c>
      <c r="AK32" s="143">
        <v>0</v>
      </c>
      <c r="AL32" s="143">
        <v>310.887011366813</v>
      </c>
      <c r="AM32" s="143">
        <v>0</v>
      </c>
      <c r="AN32" s="143">
        <v>0</v>
      </c>
      <c r="AO32" s="143">
        <v>0</v>
      </c>
      <c r="AP32" s="143">
        <v>0</v>
      </c>
      <c r="AQ32" s="144">
        <v>0</v>
      </c>
    </row>
    <row r="33" spans="2:43" ht="12" customHeight="1" x14ac:dyDescent="0.3">
      <c r="B33" s="142" t="s">
        <v>43</v>
      </c>
      <c r="C33" s="143" t="s">
        <v>33</v>
      </c>
      <c r="D33" s="143" t="s">
        <v>44</v>
      </c>
      <c r="E33" s="143" t="s">
        <v>25</v>
      </c>
      <c r="F33" s="143" t="s">
        <v>25</v>
      </c>
      <c r="G33" s="143" t="s">
        <v>42</v>
      </c>
      <c r="H33" s="143" t="s">
        <v>72</v>
      </c>
      <c r="I33" s="143" t="s">
        <v>25</v>
      </c>
      <c r="J33" s="143">
        <v>1349.91</v>
      </c>
      <c r="K33" s="143">
        <v>310.89</v>
      </c>
      <c r="L33" s="143">
        <v>13.121253910520799</v>
      </c>
      <c r="M33" s="143">
        <v>3.0778620192873301</v>
      </c>
      <c r="N33" s="143">
        <v>0</v>
      </c>
      <c r="O33" s="143">
        <v>0</v>
      </c>
      <c r="P33" s="143">
        <v>0</v>
      </c>
      <c r="Q33" s="143">
        <v>86.646961430037393</v>
      </c>
      <c r="R33" s="143">
        <v>14.3647985878121</v>
      </c>
      <c r="S33" s="143">
        <v>0</v>
      </c>
      <c r="T33" s="143">
        <v>0</v>
      </c>
      <c r="U33" s="143">
        <v>0</v>
      </c>
      <c r="V33" s="143">
        <v>0</v>
      </c>
      <c r="W33" s="143">
        <v>0</v>
      </c>
      <c r="X33" s="143">
        <v>387.24541001406999</v>
      </c>
      <c r="Y33" s="143">
        <v>0</v>
      </c>
      <c r="Z33" s="143">
        <v>0</v>
      </c>
      <c r="AA33" s="143">
        <v>801.63685688698695</v>
      </c>
      <c r="AB33" s="143">
        <v>0</v>
      </c>
      <c r="AC33" s="143">
        <v>0</v>
      </c>
      <c r="AD33" s="143">
        <v>28.352974022462</v>
      </c>
      <c r="AE33" s="143">
        <v>0</v>
      </c>
      <c r="AF33" s="143">
        <v>15.4659880505767</v>
      </c>
      <c r="AG33" s="143">
        <v>0</v>
      </c>
      <c r="AH33" s="143">
        <v>0</v>
      </c>
      <c r="AI33" s="143">
        <v>0</v>
      </c>
      <c r="AJ33" s="143">
        <v>0</v>
      </c>
      <c r="AK33" s="143">
        <v>0</v>
      </c>
      <c r="AL33" s="143">
        <v>310.887011366813</v>
      </c>
      <c r="AM33" s="143">
        <v>0</v>
      </c>
      <c r="AN33" s="143">
        <v>0</v>
      </c>
      <c r="AO33" s="143">
        <v>0</v>
      </c>
      <c r="AP33" s="143">
        <v>0</v>
      </c>
      <c r="AQ33" s="144">
        <v>0</v>
      </c>
    </row>
    <row r="34" spans="2:43" ht="12" customHeight="1" x14ac:dyDescent="0.3">
      <c r="B34" s="142" t="s">
        <v>43</v>
      </c>
      <c r="C34" s="143" t="s">
        <v>33</v>
      </c>
      <c r="D34" s="143" t="s">
        <v>44</v>
      </c>
      <c r="E34" s="143" t="s">
        <v>25</v>
      </c>
      <c r="F34" s="143" t="s">
        <v>25</v>
      </c>
      <c r="G34" s="143" t="s">
        <v>34</v>
      </c>
      <c r="H34" s="143" t="s">
        <v>72</v>
      </c>
      <c r="I34" s="143" t="s">
        <v>25</v>
      </c>
      <c r="J34" s="143">
        <v>557.32000000000005</v>
      </c>
      <c r="K34" s="143">
        <v>310.89</v>
      </c>
      <c r="L34" s="143">
        <v>13.121253910520799</v>
      </c>
      <c r="M34" s="143">
        <v>3.0778620192873301</v>
      </c>
      <c r="N34" s="143">
        <v>0</v>
      </c>
      <c r="O34" s="143">
        <v>0</v>
      </c>
      <c r="P34" s="143">
        <v>0</v>
      </c>
      <c r="Q34" s="143">
        <v>86.646961430037393</v>
      </c>
      <c r="R34" s="143">
        <v>14.3647985878121</v>
      </c>
      <c r="S34" s="143">
        <v>0</v>
      </c>
      <c r="T34" s="143">
        <v>0</v>
      </c>
      <c r="U34" s="143">
        <v>0</v>
      </c>
      <c r="V34" s="143">
        <v>0</v>
      </c>
      <c r="W34" s="143">
        <v>0</v>
      </c>
      <c r="X34" s="143">
        <v>129.08133344044899</v>
      </c>
      <c r="Y34" s="143">
        <v>0</v>
      </c>
      <c r="Z34" s="143">
        <v>0</v>
      </c>
      <c r="AA34" s="143">
        <v>267.21228562899603</v>
      </c>
      <c r="AB34" s="143">
        <v>0</v>
      </c>
      <c r="AC34" s="143">
        <v>0</v>
      </c>
      <c r="AD34" s="143">
        <v>28.352974022462</v>
      </c>
      <c r="AE34" s="143">
        <v>0</v>
      </c>
      <c r="AF34" s="143">
        <v>15.4659880505767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310.887011366813</v>
      </c>
      <c r="AM34" s="143">
        <v>0</v>
      </c>
      <c r="AN34" s="143">
        <v>0</v>
      </c>
      <c r="AO34" s="143">
        <v>0</v>
      </c>
      <c r="AP34" s="143">
        <v>0</v>
      </c>
      <c r="AQ34" s="144">
        <v>0</v>
      </c>
    </row>
    <row r="35" spans="2:43" ht="12" customHeight="1" x14ac:dyDescent="0.3">
      <c r="B35" s="142" t="s">
        <v>43</v>
      </c>
      <c r="C35" s="143" t="s">
        <v>33</v>
      </c>
      <c r="D35" s="143" t="s">
        <v>44</v>
      </c>
      <c r="E35" s="143" t="s">
        <v>89</v>
      </c>
      <c r="F35" s="143" t="s">
        <v>25</v>
      </c>
      <c r="G35" s="143" t="s">
        <v>39</v>
      </c>
      <c r="H35" s="143" t="s">
        <v>72</v>
      </c>
      <c r="I35" s="143" t="s">
        <v>25</v>
      </c>
      <c r="J35" s="143">
        <v>2096.92</v>
      </c>
      <c r="K35" s="143">
        <v>304.27</v>
      </c>
      <c r="L35" s="143">
        <v>12.842078295403301</v>
      </c>
      <c r="M35" s="143">
        <v>3.01237559334505</v>
      </c>
      <c r="N35" s="143">
        <v>0</v>
      </c>
      <c r="O35" s="143">
        <v>0</v>
      </c>
      <c r="P35" s="143">
        <v>0</v>
      </c>
      <c r="Q35" s="143">
        <v>84.803409059185597</v>
      </c>
      <c r="R35" s="143">
        <v>14.059164575305401</v>
      </c>
      <c r="S35" s="143">
        <v>0</v>
      </c>
      <c r="T35" s="143">
        <v>0</v>
      </c>
      <c r="U35" s="143">
        <v>0</v>
      </c>
      <c r="V35" s="143">
        <v>0</v>
      </c>
      <c r="W35" s="143">
        <v>0</v>
      </c>
      <c r="X35" s="143">
        <v>631.67736985178203</v>
      </c>
      <c r="Y35" s="143">
        <v>0</v>
      </c>
      <c r="Z35" s="143">
        <v>0</v>
      </c>
      <c r="AA35" s="143">
        <v>1307.63438750761</v>
      </c>
      <c r="AB35" s="143">
        <v>0</v>
      </c>
      <c r="AC35" s="143">
        <v>0</v>
      </c>
      <c r="AD35" s="143">
        <v>27.749719256026601</v>
      </c>
      <c r="AE35" s="143">
        <v>0</v>
      </c>
      <c r="AF35" s="143">
        <v>15.136924475032499</v>
      </c>
      <c r="AG35" s="143">
        <v>0</v>
      </c>
      <c r="AH35" s="143">
        <v>0</v>
      </c>
      <c r="AI35" s="143">
        <v>0</v>
      </c>
      <c r="AJ35" s="143">
        <v>0</v>
      </c>
      <c r="AK35" s="143">
        <v>0</v>
      </c>
      <c r="AL35" s="143">
        <v>304.27239410368998</v>
      </c>
      <c r="AM35" s="143">
        <v>0</v>
      </c>
      <c r="AN35" s="143">
        <v>0</v>
      </c>
      <c r="AO35" s="143">
        <v>0</v>
      </c>
      <c r="AP35" s="143">
        <v>0</v>
      </c>
      <c r="AQ35" s="144">
        <v>0</v>
      </c>
    </row>
    <row r="36" spans="2:43" ht="12" customHeight="1" x14ac:dyDescent="0.3">
      <c r="B36" s="142" t="s">
        <v>43</v>
      </c>
      <c r="C36" s="143" t="s">
        <v>33</v>
      </c>
      <c r="D36" s="143" t="s">
        <v>44</v>
      </c>
      <c r="E36" s="143" t="s">
        <v>89</v>
      </c>
      <c r="F36" s="143" t="s">
        <v>25</v>
      </c>
      <c r="G36" s="143" t="s">
        <v>42</v>
      </c>
      <c r="H36" s="143" t="s">
        <v>72</v>
      </c>
      <c r="I36" s="143" t="s">
        <v>25</v>
      </c>
      <c r="J36" s="143">
        <v>1321.19</v>
      </c>
      <c r="K36" s="143">
        <v>304.27</v>
      </c>
      <c r="L36" s="143">
        <v>12.842078295403301</v>
      </c>
      <c r="M36" s="143">
        <v>3.01237559334505</v>
      </c>
      <c r="N36" s="143">
        <v>0</v>
      </c>
      <c r="O36" s="143">
        <v>0</v>
      </c>
      <c r="P36" s="143">
        <v>0</v>
      </c>
      <c r="Q36" s="143">
        <v>84.803409059185597</v>
      </c>
      <c r="R36" s="143">
        <v>14.059164575305401</v>
      </c>
      <c r="S36" s="143">
        <v>0</v>
      </c>
      <c r="T36" s="143">
        <v>0</v>
      </c>
      <c r="U36" s="143">
        <v>0</v>
      </c>
      <c r="V36" s="143">
        <v>0</v>
      </c>
      <c r="W36" s="143">
        <v>0</v>
      </c>
      <c r="X36" s="143">
        <v>379.00614597121699</v>
      </c>
      <c r="Y36" s="143">
        <v>0</v>
      </c>
      <c r="Z36" s="143">
        <v>0</v>
      </c>
      <c r="AA36" s="143">
        <v>784.58075354896596</v>
      </c>
      <c r="AB36" s="143">
        <v>0</v>
      </c>
      <c r="AC36" s="143">
        <v>0</v>
      </c>
      <c r="AD36" s="143">
        <v>27.749719256026601</v>
      </c>
      <c r="AE36" s="143">
        <v>0</v>
      </c>
      <c r="AF36" s="143">
        <v>15.136924475032499</v>
      </c>
      <c r="AG36" s="143">
        <v>0</v>
      </c>
      <c r="AH36" s="143">
        <v>0</v>
      </c>
      <c r="AI36" s="143">
        <v>0</v>
      </c>
      <c r="AJ36" s="143">
        <v>0</v>
      </c>
      <c r="AK36" s="143">
        <v>0</v>
      </c>
      <c r="AL36" s="143">
        <v>304.27239410368998</v>
      </c>
      <c r="AM36" s="143">
        <v>0</v>
      </c>
      <c r="AN36" s="143">
        <v>0</v>
      </c>
      <c r="AO36" s="143">
        <v>0</v>
      </c>
      <c r="AP36" s="143">
        <v>0</v>
      </c>
      <c r="AQ36" s="144">
        <v>0</v>
      </c>
    </row>
    <row r="37" spans="2:43" ht="12" customHeight="1" x14ac:dyDescent="0.3">
      <c r="B37" s="142" t="s">
        <v>43</v>
      </c>
      <c r="C37" s="143" t="s">
        <v>33</v>
      </c>
      <c r="D37" s="143" t="s">
        <v>44</v>
      </c>
      <c r="E37" s="143" t="s">
        <v>89</v>
      </c>
      <c r="F37" s="143" t="s">
        <v>25</v>
      </c>
      <c r="G37" s="143" t="s">
        <v>34</v>
      </c>
      <c r="H37" s="143" t="s">
        <v>72</v>
      </c>
      <c r="I37" s="143" t="s">
        <v>25</v>
      </c>
      <c r="J37" s="143">
        <v>545.47</v>
      </c>
      <c r="K37" s="143">
        <v>304.27</v>
      </c>
      <c r="L37" s="143">
        <v>12.842078295403301</v>
      </c>
      <c r="M37" s="143">
        <v>3.01237559334505</v>
      </c>
      <c r="N37" s="143">
        <v>0</v>
      </c>
      <c r="O37" s="143">
        <v>0</v>
      </c>
      <c r="P37" s="143">
        <v>0</v>
      </c>
      <c r="Q37" s="143">
        <v>84.803409059185597</v>
      </c>
      <c r="R37" s="143">
        <v>14.059164575305401</v>
      </c>
      <c r="S37" s="143">
        <v>0</v>
      </c>
      <c r="T37" s="143">
        <v>0</v>
      </c>
      <c r="U37" s="143">
        <v>0</v>
      </c>
      <c r="V37" s="143">
        <v>0</v>
      </c>
      <c r="W37" s="143">
        <v>0</v>
      </c>
      <c r="X37" s="143">
        <v>126.334922090653</v>
      </c>
      <c r="Y37" s="143">
        <v>0</v>
      </c>
      <c r="Z37" s="143">
        <v>0</v>
      </c>
      <c r="AA37" s="143">
        <v>261.52691784965498</v>
      </c>
      <c r="AB37" s="143">
        <v>0</v>
      </c>
      <c r="AC37" s="143">
        <v>0</v>
      </c>
      <c r="AD37" s="143">
        <v>27.749719256026601</v>
      </c>
      <c r="AE37" s="143">
        <v>0</v>
      </c>
      <c r="AF37" s="143">
        <v>15.136924475032499</v>
      </c>
      <c r="AG37" s="143">
        <v>0</v>
      </c>
      <c r="AH37" s="143">
        <v>0</v>
      </c>
      <c r="AI37" s="143">
        <v>0</v>
      </c>
      <c r="AJ37" s="143">
        <v>0</v>
      </c>
      <c r="AK37" s="143">
        <v>0</v>
      </c>
      <c r="AL37" s="143">
        <v>304.27239410368998</v>
      </c>
      <c r="AM37" s="143">
        <v>0</v>
      </c>
      <c r="AN37" s="143">
        <v>0</v>
      </c>
      <c r="AO37" s="143">
        <v>0</v>
      </c>
      <c r="AP37" s="143">
        <v>0</v>
      </c>
      <c r="AQ37" s="144">
        <v>0</v>
      </c>
    </row>
    <row r="38" spans="2:43" ht="12" customHeight="1" x14ac:dyDescent="0.3">
      <c r="B38" s="142" t="s">
        <v>43</v>
      </c>
      <c r="C38" s="143" t="s">
        <v>23</v>
      </c>
      <c r="D38" s="143" t="s">
        <v>44</v>
      </c>
      <c r="E38" s="143" t="s">
        <v>88</v>
      </c>
      <c r="F38" s="143" t="s">
        <v>25</v>
      </c>
      <c r="G38" s="143" t="s">
        <v>25</v>
      </c>
      <c r="H38" s="143" t="s">
        <v>72</v>
      </c>
      <c r="I38" s="143" t="s">
        <v>25</v>
      </c>
      <c r="J38" s="143">
        <v>923.13</v>
      </c>
      <c r="K38" s="143">
        <v>310.89</v>
      </c>
      <c r="L38" s="143">
        <v>13.121253910520799</v>
      </c>
      <c r="M38" s="143">
        <v>3.0778620192873301</v>
      </c>
      <c r="N38" s="143">
        <v>0</v>
      </c>
      <c r="O38" s="143">
        <v>0</v>
      </c>
      <c r="P38" s="143">
        <v>0</v>
      </c>
      <c r="Q38" s="143">
        <v>86.646961430037393</v>
      </c>
      <c r="R38" s="143">
        <v>14.3647985878121</v>
      </c>
      <c r="S38" s="143">
        <v>0</v>
      </c>
      <c r="T38" s="143">
        <v>0</v>
      </c>
      <c r="U38" s="143">
        <v>0</v>
      </c>
      <c r="V38" s="143">
        <v>0</v>
      </c>
      <c r="W38" s="143">
        <v>0</v>
      </c>
      <c r="X38" s="143">
        <v>248.23420104253901</v>
      </c>
      <c r="Y38" s="143">
        <v>0</v>
      </c>
      <c r="Z38" s="143">
        <v>0</v>
      </c>
      <c r="AA38" s="143">
        <v>513.86985933512096</v>
      </c>
      <c r="AB38" s="143">
        <v>0</v>
      </c>
      <c r="AC38" s="143">
        <v>0</v>
      </c>
      <c r="AD38" s="143">
        <v>28.352974022462</v>
      </c>
      <c r="AE38" s="143">
        <v>0</v>
      </c>
      <c r="AF38" s="143">
        <v>15.4659880505767</v>
      </c>
      <c r="AG38" s="143">
        <v>0</v>
      </c>
      <c r="AH38" s="143">
        <v>0</v>
      </c>
      <c r="AI38" s="143">
        <v>0</v>
      </c>
      <c r="AJ38" s="143">
        <v>0</v>
      </c>
      <c r="AK38" s="143">
        <v>0</v>
      </c>
      <c r="AL38" s="143">
        <v>310.887011366813</v>
      </c>
      <c r="AM38" s="143">
        <v>0</v>
      </c>
      <c r="AN38" s="143">
        <v>0</v>
      </c>
      <c r="AO38" s="143">
        <v>0</v>
      </c>
      <c r="AP38" s="143">
        <v>0</v>
      </c>
      <c r="AQ38" s="144">
        <v>0</v>
      </c>
    </row>
    <row r="39" spans="2:43" ht="12" customHeight="1" x14ac:dyDescent="0.3">
      <c r="B39" s="142" t="s">
        <v>43</v>
      </c>
      <c r="C39" s="143" t="s">
        <v>23</v>
      </c>
      <c r="D39" s="143" t="s">
        <v>44</v>
      </c>
      <c r="E39" s="143" t="s">
        <v>25</v>
      </c>
      <c r="F39" s="143" t="s">
        <v>25</v>
      </c>
      <c r="G39" s="143" t="s">
        <v>25</v>
      </c>
      <c r="H39" s="143" t="s">
        <v>72</v>
      </c>
      <c r="I39" s="143" t="s">
        <v>25</v>
      </c>
      <c r="J39" s="143">
        <v>923.13</v>
      </c>
      <c r="K39" s="143">
        <v>310.89</v>
      </c>
      <c r="L39" s="143">
        <v>13.121253910520799</v>
      </c>
      <c r="M39" s="143">
        <v>3.0778620192873301</v>
      </c>
      <c r="N39" s="143">
        <v>0</v>
      </c>
      <c r="O39" s="143">
        <v>0</v>
      </c>
      <c r="P39" s="143">
        <v>0</v>
      </c>
      <c r="Q39" s="143">
        <v>86.646961430037393</v>
      </c>
      <c r="R39" s="143">
        <v>14.3647985878121</v>
      </c>
      <c r="S39" s="143">
        <v>0</v>
      </c>
      <c r="T39" s="143">
        <v>0</v>
      </c>
      <c r="U39" s="143">
        <v>0</v>
      </c>
      <c r="V39" s="143">
        <v>0</v>
      </c>
      <c r="W39" s="143">
        <v>0</v>
      </c>
      <c r="X39" s="143">
        <v>248.23420104253901</v>
      </c>
      <c r="Y39" s="143">
        <v>0</v>
      </c>
      <c r="Z39" s="143">
        <v>0</v>
      </c>
      <c r="AA39" s="143">
        <v>513.86985933512096</v>
      </c>
      <c r="AB39" s="143">
        <v>0</v>
      </c>
      <c r="AC39" s="143">
        <v>0</v>
      </c>
      <c r="AD39" s="143">
        <v>28.352974022462</v>
      </c>
      <c r="AE39" s="143">
        <v>0</v>
      </c>
      <c r="AF39" s="143">
        <v>15.4659880505767</v>
      </c>
      <c r="AG39" s="143">
        <v>0</v>
      </c>
      <c r="AH39" s="143">
        <v>0</v>
      </c>
      <c r="AI39" s="143">
        <v>0</v>
      </c>
      <c r="AJ39" s="143">
        <v>0</v>
      </c>
      <c r="AK39" s="143">
        <v>0</v>
      </c>
      <c r="AL39" s="143">
        <v>310.887011366813</v>
      </c>
      <c r="AM39" s="143">
        <v>0</v>
      </c>
      <c r="AN39" s="143">
        <v>0</v>
      </c>
      <c r="AO39" s="143">
        <v>0</v>
      </c>
      <c r="AP39" s="143">
        <v>0</v>
      </c>
      <c r="AQ39" s="144">
        <v>0</v>
      </c>
    </row>
    <row r="40" spans="2:43" ht="12" customHeight="1" x14ac:dyDescent="0.3">
      <c r="B40" s="142" t="s">
        <v>43</v>
      </c>
      <c r="C40" s="143" t="s">
        <v>23</v>
      </c>
      <c r="D40" s="143" t="s">
        <v>44</v>
      </c>
      <c r="E40" s="143" t="s">
        <v>89</v>
      </c>
      <c r="F40" s="143" t="s">
        <v>25</v>
      </c>
      <c r="G40" s="143" t="s">
        <v>25</v>
      </c>
      <c r="H40" s="143" t="s">
        <v>72</v>
      </c>
      <c r="I40" s="143" t="s">
        <v>25</v>
      </c>
      <c r="J40" s="143">
        <v>903.49</v>
      </c>
      <c r="K40" s="143">
        <v>304.27</v>
      </c>
      <c r="L40" s="143">
        <v>12.842078295403301</v>
      </c>
      <c r="M40" s="143">
        <v>3.01237559334505</v>
      </c>
      <c r="N40" s="143">
        <v>0</v>
      </c>
      <c r="O40" s="143">
        <v>0</v>
      </c>
      <c r="P40" s="143">
        <v>0</v>
      </c>
      <c r="Q40" s="143">
        <v>84.803409059185597</v>
      </c>
      <c r="R40" s="143">
        <v>14.059164575305401</v>
      </c>
      <c r="S40" s="143">
        <v>0</v>
      </c>
      <c r="T40" s="143">
        <v>0</v>
      </c>
      <c r="U40" s="143">
        <v>0</v>
      </c>
      <c r="V40" s="143">
        <v>0</v>
      </c>
      <c r="W40" s="143">
        <v>0</v>
      </c>
      <c r="X40" s="143">
        <v>242.952622296953</v>
      </c>
      <c r="Y40" s="143">
        <v>0</v>
      </c>
      <c r="Z40" s="143">
        <v>0</v>
      </c>
      <c r="AA40" s="143">
        <v>502.93645807267097</v>
      </c>
      <c r="AB40" s="143">
        <v>0</v>
      </c>
      <c r="AC40" s="143">
        <v>0</v>
      </c>
      <c r="AD40" s="143">
        <v>27.749719256026601</v>
      </c>
      <c r="AE40" s="143">
        <v>0</v>
      </c>
      <c r="AF40" s="143">
        <v>15.136924475032499</v>
      </c>
      <c r="AG40" s="143">
        <v>0</v>
      </c>
      <c r="AH40" s="143">
        <v>0</v>
      </c>
      <c r="AI40" s="143">
        <v>0</v>
      </c>
      <c r="AJ40" s="143">
        <v>0</v>
      </c>
      <c r="AK40" s="143">
        <v>0</v>
      </c>
      <c r="AL40" s="143">
        <v>304.27239410368998</v>
      </c>
      <c r="AM40" s="143">
        <v>0</v>
      </c>
      <c r="AN40" s="143">
        <v>0</v>
      </c>
      <c r="AO40" s="143">
        <v>0</v>
      </c>
      <c r="AP40" s="143">
        <v>0</v>
      </c>
      <c r="AQ40" s="144">
        <v>0</v>
      </c>
    </row>
    <row r="41" spans="2:43" ht="12" customHeight="1" x14ac:dyDescent="0.3">
      <c r="B41" s="142" t="s">
        <v>43</v>
      </c>
      <c r="C41" s="143" t="s">
        <v>87</v>
      </c>
      <c r="D41" s="143" t="s">
        <v>44</v>
      </c>
      <c r="E41" s="143" t="s">
        <v>88</v>
      </c>
      <c r="F41" s="143" t="s">
        <v>25</v>
      </c>
      <c r="G41" s="143" t="s">
        <v>25</v>
      </c>
      <c r="H41" s="143" t="s">
        <v>72</v>
      </c>
      <c r="I41" s="143" t="s">
        <v>25</v>
      </c>
      <c r="J41" s="143">
        <v>923.13</v>
      </c>
      <c r="K41" s="143">
        <v>310.89</v>
      </c>
      <c r="L41" s="143">
        <v>13.121253910520799</v>
      </c>
      <c r="M41" s="143">
        <v>3.0778620192873301</v>
      </c>
      <c r="N41" s="143">
        <v>0</v>
      </c>
      <c r="O41" s="143">
        <v>0</v>
      </c>
      <c r="P41" s="143">
        <v>0</v>
      </c>
      <c r="Q41" s="143">
        <v>86.646961430037393</v>
      </c>
      <c r="R41" s="143">
        <v>14.3647985878121</v>
      </c>
      <c r="S41" s="143">
        <v>0</v>
      </c>
      <c r="T41" s="143">
        <v>0</v>
      </c>
      <c r="U41" s="143">
        <v>0</v>
      </c>
      <c r="V41" s="143">
        <v>0</v>
      </c>
      <c r="W41" s="143">
        <v>0</v>
      </c>
      <c r="X41" s="143">
        <v>248.23420104253901</v>
      </c>
      <c r="Y41" s="143">
        <v>0</v>
      </c>
      <c r="Z41" s="143">
        <v>0</v>
      </c>
      <c r="AA41" s="143">
        <v>513.86985933512096</v>
      </c>
      <c r="AB41" s="143">
        <v>0</v>
      </c>
      <c r="AC41" s="143">
        <v>0</v>
      </c>
      <c r="AD41" s="143">
        <v>28.352974022462</v>
      </c>
      <c r="AE41" s="143">
        <v>0</v>
      </c>
      <c r="AF41" s="143">
        <v>15.4659880505767</v>
      </c>
      <c r="AG41" s="143">
        <v>0</v>
      </c>
      <c r="AH41" s="143">
        <v>0</v>
      </c>
      <c r="AI41" s="143">
        <v>0</v>
      </c>
      <c r="AJ41" s="143">
        <v>0</v>
      </c>
      <c r="AK41" s="143">
        <v>0</v>
      </c>
      <c r="AL41" s="143">
        <v>310.887011366813</v>
      </c>
      <c r="AM41" s="143">
        <v>0</v>
      </c>
      <c r="AN41" s="143">
        <v>0</v>
      </c>
      <c r="AO41" s="143">
        <v>0</v>
      </c>
      <c r="AP41" s="143">
        <v>0</v>
      </c>
      <c r="AQ41" s="144">
        <v>0</v>
      </c>
    </row>
    <row r="42" spans="2:43" ht="12" customHeight="1" x14ac:dyDescent="0.3">
      <c r="B42" s="142" t="s">
        <v>43</v>
      </c>
      <c r="C42" s="143" t="s">
        <v>87</v>
      </c>
      <c r="D42" s="143" t="s">
        <v>44</v>
      </c>
      <c r="E42" s="143" t="s">
        <v>25</v>
      </c>
      <c r="F42" s="143" t="s">
        <v>25</v>
      </c>
      <c r="G42" s="143" t="s">
        <v>25</v>
      </c>
      <c r="H42" s="143" t="s">
        <v>72</v>
      </c>
      <c r="I42" s="143" t="s">
        <v>25</v>
      </c>
      <c r="J42" s="143">
        <v>923.13</v>
      </c>
      <c r="K42" s="143">
        <v>310.89</v>
      </c>
      <c r="L42" s="143">
        <v>13.121253910520799</v>
      </c>
      <c r="M42" s="143">
        <v>3.0778620192873301</v>
      </c>
      <c r="N42" s="143">
        <v>0</v>
      </c>
      <c r="O42" s="143">
        <v>0</v>
      </c>
      <c r="P42" s="143">
        <v>0</v>
      </c>
      <c r="Q42" s="143">
        <v>86.646961430037393</v>
      </c>
      <c r="R42" s="143">
        <v>14.3647985878121</v>
      </c>
      <c r="S42" s="143">
        <v>0</v>
      </c>
      <c r="T42" s="143">
        <v>0</v>
      </c>
      <c r="U42" s="143">
        <v>0</v>
      </c>
      <c r="V42" s="143">
        <v>0</v>
      </c>
      <c r="W42" s="143">
        <v>0</v>
      </c>
      <c r="X42" s="143">
        <v>248.23420104253901</v>
      </c>
      <c r="Y42" s="143">
        <v>0</v>
      </c>
      <c r="Z42" s="143">
        <v>0</v>
      </c>
      <c r="AA42" s="143">
        <v>513.86985933512096</v>
      </c>
      <c r="AB42" s="143">
        <v>0</v>
      </c>
      <c r="AC42" s="143">
        <v>0</v>
      </c>
      <c r="AD42" s="143">
        <v>28.352974022462</v>
      </c>
      <c r="AE42" s="143">
        <v>0</v>
      </c>
      <c r="AF42" s="143">
        <v>15.4659880505767</v>
      </c>
      <c r="AG42" s="143">
        <v>0</v>
      </c>
      <c r="AH42" s="143">
        <v>0</v>
      </c>
      <c r="AI42" s="143">
        <v>0</v>
      </c>
      <c r="AJ42" s="143">
        <v>0</v>
      </c>
      <c r="AK42" s="143">
        <v>0</v>
      </c>
      <c r="AL42" s="143">
        <v>310.887011366813</v>
      </c>
      <c r="AM42" s="143">
        <v>0</v>
      </c>
      <c r="AN42" s="143">
        <v>0</v>
      </c>
      <c r="AO42" s="143">
        <v>0</v>
      </c>
      <c r="AP42" s="143">
        <v>0</v>
      </c>
      <c r="AQ42" s="144">
        <v>0</v>
      </c>
    </row>
    <row r="43" spans="2:43" ht="12" customHeight="1" x14ac:dyDescent="0.3">
      <c r="B43" s="142" t="s">
        <v>43</v>
      </c>
      <c r="C43" s="143" t="s">
        <v>87</v>
      </c>
      <c r="D43" s="143" t="s">
        <v>44</v>
      </c>
      <c r="E43" s="143" t="s">
        <v>89</v>
      </c>
      <c r="F43" s="143" t="s">
        <v>25</v>
      </c>
      <c r="G43" s="143" t="s">
        <v>25</v>
      </c>
      <c r="H43" s="143" t="s">
        <v>72</v>
      </c>
      <c r="I43" s="143" t="s">
        <v>25</v>
      </c>
      <c r="J43" s="143">
        <v>903.49</v>
      </c>
      <c r="K43" s="143">
        <v>304.27</v>
      </c>
      <c r="L43" s="143">
        <v>12.842078295403301</v>
      </c>
      <c r="M43" s="143">
        <v>3.01237559334505</v>
      </c>
      <c r="N43" s="143">
        <v>0</v>
      </c>
      <c r="O43" s="143">
        <v>0</v>
      </c>
      <c r="P43" s="143">
        <v>0</v>
      </c>
      <c r="Q43" s="143">
        <v>84.803409059185597</v>
      </c>
      <c r="R43" s="143">
        <v>14.059164575305401</v>
      </c>
      <c r="S43" s="143">
        <v>0</v>
      </c>
      <c r="T43" s="143">
        <v>0</v>
      </c>
      <c r="U43" s="143">
        <v>0</v>
      </c>
      <c r="V43" s="143">
        <v>0</v>
      </c>
      <c r="W43" s="143">
        <v>0</v>
      </c>
      <c r="X43" s="143">
        <v>242.952622296953</v>
      </c>
      <c r="Y43" s="143">
        <v>0</v>
      </c>
      <c r="Z43" s="143">
        <v>0</v>
      </c>
      <c r="AA43" s="143">
        <v>502.93645807267097</v>
      </c>
      <c r="AB43" s="143">
        <v>0</v>
      </c>
      <c r="AC43" s="143">
        <v>0</v>
      </c>
      <c r="AD43" s="143">
        <v>27.749719256026601</v>
      </c>
      <c r="AE43" s="143">
        <v>0</v>
      </c>
      <c r="AF43" s="143">
        <v>15.136924475032499</v>
      </c>
      <c r="AG43" s="143">
        <v>0</v>
      </c>
      <c r="AH43" s="143">
        <v>0</v>
      </c>
      <c r="AI43" s="143">
        <v>0</v>
      </c>
      <c r="AJ43" s="143">
        <v>0</v>
      </c>
      <c r="AK43" s="143">
        <v>0</v>
      </c>
      <c r="AL43" s="143">
        <v>304.27239410368998</v>
      </c>
      <c r="AM43" s="143">
        <v>0</v>
      </c>
      <c r="AN43" s="143">
        <v>0</v>
      </c>
      <c r="AO43" s="143">
        <v>0</v>
      </c>
      <c r="AP43" s="143">
        <v>0</v>
      </c>
      <c r="AQ43" s="144">
        <v>0</v>
      </c>
    </row>
    <row r="44" spans="2:43" ht="12" customHeight="1" x14ac:dyDescent="0.3">
      <c r="B44" s="142" t="s">
        <v>35</v>
      </c>
      <c r="C44" s="143" t="s">
        <v>33</v>
      </c>
      <c r="D44" s="143" t="s">
        <v>25</v>
      </c>
      <c r="E44" s="143" t="s">
        <v>25</v>
      </c>
      <c r="F44" s="143" t="s">
        <v>25</v>
      </c>
      <c r="G44" s="143" t="s">
        <v>39</v>
      </c>
      <c r="H44" s="143" t="s">
        <v>72</v>
      </c>
      <c r="I44" s="143" t="s">
        <v>25</v>
      </c>
      <c r="J44" s="143">
        <v>2644.09</v>
      </c>
      <c r="K44" s="143">
        <v>330.73</v>
      </c>
      <c r="L44" s="143">
        <v>13.9587807558732</v>
      </c>
      <c r="M44" s="143">
        <v>3.27432129711418</v>
      </c>
      <c r="N44" s="143">
        <v>0</v>
      </c>
      <c r="O44" s="143">
        <v>0</v>
      </c>
      <c r="P44" s="143">
        <v>0</v>
      </c>
      <c r="Q44" s="143">
        <v>92.177618542592995</v>
      </c>
      <c r="R44" s="143">
        <v>15.281700625332</v>
      </c>
      <c r="S44" s="143">
        <v>0</v>
      </c>
      <c r="T44" s="143">
        <v>0</v>
      </c>
      <c r="U44" s="143">
        <v>0</v>
      </c>
      <c r="V44" s="143">
        <v>0</v>
      </c>
      <c r="W44" s="143">
        <v>0</v>
      </c>
      <c r="X44" s="143">
        <v>805.44143355475398</v>
      </c>
      <c r="Y44" s="143">
        <v>0</v>
      </c>
      <c r="Z44" s="143">
        <v>0</v>
      </c>
      <c r="AA44" s="143">
        <v>1667.34297985269</v>
      </c>
      <c r="AB44" s="143">
        <v>0</v>
      </c>
      <c r="AC44" s="143">
        <v>0</v>
      </c>
      <c r="AD44" s="143">
        <v>30.162738321768</v>
      </c>
      <c r="AE44" s="143">
        <v>0</v>
      </c>
      <c r="AF44" s="143">
        <v>16.4531787772092</v>
      </c>
      <c r="AG44" s="143">
        <v>0</v>
      </c>
      <c r="AH44" s="143">
        <v>0</v>
      </c>
      <c r="AI44" s="143">
        <v>0</v>
      </c>
      <c r="AJ44" s="143">
        <v>0</v>
      </c>
      <c r="AK44" s="143">
        <v>0</v>
      </c>
      <c r="AL44" s="143">
        <v>330.73086315618502</v>
      </c>
      <c r="AM44" s="143">
        <v>0</v>
      </c>
      <c r="AN44" s="143">
        <v>0</v>
      </c>
      <c r="AO44" s="143">
        <v>0</v>
      </c>
      <c r="AP44" s="143">
        <v>0</v>
      </c>
      <c r="AQ44" s="144">
        <v>0</v>
      </c>
    </row>
    <row r="45" spans="2:43" ht="12" customHeight="1" x14ac:dyDescent="0.3">
      <c r="B45" s="142" t="s">
        <v>35</v>
      </c>
      <c r="C45" s="143" t="s">
        <v>33</v>
      </c>
      <c r="D45" s="143" t="s">
        <v>25</v>
      </c>
      <c r="E45" s="143" t="s">
        <v>25</v>
      </c>
      <c r="F45" s="143" t="s">
        <v>25</v>
      </c>
      <c r="G45" s="143" t="s">
        <v>42</v>
      </c>
      <c r="H45" s="143" t="s">
        <v>72</v>
      </c>
      <c r="I45" s="143" t="s">
        <v>25</v>
      </c>
      <c r="J45" s="143">
        <v>1654.98</v>
      </c>
      <c r="K45" s="143">
        <v>330.73</v>
      </c>
      <c r="L45" s="143">
        <v>13.9587807558732</v>
      </c>
      <c r="M45" s="143">
        <v>3.27432129711418</v>
      </c>
      <c r="N45" s="143">
        <v>0</v>
      </c>
      <c r="O45" s="143">
        <v>0</v>
      </c>
      <c r="P45" s="143">
        <v>0</v>
      </c>
      <c r="Q45" s="143">
        <v>92.177618542592995</v>
      </c>
      <c r="R45" s="143">
        <v>15.281700625332</v>
      </c>
      <c r="S45" s="143">
        <v>0</v>
      </c>
      <c r="T45" s="143">
        <v>0</v>
      </c>
      <c r="U45" s="143">
        <v>0</v>
      </c>
      <c r="V45" s="143">
        <v>0</v>
      </c>
      <c r="W45" s="143">
        <v>0</v>
      </c>
      <c r="X45" s="143">
        <v>483.26516006747403</v>
      </c>
      <c r="Y45" s="143">
        <v>0</v>
      </c>
      <c r="Z45" s="143">
        <v>0</v>
      </c>
      <c r="AA45" s="143">
        <v>1000.40587562495</v>
      </c>
      <c r="AB45" s="143">
        <v>0</v>
      </c>
      <c r="AC45" s="143">
        <v>0</v>
      </c>
      <c r="AD45" s="143">
        <v>30.162738321768</v>
      </c>
      <c r="AE45" s="143">
        <v>0</v>
      </c>
      <c r="AF45" s="143">
        <v>16.4531787772092</v>
      </c>
      <c r="AG45" s="143">
        <v>0</v>
      </c>
      <c r="AH45" s="143">
        <v>0</v>
      </c>
      <c r="AI45" s="143">
        <v>0</v>
      </c>
      <c r="AJ45" s="143">
        <v>0</v>
      </c>
      <c r="AK45" s="143">
        <v>0</v>
      </c>
      <c r="AL45" s="143">
        <v>330.73086315618502</v>
      </c>
      <c r="AM45" s="143">
        <v>0</v>
      </c>
      <c r="AN45" s="143">
        <v>0</v>
      </c>
      <c r="AO45" s="143">
        <v>0</v>
      </c>
      <c r="AP45" s="143">
        <v>0</v>
      </c>
      <c r="AQ45" s="144">
        <v>0</v>
      </c>
    </row>
    <row r="46" spans="2:43" ht="12" customHeight="1" x14ac:dyDescent="0.3">
      <c r="B46" s="142" t="s">
        <v>35</v>
      </c>
      <c r="C46" s="143" t="s">
        <v>33</v>
      </c>
      <c r="D46" s="143" t="s">
        <v>25</v>
      </c>
      <c r="E46" s="143" t="s">
        <v>25</v>
      </c>
      <c r="F46" s="143" t="s">
        <v>25</v>
      </c>
      <c r="G46" s="143" t="s">
        <v>34</v>
      </c>
      <c r="H46" s="143" t="s">
        <v>72</v>
      </c>
      <c r="I46" s="143" t="s">
        <v>25</v>
      </c>
      <c r="J46" s="143">
        <v>665.87</v>
      </c>
      <c r="K46" s="143">
        <v>330.73</v>
      </c>
      <c r="L46" s="143">
        <v>13.9587807558732</v>
      </c>
      <c r="M46" s="143">
        <v>3.27432129711418</v>
      </c>
      <c r="N46" s="143">
        <v>0</v>
      </c>
      <c r="O46" s="143">
        <v>0</v>
      </c>
      <c r="P46" s="143">
        <v>0</v>
      </c>
      <c r="Q46" s="143">
        <v>92.177618542592995</v>
      </c>
      <c r="R46" s="143">
        <v>15.281700625332</v>
      </c>
      <c r="S46" s="143">
        <v>0</v>
      </c>
      <c r="T46" s="143">
        <v>0</v>
      </c>
      <c r="U46" s="143">
        <v>0</v>
      </c>
      <c r="V46" s="143">
        <v>0</v>
      </c>
      <c r="W46" s="143">
        <v>0</v>
      </c>
      <c r="X46" s="143">
        <v>161.08888658019401</v>
      </c>
      <c r="Y46" s="143">
        <v>0</v>
      </c>
      <c r="Z46" s="143">
        <v>0</v>
      </c>
      <c r="AA46" s="143">
        <v>333.46855211387202</v>
      </c>
      <c r="AB46" s="143">
        <v>0</v>
      </c>
      <c r="AC46" s="143">
        <v>0</v>
      </c>
      <c r="AD46" s="143">
        <v>30.162738321768</v>
      </c>
      <c r="AE46" s="143">
        <v>0</v>
      </c>
      <c r="AF46" s="143">
        <v>16.4531787772092</v>
      </c>
      <c r="AG46" s="143">
        <v>0</v>
      </c>
      <c r="AH46" s="143">
        <v>0</v>
      </c>
      <c r="AI46" s="143">
        <v>0</v>
      </c>
      <c r="AJ46" s="143">
        <v>0</v>
      </c>
      <c r="AK46" s="143">
        <v>0</v>
      </c>
      <c r="AL46" s="143">
        <v>330.73086315618502</v>
      </c>
      <c r="AM46" s="143">
        <v>0</v>
      </c>
      <c r="AN46" s="143">
        <v>0</v>
      </c>
      <c r="AO46" s="143">
        <v>0</v>
      </c>
      <c r="AP46" s="143">
        <v>0</v>
      </c>
      <c r="AQ46" s="144">
        <v>0</v>
      </c>
    </row>
    <row r="47" spans="2:43" ht="12" customHeight="1" x14ac:dyDescent="0.3">
      <c r="B47" s="142" t="s">
        <v>35</v>
      </c>
      <c r="C47" s="143" t="s">
        <v>23</v>
      </c>
      <c r="D47" s="143" t="s">
        <v>25</v>
      </c>
      <c r="E47" s="143" t="s">
        <v>25</v>
      </c>
      <c r="F47" s="143" t="s">
        <v>25</v>
      </c>
      <c r="G47" s="143" t="s">
        <v>25</v>
      </c>
      <c r="H47" s="143" t="s">
        <v>72</v>
      </c>
      <c r="I47" s="143" t="s">
        <v>25</v>
      </c>
      <c r="J47" s="143">
        <v>982.06</v>
      </c>
      <c r="K47" s="143">
        <v>330.73</v>
      </c>
      <c r="L47" s="143">
        <v>13.9587807558732</v>
      </c>
      <c r="M47" s="143">
        <v>3.27432129711418</v>
      </c>
      <c r="N47" s="143">
        <v>0</v>
      </c>
      <c r="O47" s="143">
        <v>0</v>
      </c>
      <c r="P47" s="143">
        <v>0</v>
      </c>
      <c r="Q47" s="143">
        <v>92.177618542592995</v>
      </c>
      <c r="R47" s="143">
        <v>15.281700625332</v>
      </c>
      <c r="S47" s="143">
        <v>0</v>
      </c>
      <c r="T47" s="143">
        <v>0</v>
      </c>
      <c r="U47" s="143">
        <v>0</v>
      </c>
      <c r="V47" s="143">
        <v>0</v>
      </c>
      <c r="W47" s="143">
        <v>0</v>
      </c>
      <c r="X47" s="143">
        <v>264.07893727929701</v>
      </c>
      <c r="Y47" s="143">
        <v>0</v>
      </c>
      <c r="Z47" s="143">
        <v>0</v>
      </c>
      <c r="AA47" s="143">
        <v>546.67006312246895</v>
      </c>
      <c r="AB47" s="143">
        <v>0</v>
      </c>
      <c r="AC47" s="143">
        <v>0</v>
      </c>
      <c r="AD47" s="143">
        <v>30.162738321768</v>
      </c>
      <c r="AE47" s="143">
        <v>0</v>
      </c>
      <c r="AF47" s="143">
        <v>16.4531787772092</v>
      </c>
      <c r="AG47" s="143">
        <v>0</v>
      </c>
      <c r="AH47" s="143">
        <v>0</v>
      </c>
      <c r="AI47" s="143">
        <v>0</v>
      </c>
      <c r="AJ47" s="143">
        <v>0</v>
      </c>
      <c r="AK47" s="143">
        <v>0</v>
      </c>
      <c r="AL47" s="143">
        <v>330.73086315618502</v>
      </c>
      <c r="AM47" s="143">
        <v>0</v>
      </c>
      <c r="AN47" s="143">
        <v>0</v>
      </c>
      <c r="AO47" s="143">
        <v>0</v>
      </c>
      <c r="AP47" s="143">
        <v>0</v>
      </c>
      <c r="AQ47" s="144">
        <v>0</v>
      </c>
    </row>
    <row r="48" spans="2:43" ht="12" customHeight="1" x14ac:dyDescent="0.3">
      <c r="B48" s="142" t="s">
        <v>35</v>
      </c>
      <c r="C48" s="143" t="s">
        <v>87</v>
      </c>
      <c r="D48" s="143" t="s">
        <v>25</v>
      </c>
      <c r="E48" s="143" t="s">
        <v>25</v>
      </c>
      <c r="F48" s="143" t="s">
        <v>25</v>
      </c>
      <c r="G48" s="143" t="s">
        <v>25</v>
      </c>
      <c r="H48" s="143" t="s">
        <v>72</v>
      </c>
      <c r="I48" s="143" t="s">
        <v>25</v>
      </c>
      <c r="J48" s="143">
        <v>982.06</v>
      </c>
      <c r="K48" s="143">
        <v>330.73</v>
      </c>
      <c r="L48" s="143">
        <v>13.9587807558732</v>
      </c>
      <c r="M48" s="143">
        <v>3.27432129711418</v>
      </c>
      <c r="N48" s="143">
        <v>0</v>
      </c>
      <c r="O48" s="143">
        <v>0</v>
      </c>
      <c r="P48" s="143">
        <v>0</v>
      </c>
      <c r="Q48" s="143">
        <v>92.177618542592995</v>
      </c>
      <c r="R48" s="143">
        <v>15.281700625332</v>
      </c>
      <c r="S48" s="143">
        <v>0</v>
      </c>
      <c r="T48" s="143">
        <v>0</v>
      </c>
      <c r="U48" s="143">
        <v>0</v>
      </c>
      <c r="V48" s="143">
        <v>0</v>
      </c>
      <c r="W48" s="143">
        <v>0</v>
      </c>
      <c r="X48" s="143">
        <v>264.07893727929701</v>
      </c>
      <c r="Y48" s="143">
        <v>0</v>
      </c>
      <c r="Z48" s="143">
        <v>0</v>
      </c>
      <c r="AA48" s="143">
        <v>546.67006312246895</v>
      </c>
      <c r="AB48" s="143">
        <v>0</v>
      </c>
      <c r="AC48" s="143">
        <v>0</v>
      </c>
      <c r="AD48" s="143">
        <v>30.162738321768</v>
      </c>
      <c r="AE48" s="143">
        <v>0</v>
      </c>
      <c r="AF48" s="143">
        <v>16.4531787772092</v>
      </c>
      <c r="AG48" s="143">
        <v>0</v>
      </c>
      <c r="AH48" s="143">
        <v>0</v>
      </c>
      <c r="AI48" s="143">
        <v>0</v>
      </c>
      <c r="AJ48" s="143">
        <v>0</v>
      </c>
      <c r="AK48" s="143">
        <v>0</v>
      </c>
      <c r="AL48" s="143">
        <v>330.73086315618502</v>
      </c>
      <c r="AM48" s="143">
        <v>0</v>
      </c>
      <c r="AN48" s="143">
        <v>0</v>
      </c>
      <c r="AO48" s="143">
        <v>0</v>
      </c>
      <c r="AP48" s="143">
        <v>0</v>
      </c>
      <c r="AQ48" s="144">
        <v>0</v>
      </c>
    </row>
    <row r="49" spans="2:43" ht="12" customHeight="1" x14ac:dyDescent="0.3">
      <c r="B49" s="142" t="s">
        <v>46</v>
      </c>
      <c r="C49" s="143" t="s">
        <v>23</v>
      </c>
      <c r="D49" s="143" t="s">
        <v>47</v>
      </c>
      <c r="E49" s="143" t="s">
        <v>48</v>
      </c>
      <c r="F49" s="143" t="s">
        <v>25</v>
      </c>
      <c r="G49" s="143" t="s">
        <v>25</v>
      </c>
      <c r="H49" s="143" t="s">
        <v>72</v>
      </c>
      <c r="I49" s="143" t="s">
        <v>25</v>
      </c>
      <c r="J49" s="143">
        <v>540.13</v>
      </c>
      <c r="K49" s="143">
        <v>181.9</v>
      </c>
      <c r="L49" s="143">
        <v>7.6773294157302496</v>
      </c>
      <c r="M49" s="143">
        <v>1.8008767134128001</v>
      </c>
      <c r="N49" s="143">
        <v>0</v>
      </c>
      <c r="O49" s="143">
        <v>0</v>
      </c>
      <c r="P49" s="143">
        <v>0</v>
      </c>
      <c r="Q49" s="143">
        <v>50.697690198426201</v>
      </c>
      <c r="R49" s="143">
        <v>8.4049353439325891</v>
      </c>
      <c r="S49" s="143">
        <v>0</v>
      </c>
      <c r="T49" s="143">
        <v>0</v>
      </c>
      <c r="U49" s="143">
        <v>0</v>
      </c>
      <c r="V49" s="143">
        <v>0</v>
      </c>
      <c r="W49" s="143">
        <v>0</v>
      </c>
      <c r="X49" s="143">
        <v>145.24341550361299</v>
      </c>
      <c r="Y49" s="143">
        <v>0</v>
      </c>
      <c r="Z49" s="143">
        <v>0</v>
      </c>
      <c r="AA49" s="143">
        <v>300.668534717358</v>
      </c>
      <c r="AB49" s="143">
        <v>0</v>
      </c>
      <c r="AC49" s="143">
        <v>0</v>
      </c>
      <c r="AD49" s="143">
        <v>16.589506076972398</v>
      </c>
      <c r="AE49" s="143">
        <v>0</v>
      </c>
      <c r="AF49" s="143">
        <v>9.0492483274650706</v>
      </c>
      <c r="AG49" s="143">
        <v>0</v>
      </c>
      <c r="AH49" s="143">
        <v>0</v>
      </c>
      <c r="AI49" s="143">
        <v>0</v>
      </c>
      <c r="AJ49" s="143">
        <v>0</v>
      </c>
      <c r="AK49" s="143">
        <v>0</v>
      </c>
      <c r="AL49" s="143">
        <v>181.90197473590101</v>
      </c>
      <c r="AM49" s="143">
        <v>0</v>
      </c>
      <c r="AN49" s="143">
        <v>0</v>
      </c>
      <c r="AO49" s="143">
        <v>0</v>
      </c>
      <c r="AP49" s="143">
        <v>0</v>
      </c>
      <c r="AQ49" s="144">
        <v>0</v>
      </c>
    </row>
    <row r="50" spans="2:43" ht="12" customHeight="1" x14ac:dyDescent="0.3">
      <c r="B50" s="145" t="s">
        <v>46</v>
      </c>
      <c r="C50" s="146" t="s">
        <v>23</v>
      </c>
      <c r="D50" s="146" t="s">
        <v>47</v>
      </c>
      <c r="E50" s="146" t="s">
        <v>90</v>
      </c>
      <c r="F50" s="146" t="s">
        <v>25</v>
      </c>
      <c r="G50" s="146" t="s">
        <v>25</v>
      </c>
      <c r="H50" s="146" t="s">
        <v>72</v>
      </c>
      <c r="I50" s="146" t="s">
        <v>25</v>
      </c>
      <c r="J50" s="146">
        <v>589.23</v>
      </c>
      <c r="K50" s="146">
        <v>198.44</v>
      </c>
      <c r="L50" s="146">
        <v>8.3752684535238995</v>
      </c>
      <c r="M50" s="146">
        <v>1.96459277826851</v>
      </c>
      <c r="N50" s="146">
        <v>0</v>
      </c>
      <c r="O50" s="146">
        <v>0</v>
      </c>
      <c r="P50" s="146">
        <v>0</v>
      </c>
      <c r="Q50" s="146">
        <v>55.306571125555799</v>
      </c>
      <c r="R50" s="146">
        <v>9.1690203751991799</v>
      </c>
      <c r="S50" s="146">
        <v>0</v>
      </c>
      <c r="T50" s="146">
        <v>0</v>
      </c>
      <c r="U50" s="146">
        <v>0</v>
      </c>
      <c r="V50" s="146">
        <v>0</v>
      </c>
      <c r="W50" s="146">
        <v>0</v>
      </c>
      <c r="X50" s="146">
        <v>158.44736236757799</v>
      </c>
      <c r="Y50" s="146">
        <v>0</v>
      </c>
      <c r="Z50" s="146">
        <v>0</v>
      </c>
      <c r="AA50" s="146">
        <v>328.00203787348102</v>
      </c>
      <c r="AB50" s="146">
        <v>0</v>
      </c>
      <c r="AC50" s="146">
        <v>0</v>
      </c>
      <c r="AD50" s="146">
        <v>18.097642993060798</v>
      </c>
      <c r="AE50" s="146">
        <v>0</v>
      </c>
      <c r="AF50" s="146">
        <v>9.8719072663255307</v>
      </c>
      <c r="AG50" s="146">
        <v>0</v>
      </c>
      <c r="AH50" s="146">
        <v>0</v>
      </c>
      <c r="AI50" s="146">
        <v>0</v>
      </c>
      <c r="AJ50" s="146">
        <v>0</v>
      </c>
      <c r="AK50" s="146">
        <v>0</v>
      </c>
      <c r="AL50" s="146">
        <v>198.43851789371101</v>
      </c>
      <c r="AM50" s="146">
        <v>0</v>
      </c>
      <c r="AN50" s="146">
        <v>0</v>
      </c>
      <c r="AO50" s="146">
        <v>0</v>
      </c>
      <c r="AP50" s="146">
        <v>0</v>
      </c>
      <c r="AQ50" s="147">
        <v>0</v>
      </c>
    </row>
  </sheetData>
  <mergeCells count="8">
    <mergeCell ref="L1:AG1"/>
    <mergeCell ref="AH1:AQ1"/>
    <mergeCell ref="L2:S2"/>
    <mergeCell ref="T2:Z2"/>
    <mergeCell ref="AB2:AC2"/>
    <mergeCell ref="AD2:AG2"/>
    <mergeCell ref="AH2:AK2"/>
    <mergeCell ref="AM2:AP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D4D6-6C0A-4D60-9199-040179533F69}">
  <dimension ref="B1:AQ50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13.88671875" bestFit="1" customWidth="1"/>
    <col min="30" max="30" width="12" bestFit="1" customWidth="1"/>
    <col min="31" max="31" width="17.109375" bestFit="1" customWidth="1"/>
    <col min="32" max="32" width="12.21875" bestFit="1" customWidth="1"/>
    <col min="33" max="33" width="10.44140625" bestFit="1" customWidth="1"/>
    <col min="34" max="34" width="16.109375" bestFit="1" customWidth="1"/>
    <col min="35" max="35" width="9.5546875" bestFit="1" customWidth="1"/>
    <col min="36" max="36" width="12.44140625" bestFit="1" customWidth="1"/>
    <col min="37" max="37" width="11.88671875" bestFit="1" customWidth="1"/>
    <col min="38" max="38" width="13.6640625" bestFit="1" customWidth="1"/>
    <col min="39" max="39" width="24.5546875" bestFit="1" customWidth="1"/>
    <col min="40" max="40" width="17.44140625" bestFit="1" customWidth="1"/>
    <col min="41" max="41" width="13.21875" bestFit="1" customWidth="1"/>
    <col min="42" max="42" width="12.77734375" bestFit="1" customWidth="1"/>
    <col min="43" max="43" width="12.21875" bestFit="1" customWidth="1"/>
  </cols>
  <sheetData>
    <row r="1" spans="2:43" ht="12" customHeight="1" x14ac:dyDescent="0.3">
      <c r="L1" s="148" t="s">
        <v>1148</v>
      </c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9"/>
      <c r="AH1" s="148" t="s">
        <v>1149</v>
      </c>
      <c r="AI1" s="148"/>
      <c r="AJ1" s="148"/>
      <c r="AK1" s="148"/>
      <c r="AL1" s="148"/>
      <c r="AM1" s="148"/>
      <c r="AN1" s="148"/>
      <c r="AO1" s="148"/>
      <c r="AP1" s="148"/>
      <c r="AQ1" s="148"/>
    </row>
    <row r="2" spans="2:43" ht="12" customHeight="1" x14ac:dyDescent="0.3">
      <c r="L2" s="150" t="s">
        <v>471</v>
      </c>
      <c r="M2" s="150"/>
      <c r="N2" s="150"/>
      <c r="O2" s="150"/>
      <c r="P2" s="150"/>
      <c r="Q2" s="150"/>
      <c r="R2" s="150"/>
      <c r="S2" s="151"/>
      <c r="T2" s="150" t="s">
        <v>480</v>
      </c>
      <c r="U2" s="150"/>
      <c r="V2" s="150"/>
      <c r="W2" s="150"/>
      <c r="X2" s="150"/>
      <c r="Y2" s="150"/>
      <c r="Z2" s="151"/>
      <c r="AA2" s="152" t="s">
        <v>488</v>
      </c>
      <c r="AB2" s="150" t="s">
        <v>25</v>
      </c>
      <c r="AC2" s="151"/>
      <c r="AD2" s="150" t="s">
        <v>1147</v>
      </c>
      <c r="AE2" s="150"/>
      <c r="AF2" s="150"/>
      <c r="AG2" s="151"/>
      <c r="AH2" s="150" t="s">
        <v>471</v>
      </c>
      <c r="AI2" s="150"/>
      <c r="AJ2" s="150"/>
      <c r="AK2" s="151"/>
      <c r="AL2" s="152" t="s">
        <v>501</v>
      </c>
      <c r="AM2" s="150" t="s">
        <v>480</v>
      </c>
      <c r="AN2" s="150"/>
      <c r="AO2" s="150"/>
      <c r="AP2" s="151"/>
      <c r="AQ2" s="153" t="s">
        <v>1147</v>
      </c>
    </row>
    <row r="3" spans="2:43" ht="12" customHeight="1" x14ac:dyDescent="0.3">
      <c r="B3" s="139" t="s">
        <v>62</v>
      </c>
      <c r="C3" s="140" t="s">
        <v>63</v>
      </c>
      <c r="D3" s="140" t="s">
        <v>64</v>
      </c>
      <c r="E3" s="140" t="s">
        <v>65</v>
      </c>
      <c r="F3" s="140" t="s">
        <v>66</v>
      </c>
      <c r="G3" s="140" t="s">
        <v>68</v>
      </c>
      <c r="H3" s="140" t="s">
        <v>69</v>
      </c>
      <c r="I3" s="140" t="s">
        <v>747</v>
      </c>
      <c r="J3" s="140" t="s">
        <v>1112</v>
      </c>
      <c r="K3" s="140" t="s">
        <v>1113</v>
      </c>
      <c r="L3" s="140" t="s">
        <v>1114</v>
      </c>
      <c r="M3" s="140" t="s">
        <v>1115</v>
      </c>
      <c r="N3" s="140" t="s">
        <v>1116</v>
      </c>
      <c r="O3" s="140" t="s">
        <v>1117</v>
      </c>
      <c r="P3" s="140" t="s">
        <v>1118</v>
      </c>
      <c r="Q3" s="140" t="s">
        <v>1119</v>
      </c>
      <c r="R3" s="140" t="s">
        <v>1120</v>
      </c>
      <c r="S3" s="140" t="s">
        <v>1121</v>
      </c>
      <c r="T3" s="140" t="s">
        <v>1122</v>
      </c>
      <c r="U3" s="140" t="s">
        <v>1123</v>
      </c>
      <c r="V3" s="140" t="s">
        <v>1124</v>
      </c>
      <c r="W3" s="140" t="s">
        <v>1125</v>
      </c>
      <c r="X3" s="140" t="s">
        <v>1126</v>
      </c>
      <c r="Y3" s="140" t="s">
        <v>1127</v>
      </c>
      <c r="Z3" s="140" t="s">
        <v>1128</v>
      </c>
      <c r="AA3" s="140" t="s">
        <v>1129</v>
      </c>
      <c r="AB3" s="140" t="s">
        <v>1130</v>
      </c>
      <c r="AC3" s="140" t="s">
        <v>1131</v>
      </c>
      <c r="AD3" s="140" t="s">
        <v>1132</v>
      </c>
      <c r="AE3" s="140" t="s">
        <v>1133</v>
      </c>
      <c r="AF3" s="140" t="s">
        <v>1134</v>
      </c>
      <c r="AG3" s="140" t="s">
        <v>1135</v>
      </c>
      <c r="AH3" s="140" t="s">
        <v>1136</v>
      </c>
      <c r="AI3" s="140" t="s">
        <v>1137</v>
      </c>
      <c r="AJ3" s="140" t="s">
        <v>1138</v>
      </c>
      <c r="AK3" s="140" t="s">
        <v>1139</v>
      </c>
      <c r="AL3" s="140" t="s">
        <v>1140</v>
      </c>
      <c r="AM3" s="140" t="s">
        <v>1141</v>
      </c>
      <c r="AN3" s="140" t="s">
        <v>1142</v>
      </c>
      <c r="AO3" s="140" t="s">
        <v>1143</v>
      </c>
      <c r="AP3" s="140" t="s">
        <v>1144</v>
      </c>
      <c r="AQ3" s="141" t="s">
        <v>1145</v>
      </c>
    </row>
    <row r="4" spans="2:43" ht="12" customHeight="1" x14ac:dyDescent="0.3">
      <c r="B4" s="142" t="s">
        <v>37</v>
      </c>
      <c r="C4" s="143" t="s">
        <v>41</v>
      </c>
      <c r="D4" s="143" t="s">
        <v>25</v>
      </c>
      <c r="E4" s="143" t="s">
        <v>25</v>
      </c>
      <c r="F4" s="143" t="s">
        <v>80</v>
      </c>
      <c r="G4" s="143" t="s">
        <v>39</v>
      </c>
      <c r="H4" s="143" t="s">
        <v>72</v>
      </c>
      <c r="I4" s="143" t="s">
        <v>25</v>
      </c>
      <c r="J4" s="143">
        <v>22.55</v>
      </c>
      <c r="K4" s="143">
        <v>0</v>
      </c>
      <c r="L4" s="143">
        <v>0</v>
      </c>
      <c r="M4" s="143">
        <v>2.1467801709850001</v>
      </c>
      <c r="N4" s="143">
        <v>0</v>
      </c>
      <c r="O4" s="143">
        <v>0</v>
      </c>
      <c r="P4" s="143">
        <v>0</v>
      </c>
      <c r="Q4" s="143">
        <v>0</v>
      </c>
      <c r="R4" s="143">
        <v>0</v>
      </c>
      <c r="S4" s="143">
        <v>0</v>
      </c>
      <c r="T4" s="143">
        <v>0</v>
      </c>
      <c r="U4" s="143">
        <v>0</v>
      </c>
      <c r="V4" s="143">
        <v>0</v>
      </c>
      <c r="W4" s="143">
        <v>0</v>
      </c>
      <c r="X4" s="143">
        <v>0</v>
      </c>
      <c r="Y4" s="143">
        <v>0</v>
      </c>
      <c r="Z4" s="143">
        <v>0</v>
      </c>
      <c r="AA4" s="143">
        <v>0</v>
      </c>
      <c r="AB4" s="143">
        <v>0</v>
      </c>
      <c r="AC4" s="143">
        <v>0</v>
      </c>
      <c r="AD4" s="143">
        <v>9.8552865722981693</v>
      </c>
      <c r="AE4" s="143">
        <v>0</v>
      </c>
      <c r="AF4" s="143">
        <v>10.547668486503101</v>
      </c>
      <c r="AG4" s="143">
        <v>0</v>
      </c>
      <c r="AH4" s="143">
        <v>0</v>
      </c>
      <c r="AI4" s="143">
        <v>0</v>
      </c>
      <c r="AJ4" s="143">
        <v>0</v>
      </c>
      <c r="AK4" s="143">
        <v>0</v>
      </c>
      <c r="AL4" s="143">
        <v>0</v>
      </c>
      <c r="AM4" s="143">
        <v>0</v>
      </c>
      <c r="AN4" s="143">
        <v>0</v>
      </c>
      <c r="AO4" s="143">
        <v>0</v>
      </c>
      <c r="AP4" s="143">
        <v>0</v>
      </c>
      <c r="AQ4" s="144">
        <v>0</v>
      </c>
    </row>
    <row r="5" spans="2:43" ht="12" customHeight="1" x14ac:dyDescent="0.3">
      <c r="B5" s="142" t="s">
        <v>37</v>
      </c>
      <c r="C5" s="143" t="s">
        <v>41</v>
      </c>
      <c r="D5" s="143" t="s">
        <v>25</v>
      </c>
      <c r="E5" s="143" t="s">
        <v>25</v>
      </c>
      <c r="F5" s="143" t="s">
        <v>80</v>
      </c>
      <c r="G5" s="143" t="s">
        <v>39</v>
      </c>
      <c r="H5" s="143" t="s">
        <v>77</v>
      </c>
      <c r="I5" s="143" t="s">
        <v>25</v>
      </c>
      <c r="J5" s="143">
        <v>221.71</v>
      </c>
      <c r="K5" s="143">
        <v>0</v>
      </c>
      <c r="L5" s="143">
        <v>0</v>
      </c>
      <c r="M5" s="143">
        <v>0</v>
      </c>
      <c r="N5" s="143">
        <v>0</v>
      </c>
      <c r="O5" s="143">
        <v>0</v>
      </c>
      <c r="P5" s="143">
        <v>0</v>
      </c>
      <c r="Q5" s="143">
        <v>0</v>
      </c>
      <c r="R5" s="143">
        <v>0</v>
      </c>
      <c r="S5" s="143">
        <v>0</v>
      </c>
      <c r="T5" s="143">
        <v>0</v>
      </c>
      <c r="U5" s="143">
        <v>0</v>
      </c>
      <c r="V5" s="143">
        <v>0</v>
      </c>
      <c r="W5" s="143">
        <v>0</v>
      </c>
      <c r="X5" s="143">
        <v>56.814466049036902</v>
      </c>
      <c r="Y5" s="143">
        <v>0</v>
      </c>
      <c r="Z5" s="143">
        <v>0</v>
      </c>
      <c r="AA5" s="143">
        <v>164.89093374406301</v>
      </c>
      <c r="AB5" s="143">
        <v>0</v>
      </c>
      <c r="AC5" s="143">
        <v>0</v>
      </c>
      <c r="AD5" s="143">
        <v>0</v>
      </c>
      <c r="AE5" s="143">
        <v>0</v>
      </c>
      <c r="AF5" s="143">
        <v>0</v>
      </c>
      <c r="AG5" s="143">
        <v>0</v>
      </c>
      <c r="AH5" s="143">
        <v>0</v>
      </c>
      <c r="AI5" s="143">
        <v>0</v>
      </c>
      <c r="AJ5" s="143">
        <v>0</v>
      </c>
      <c r="AK5" s="143">
        <v>0</v>
      </c>
      <c r="AL5" s="143">
        <v>0</v>
      </c>
      <c r="AM5" s="143">
        <v>0</v>
      </c>
      <c r="AN5" s="143">
        <v>0</v>
      </c>
      <c r="AO5" s="143">
        <v>0</v>
      </c>
      <c r="AP5" s="143">
        <v>0</v>
      </c>
      <c r="AQ5" s="144">
        <v>0</v>
      </c>
    </row>
    <row r="6" spans="2:43" ht="12" customHeight="1" x14ac:dyDescent="0.3">
      <c r="B6" s="142" t="s">
        <v>37</v>
      </c>
      <c r="C6" s="143" t="s">
        <v>41</v>
      </c>
      <c r="D6" s="143" t="s">
        <v>25</v>
      </c>
      <c r="E6" s="143" t="s">
        <v>25</v>
      </c>
      <c r="F6" s="143" t="s">
        <v>80</v>
      </c>
      <c r="G6" s="143" t="s">
        <v>34</v>
      </c>
      <c r="H6" s="143" t="s">
        <v>72</v>
      </c>
      <c r="I6" s="143" t="s">
        <v>25</v>
      </c>
      <c r="J6" s="143">
        <v>22.55</v>
      </c>
      <c r="K6" s="143">
        <v>0</v>
      </c>
      <c r="L6" s="143">
        <v>0</v>
      </c>
      <c r="M6" s="143">
        <v>2.1467801709850001</v>
      </c>
      <c r="N6" s="143">
        <v>0</v>
      </c>
      <c r="O6" s="143">
        <v>0</v>
      </c>
      <c r="P6" s="143">
        <v>0</v>
      </c>
      <c r="Q6" s="143">
        <v>0</v>
      </c>
      <c r="R6" s="143">
        <v>0</v>
      </c>
      <c r="S6" s="143">
        <v>0</v>
      </c>
      <c r="T6" s="143">
        <v>0</v>
      </c>
      <c r="U6" s="143">
        <v>0</v>
      </c>
      <c r="V6" s="143">
        <v>0</v>
      </c>
      <c r="W6" s="143">
        <v>0</v>
      </c>
      <c r="X6" s="143">
        <v>0</v>
      </c>
      <c r="Y6" s="143">
        <v>0</v>
      </c>
      <c r="Z6" s="143">
        <v>0</v>
      </c>
      <c r="AA6" s="143">
        <v>0</v>
      </c>
      <c r="AB6" s="143">
        <v>0</v>
      </c>
      <c r="AC6" s="143">
        <v>0</v>
      </c>
      <c r="AD6" s="143">
        <v>9.8552865722981693</v>
      </c>
      <c r="AE6" s="143">
        <v>0</v>
      </c>
      <c r="AF6" s="143">
        <v>10.547668486503101</v>
      </c>
      <c r="AG6" s="143">
        <v>0</v>
      </c>
      <c r="AH6" s="143">
        <v>0</v>
      </c>
      <c r="AI6" s="143">
        <v>0</v>
      </c>
      <c r="AJ6" s="143">
        <v>0</v>
      </c>
      <c r="AK6" s="143">
        <v>0</v>
      </c>
      <c r="AL6" s="143">
        <v>0</v>
      </c>
      <c r="AM6" s="143">
        <v>0</v>
      </c>
      <c r="AN6" s="143">
        <v>0</v>
      </c>
      <c r="AO6" s="143">
        <v>0</v>
      </c>
      <c r="AP6" s="143">
        <v>0</v>
      </c>
      <c r="AQ6" s="144">
        <v>0</v>
      </c>
    </row>
    <row r="7" spans="2:43" ht="12" customHeight="1" x14ac:dyDescent="0.3">
      <c r="B7" s="142" t="s">
        <v>37</v>
      </c>
      <c r="C7" s="143" t="s">
        <v>41</v>
      </c>
      <c r="D7" s="143" t="s">
        <v>25</v>
      </c>
      <c r="E7" s="143" t="s">
        <v>25</v>
      </c>
      <c r="F7" s="143" t="s">
        <v>80</v>
      </c>
      <c r="G7" s="143" t="s">
        <v>34</v>
      </c>
      <c r="H7" s="143" t="s">
        <v>77</v>
      </c>
      <c r="I7" s="143" t="s">
        <v>25</v>
      </c>
      <c r="J7" s="143">
        <v>83.44</v>
      </c>
      <c r="K7" s="143">
        <v>0</v>
      </c>
      <c r="L7" s="143">
        <v>0</v>
      </c>
      <c r="M7" s="143">
        <v>0</v>
      </c>
      <c r="N7" s="143">
        <v>0</v>
      </c>
      <c r="O7" s="143">
        <v>0</v>
      </c>
      <c r="P7" s="143">
        <v>0</v>
      </c>
      <c r="Q7" s="143">
        <v>0</v>
      </c>
      <c r="R7" s="143">
        <v>0</v>
      </c>
      <c r="S7" s="143">
        <v>0</v>
      </c>
      <c r="T7" s="143">
        <v>0</v>
      </c>
      <c r="U7" s="143">
        <v>0</v>
      </c>
      <c r="V7" s="143">
        <v>0</v>
      </c>
      <c r="W7" s="143">
        <v>0</v>
      </c>
      <c r="X7" s="143">
        <v>30.842310541534999</v>
      </c>
      <c r="Y7" s="143">
        <v>0</v>
      </c>
      <c r="Z7" s="143">
        <v>0</v>
      </c>
      <c r="AA7" s="143">
        <v>52.600844902090103</v>
      </c>
      <c r="AB7" s="143">
        <v>0</v>
      </c>
      <c r="AC7" s="143">
        <v>0</v>
      </c>
      <c r="AD7" s="143">
        <v>0</v>
      </c>
      <c r="AE7" s="143">
        <v>0</v>
      </c>
      <c r="AF7" s="143">
        <v>0</v>
      </c>
      <c r="AG7" s="143">
        <v>0</v>
      </c>
      <c r="AH7" s="143">
        <v>0</v>
      </c>
      <c r="AI7" s="143">
        <v>0</v>
      </c>
      <c r="AJ7" s="143">
        <v>0</v>
      </c>
      <c r="AK7" s="143">
        <v>0</v>
      </c>
      <c r="AL7" s="143">
        <v>0</v>
      </c>
      <c r="AM7" s="143">
        <v>0</v>
      </c>
      <c r="AN7" s="143">
        <v>0</v>
      </c>
      <c r="AO7" s="143">
        <v>0</v>
      </c>
      <c r="AP7" s="143">
        <v>0</v>
      </c>
      <c r="AQ7" s="144">
        <v>0</v>
      </c>
    </row>
    <row r="8" spans="2:43" ht="12" customHeight="1" x14ac:dyDescent="0.3">
      <c r="B8" s="142" t="s">
        <v>37</v>
      </c>
      <c r="C8" s="143" t="s">
        <v>41</v>
      </c>
      <c r="D8" s="143" t="s">
        <v>25</v>
      </c>
      <c r="E8" s="143" t="s">
        <v>25</v>
      </c>
      <c r="F8" s="143" t="s">
        <v>25</v>
      </c>
      <c r="G8" s="143" t="s">
        <v>39</v>
      </c>
      <c r="H8" s="143" t="s">
        <v>72</v>
      </c>
      <c r="I8" s="143" t="s">
        <v>25</v>
      </c>
      <c r="J8" s="143">
        <v>127.12</v>
      </c>
      <c r="K8" s="143">
        <v>253.58</v>
      </c>
      <c r="L8" s="143">
        <v>11.7253758349335</v>
      </c>
      <c r="M8" s="143">
        <v>2.1467801709850001</v>
      </c>
      <c r="N8" s="143">
        <v>0</v>
      </c>
      <c r="O8" s="143">
        <v>0</v>
      </c>
      <c r="P8" s="143">
        <v>0</v>
      </c>
      <c r="Q8" s="143">
        <v>77.559122561238098</v>
      </c>
      <c r="R8" s="143">
        <v>15.288559577366099</v>
      </c>
      <c r="S8" s="143">
        <v>0</v>
      </c>
      <c r="T8" s="143">
        <v>0</v>
      </c>
      <c r="U8" s="143">
        <v>0</v>
      </c>
      <c r="V8" s="143">
        <v>0</v>
      </c>
      <c r="W8" s="143">
        <v>0</v>
      </c>
      <c r="X8" s="143">
        <v>0</v>
      </c>
      <c r="Y8" s="143">
        <v>0</v>
      </c>
      <c r="Z8" s="143">
        <v>0</v>
      </c>
      <c r="AA8" s="143">
        <v>0</v>
      </c>
      <c r="AB8" s="143">
        <v>0</v>
      </c>
      <c r="AC8" s="143">
        <v>0</v>
      </c>
      <c r="AD8" s="143">
        <v>9.8552865722981693</v>
      </c>
      <c r="AE8" s="143">
        <v>0</v>
      </c>
      <c r="AF8" s="143">
        <v>10.547668486503101</v>
      </c>
      <c r="AG8" s="143">
        <v>0</v>
      </c>
      <c r="AH8" s="143">
        <v>0</v>
      </c>
      <c r="AI8" s="143">
        <v>0</v>
      </c>
      <c r="AJ8" s="143">
        <v>0</v>
      </c>
      <c r="AK8" s="143">
        <v>0</v>
      </c>
      <c r="AL8" s="143">
        <v>253.58284698352901</v>
      </c>
      <c r="AM8" s="143">
        <v>0</v>
      </c>
      <c r="AN8" s="143">
        <v>0</v>
      </c>
      <c r="AO8" s="143">
        <v>0</v>
      </c>
      <c r="AP8" s="143">
        <v>0</v>
      </c>
      <c r="AQ8" s="144">
        <v>0</v>
      </c>
    </row>
    <row r="9" spans="2:43" ht="12" customHeight="1" x14ac:dyDescent="0.3">
      <c r="B9" s="142" t="s">
        <v>37</v>
      </c>
      <c r="C9" s="143" t="s">
        <v>41</v>
      </c>
      <c r="D9" s="143" t="s">
        <v>25</v>
      </c>
      <c r="E9" s="143" t="s">
        <v>25</v>
      </c>
      <c r="F9" s="143" t="s">
        <v>25</v>
      </c>
      <c r="G9" s="143" t="s">
        <v>39</v>
      </c>
      <c r="H9" s="143" t="s">
        <v>77</v>
      </c>
      <c r="I9" s="143" t="s">
        <v>25</v>
      </c>
      <c r="J9" s="143">
        <v>221.71</v>
      </c>
      <c r="K9" s="143">
        <v>0</v>
      </c>
      <c r="L9" s="143">
        <v>0</v>
      </c>
      <c r="M9" s="143">
        <v>0</v>
      </c>
      <c r="N9" s="143">
        <v>0</v>
      </c>
      <c r="O9" s="143">
        <v>0</v>
      </c>
      <c r="P9" s="143">
        <v>0</v>
      </c>
      <c r="Q9" s="143">
        <v>0</v>
      </c>
      <c r="R9" s="143">
        <v>0</v>
      </c>
      <c r="S9" s="143">
        <v>0</v>
      </c>
      <c r="T9" s="143">
        <v>0</v>
      </c>
      <c r="U9" s="143">
        <v>0</v>
      </c>
      <c r="V9" s="143">
        <v>0</v>
      </c>
      <c r="W9" s="143">
        <v>0</v>
      </c>
      <c r="X9" s="143">
        <v>56.814466049036902</v>
      </c>
      <c r="Y9" s="143">
        <v>0</v>
      </c>
      <c r="Z9" s="143">
        <v>0</v>
      </c>
      <c r="AA9" s="143">
        <v>164.89093374406301</v>
      </c>
      <c r="AB9" s="143">
        <v>0</v>
      </c>
      <c r="AC9" s="143">
        <v>0</v>
      </c>
      <c r="AD9" s="143">
        <v>0</v>
      </c>
      <c r="AE9" s="143">
        <v>0</v>
      </c>
      <c r="AF9" s="143">
        <v>0</v>
      </c>
      <c r="AG9" s="143">
        <v>0</v>
      </c>
      <c r="AH9" s="143">
        <v>0</v>
      </c>
      <c r="AI9" s="143">
        <v>0</v>
      </c>
      <c r="AJ9" s="143">
        <v>0</v>
      </c>
      <c r="AK9" s="143">
        <v>0</v>
      </c>
      <c r="AL9" s="143">
        <v>0</v>
      </c>
      <c r="AM9" s="143">
        <v>0</v>
      </c>
      <c r="AN9" s="143">
        <v>0</v>
      </c>
      <c r="AO9" s="143">
        <v>0</v>
      </c>
      <c r="AP9" s="143">
        <v>0</v>
      </c>
      <c r="AQ9" s="144">
        <v>0</v>
      </c>
    </row>
    <row r="10" spans="2:43" ht="12" customHeight="1" x14ac:dyDescent="0.3">
      <c r="B10" s="142" t="s">
        <v>37</v>
      </c>
      <c r="C10" s="143" t="s">
        <v>41</v>
      </c>
      <c r="D10" s="143" t="s">
        <v>25</v>
      </c>
      <c r="E10" s="143" t="s">
        <v>25</v>
      </c>
      <c r="F10" s="143" t="s">
        <v>25</v>
      </c>
      <c r="G10" s="143" t="s">
        <v>34</v>
      </c>
      <c r="H10" s="143" t="s">
        <v>72</v>
      </c>
      <c r="I10" s="143" t="s">
        <v>25</v>
      </c>
      <c r="J10" s="143">
        <v>127.12</v>
      </c>
      <c r="K10" s="143">
        <v>253.58</v>
      </c>
      <c r="L10" s="143">
        <v>11.7253758349335</v>
      </c>
      <c r="M10" s="143">
        <v>2.1467801709850001</v>
      </c>
      <c r="N10" s="143">
        <v>0</v>
      </c>
      <c r="O10" s="143">
        <v>0</v>
      </c>
      <c r="P10" s="143">
        <v>0</v>
      </c>
      <c r="Q10" s="143">
        <v>77.559122561238098</v>
      </c>
      <c r="R10" s="143">
        <v>15.288559577366099</v>
      </c>
      <c r="S10" s="143">
        <v>0</v>
      </c>
      <c r="T10" s="143">
        <v>0</v>
      </c>
      <c r="U10" s="143">
        <v>0</v>
      </c>
      <c r="V10" s="143">
        <v>0</v>
      </c>
      <c r="W10" s="143">
        <v>0</v>
      </c>
      <c r="X10" s="143">
        <v>0</v>
      </c>
      <c r="Y10" s="143">
        <v>0</v>
      </c>
      <c r="Z10" s="143">
        <v>0</v>
      </c>
      <c r="AA10" s="143">
        <v>0</v>
      </c>
      <c r="AB10" s="143">
        <v>0</v>
      </c>
      <c r="AC10" s="143">
        <v>0</v>
      </c>
      <c r="AD10" s="143">
        <v>9.8552865722981693</v>
      </c>
      <c r="AE10" s="143">
        <v>0</v>
      </c>
      <c r="AF10" s="143">
        <v>10.547668486503101</v>
      </c>
      <c r="AG10" s="143">
        <v>0</v>
      </c>
      <c r="AH10" s="143">
        <v>0</v>
      </c>
      <c r="AI10" s="143">
        <v>0</v>
      </c>
      <c r="AJ10" s="143">
        <v>0</v>
      </c>
      <c r="AK10" s="143">
        <v>0</v>
      </c>
      <c r="AL10" s="143">
        <v>253.58284698352901</v>
      </c>
      <c r="AM10" s="143">
        <v>0</v>
      </c>
      <c r="AN10" s="143">
        <v>0</v>
      </c>
      <c r="AO10" s="143">
        <v>0</v>
      </c>
      <c r="AP10" s="143">
        <v>0</v>
      </c>
      <c r="AQ10" s="144">
        <v>0</v>
      </c>
    </row>
    <row r="11" spans="2:43" ht="12" customHeight="1" x14ac:dyDescent="0.3">
      <c r="B11" s="142" t="s">
        <v>37</v>
      </c>
      <c r="C11" s="143" t="s">
        <v>41</v>
      </c>
      <c r="D11" s="143" t="s">
        <v>25</v>
      </c>
      <c r="E11" s="143" t="s">
        <v>25</v>
      </c>
      <c r="F11" s="143" t="s">
        <v>25</v>
      </c>
      <c r="G11" s="143" t="s">
        <v>34</v>
      </c>
      <c r="H11" s="143" t="s">
        <v>77</v>
      </c>
      <c r="I11" s="143" t="s">
        <v>25</v>
      </c>
      <c r="J11" s="143">
        <v>83.44</v>
      </c>
      <c r="K11" s="143">
        <v>0</v>
      </c>
      <c r="L11" s="143">
        <v>0</v>
      </c>
      <c r="M11" s="143">
        <v>0</v>
      </c>
      <c r="N11" s="143">
        <v>0</v>
      </c>
      <c r="O11" s="143">
        <v>0</v>
      </c>
      <c r="P11" s="143">
        <v>0</v>
      </c>
      <c r="Q11" s="143">
        <v>0</v>
      </c>
      <c r="R11" s="143">
        <v>0</v>
      </c>
      <c r="S11" s="143">
        <v>0</v>
      </c>
      <c r="T11" s="143">
        <v>0</v>
      </c>
      <c r="U11" s="143">
        <v>0</v>
      </c>
      <c r="V11" s="143">
        <v>0</v>
      </c>
      <c r="W11" s="143">
        <v>0</v>
      </c>
      <c r="X11" s="143">
        <v>30.842310541534999</v>
      </c>
      <c r="Y11" s="143">
        <v>0</v>
      </c>
      <c r="Z11" s="143">
        <v>0</v>
      </c>
      <c r="AA11" s="143">
        <v>52.600844902090103</v>
      </c>
      <c r="AB11" s="143">
        <v>0</v>
      </c>
      <c r="AC11" s="143">
        <v>0</v>
      </c>
      <c r="AD11" s="143">
        <v>0</v>
      </c>
      <c r="AE11" s="143">
        <v>0</v>
      </c>
      <c r="AF11" s="143">
        <v>0</v>
      </c>
      <c r="AG11" s="143">
        <v>0</v>
      </c>
      <c r="AH11" s="143">
        <v>0</v>
      </c>
      <c r="AI11" s="143">
        <v>0</v>
      </c>
      <c r="AJ11" s="143">
        <v>0</v>
      </c>
      <c r="AK11" s="143">
        <v>0</v>
      </c>
      <c r="AL11" s="143">
        <v>0</v>
      </c>
      <c r="AM11" s="143">
        <v>0</v>
      </c>
      <c r="AN11" s="143">
        <v>0</v>
      </c>
      <c r="AO11" s="143">
        <v>0</v>
      </c>
      <c r="AP11" s="143">
        <v>0</v>
      </c>
      <c r="AQ11" s="144">
        <v>0</v>
      </c>
    </row>
    <row r="12" spans="2:43" ht="12" customHeight="1" x14ac:dyDescent="0.3">
      <c r="B12" s="142" t="s">
        <v>37</v>
      </c>
      <c r="C12" s="143" t="s">
        <v>23</v>
      </c>
      <c r="D12" s="143" t="s">
        <v>25</v>
      </c>
      <c r="E12" s="143" t="s">
        <v>25</v>
      </c>
      <c r="F12" s="143" t="s">
        <v>25</v>
      </c>
      <c r="G12" s="143" t="s">
        <v>25</v>
      </c>
      <c r="H12" s="143" t="s">
        <v>72</v>
      </c>
      <c r="I12" s="143" t="s">
        <v>25</v>
      </c>
      <c r="J12" s="143">
        <v>0</v>
      </c>
      <c r="K12" s="143">
        <v>253.58</v>
      </c>
      <c r="L12" s="143">
        <v>0</v>
      </c>
      <c r="M12" s="143">
        <v>0</v>
      </c>
      <c r="N12" s="143">
        <v>0</v>
      </c>
      <c r="O12" s="143">
        <v>0</v>
      </c>
      <c r="P12" s="143">
        <v>0</v>
      </c>
      <c r="Q12" s="143">
        <v>0</v>
      </c>
      <c r="R12" s="143">
        <v>0</v>
      </c>
      <c r="S12" s="143">
        <v>0</v>
      </c>
      <c r="T12" s="143">
        <v>0</v>
      </c>
      <c r="U12" s="143">
        <v>0</v>
      </c>
      <c r="V12" s="143">
        <v>0</v>
      </c>
      <c r="W12" s="143">
        <v>0</v>
      </c>
      <c r="X12" s="143">
        <v>0</v>
      </c>
      <c r="Y12" s="143">
        <v>0</v>
      </c>
      <c r="Z12" s="143">
        <v>0</v>
      </c>
      <c r="AA12" s="143">
        <v>0</v>
      </c>
      <c r="AB12" s="143">
        <v>0</v>
      </c>
      <c r="AC12" s="143">
        <v>0</v>
      </c>
      <c r="AD12" s="143">
        <v>0</v>
      </c>
      <c r="AE12" s="143">
        <v>0</v>
      </c>
      <c r="AF12" s="143">
        <v>0</v>
      </c>
      <c r="AG12" s="143">
        <v>0</v>
      </c>
      <c r="AH12" s="143">
        <v>0</v>
      </c>
      <c r="AI12" s="143">
        <v>0</v>
      </c>
      <c r="AJ12" s="143">
        <v>0</v>
      </c>
      <c r="AK12" s="143">
        <v>0</v>
      </c>
      <c r="AL12" s="143">
        <v>253.58284698352901</v>
      </c>
      <c r="AM12" s="143">
        <v>0</v>
      </c>
      <c r="AN12" s="143">
        <v>0</v>
      </c>
      <c r="AO12" s="143">
        <v>0</v>
      </c>
      <c r="AP12" s="143">
        <v>0</v>
      </c>
      <c r="AQ12" s="144">
        <v>0</v>
      </c>
    </row>
    <row r="13" spans="2:43" ht="12" customHeight="1" x14ac:dyDescent="0.3">
      <c r="B13" s="142" t="s">
        <v>37</v>
      </c>
      <c r="C13" s="143" t="s">
        <v>81</v>
      </c>
      <c r="D13" s="143" t="s">
        <v>25</v>
      </c>
      <c r="E13" s="143" t="s">
        <v>25</v>
      </c>
      <c r="F13" s="143" t="s">
        <v>25</v>
      </c>
      <c r="G13" s="143" t="s">
        <v>25</v>
      </c>
      <c r="H13" s="143" t="s">
        <v>77</v>
      </c>
      <c r="I13" s="143" t="s">
        <v>25</v>
      </c>
      <c r="J13" s="143">
        <v>22.8</v>
      </c>
      <c r="K13" s="143">
        <v>0</v>
      </c>
      <c r="L13" s="143">
        <v>0</v>
      </c>
      <c r="M13" s="143">
        <v>2.8912960610824601E-2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3">
        <v>0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22.768952852854</v>
      </c>
      <c r="AB13" s="143">
        <v>0</v>
      </c>
      <c r="AC13" s="143">
        <v>0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4">
        <v>0</v>
      </c>
    </row>
    <row r="14" spans="2:43" ht="12" customHeight="1" x14ac:dyDescent="0.3">
      <c r="B14" s="142" t="s">
        <v>37</v>
      </c>
      <c r="C14" s="143" t="s">
        <v>38</v>
      </c>
      <c r="D14" s="143" t="s">
        <v>25</v>
      </c>
      <c r="E14" s="143" t="s">
        <v>25</v>
      </c>
      <c r="F14" s="143" t="s">
        <v>80</v>
      </c>
      <c r="G14" s="143" t="s">
        <v>39</v>
      </c>
      <c r="H14" s="143" t="s">
        <v>72</v>
      </c>
      <c r="I14" s="143" t="s">
        <v>25</v>
      </c>
      <c r="J14" s="143">
        <v>5354.59</v>
      </c>
      <c r="K14" s="143">
        <v>0</v>
      </c>
      <c r="L14" s="143">
        <v>0</v>
      </c>
      <c r="M14" s="143">
        <v>2.1467801709850001</v>
      </c>
      <c r="N14" s="143">
        <v>0</v>
      </c>
      <c r="O14" s="143">
        <v>0</v>
      </c>
      <c r="P14" s="143">
        <v>0</v>
      </c>
      <c r="Q14" s="143">
        <v>0</v>
      </c>
      <c r="R14" s="143">
        <v>0</v>
      </c>
      <c r="S14" s="143">
        <v>0</v>
      </c>
      <c r="T14" s="143">
        <v>0</v>
      </c>
      <c r="U14" s="143">
        <v>0</v>
      </c>
      <c r="V14" s="143">
        <v>0</v>
      </c>
      <c r="W14" s="143">
        <v>0</v>
      </c>
      <c r="X14" s="143">
        <v>1366.40023722448</v>
      </c>
      <c r="Y14" s="143">
        <v>0</v>
      </c>
      <c r="Z14" s="143">
        <v>0</v>
      </c>
      <c r="AA14" s="143">
        <v>3965.6360029139</v>
      </c>
      <c r="AB14" s="143">
        <v>0</v>
      </c>
      <c r="AC14" s="143">
        <v>0</v>
      </c>
      <c r="AD14" s="143">
        <v>9.8552865722981693</v>
      </c>
      <c r="AE14" s="143">
        <v>0</v>
      </c>
      <c r="AF14" s="143">
        <v>10.547668486503101</v>
      </c>
      <c r="AG14" s="143">
        <v>0</v>
      </c>
      <c r="AH14" s="143">
        <v>0</v>
      </c>
      <c r="AI14" s="143">
        <v>0</v>
      </c>
      <c r="AJ14" s="143">
        <v>0</v>
      </c>
      <c r="AK14" s="143">
        <v>0</v>
      </c>
      <c r="AL14" s="143">
        <v>0</v>
      </c>
      <c r="AM14" s="143">
        <v>0</v>
      </c>
      <c r="AN14" s="143">
        <v>0</v>
      </c>
      <c r="AO14" s="143">
        <v>0</v>
      </c>
      <c r="AP14" s="143">
        <v>0</v>
      </c>
      <c r="AQ14" s="144">
        <v>0</v>
      </c>
    </row>
    <row r="15" spans="2:43" ht="12" customHeight="1" x14ac:dyDescent="0.3">
      <c r="B15" s="142" t="s">
        <v>37</v>
      </c>
      <c r="C15" s="143" t="s">
        <v>38</v>
      </c>
      <c r="D15" s="143" t="s">
        <v>25</v>
      </c>
      <c r="E15" s="143" t="s">
        <v>25</v>
      </c>
      <c r="F15" s="143" t="s">
        <v>80</v>
      </c>
      <c r="G15" s="143" t="s">
        <v>25</v>
      </c>
      <c r="H15" s="143" t="s">
        <v>77</v>
      </c>
      <c r="I15" s="143" t="s">
        <v>25</v>
      </c>
      <c r="J15" s="143">
        <v>83.44</v>
      </c>
      <c r="K15" s="143">
        <v>0</v>
      </c>
      <c r="L15" s="143">
        <v>0</v>
      </c>
      <c r="M15" s="143">
        <v>0</v>
      </c>
      <c r="N15" s="143">
        <v>0</v>
      </c>
      <c r="O15" s="143">
        <v>0</v>
      </c>
      <c r="P15" s="143">
        <v>0</v>
      </c>
      <c r="Q15" s="143">
        <v>0</v>
      </c>
      <c r="R15" s="143">
        <v>0</v>
      </c>
      <c r="S15" s="143">
        <v>0</v>
      </c>
      <c r="T15" s="143">
        <v>0</v>
      </c>
      <c r="U15" s="143">
        <v>0</v>
      </c>
      <c r="V15" s="143">
        <v>0</v>
      </c>
      <c r="W15" s="143">
        <v>0</v>
      </c>
      <c r="X15" s="143">
        <v>30.842310541534999</v>
      </c>
      <c r="Y15" s="143">
        <v>0</v>
      </c>
      <c r="Z15" s="143">
        <v>0</v>
      </c>
      <c r="AA15" s="143">
        <v>52.600844902090103</v>
      </c>
      <c r="AB15" s="143">
        <v>0</v>
      </c>
      <c r="AC15" s="143">
        <v>0</v>
      </c>
      <c r="AD15" s="143">
        <v>0</v>
      </c>
      <c r="AE15" s="143">
        <v>0</v>
      </c>
      <c r="AF15" s="143">
        <v>0</v>
      </c>
      <c r="AG15" s="143">
        <v>0</v>
      </c>
      <c r="AH15" s="143">
        <v>0</v>
      </c>
      <c r="AI15" s="143">
        <v>0</v>
      </c>
      <c r="AJ15" s="143">
        <v>0</v>
      </c>
      <c r="AK15" s="143">
        <v>0</v>
      </c>
      <c r="AL15" s="143">
        <v>0</v>
      </c>
      <c r="AM15" s="143">
        <v>0</v>
      </c>
      <c r="AN15" s="143">
        <v>0</v>
      </c>
      <c r="AO15" s="143">
        <v>0</v>
      </c>
      <c r="AP15" s="143">
        <v>0</v>
      </c>
      <c r="AQ15" s="144">
        <v>0</v>
      </c>
    </row>
    <row r="16" spans="2:43" ht="12" customHeight="1" x14ac:dyDescent="0.3">
      <c r="B16" s="142" t="s">
        <v>37</v>
      </c>
      <c r="C16" s="143" t="s">
        <v>38</v>
      </c>
      <c r="D16" s="143" t="s">
        <v>25</v>
      </c>
      <c r="E16" s="143" t="s">
        <v>25</v>
      </c>
      <c r="F16" s="143" t="s">
        <v>80</v>
      </c>
      <c r="G16" s="143" t="s">
        <v>34</v>
      </c>
      <c r="H16" s="143" t="s">
        <v>72</v>
      </c>
      <c r="I16" s="143" t="s">
        <v>25</v>
      </c>
      <c r="J16" s="143">
        <v>22.55</v>
      </c>
      <c r="K16" s="143">
        <v>0</v>
      </c>
      <c r="L16" s="143">
        <v>0</v>
      </c>
      <c r="M16" s="143">
        <v>2.1467801709850001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43">
        <v>0</v>
      </c>
      <c r="U16" s="143">
        <v>0</v>
      </c>
      <c r="V16" s="143">
        <v>0</v>
      </c>
      <c r="W16" s="143">
        <v>0</v>
      </c>
      <c r="X16" s="143">
        <v>0</v>
      </c>
      <c r="Y16" s="143">
        <v>0</v>
      </c>
      <c r="Z16" s="143">
        <v>0</v>
      </c>
      <c r="AA16" s="143">
        <v>0</v>
      </c>
      <c r="AB16" s="143">
        <v>0</v>
      </c>
      <c r="AC16" s="143">
        <v>0</v>
      </c>
      <c r="AD16" s="143">
        <v>9.8552865722981693</v>
      </c>
      <c r="AE16" s="143">
        <v>0</v>
      </c>
      <c r="AF16" s="143">
        <v>10.547668486503101</v>
      </c>
      <c r="AG16" s="143">
        <v>0</v>
      </c>
      <c r="AH16" s="143">
        <v>0</v>
      </c>
      <c r="AI16" s="143">
        <v>0</v>
      </c>
      <c r="AJ16" s="143">
        <v>0</v>
      </c>
      <c r="AK16" s="143">
        <v>0</v>
      </c>
      <c r="AL16" s="143">
        <v>0</v>
      </c>
      <c r="AM16" s="143">
        <v>0</v>
      </c>
      <c r="AN16" s="143">
        <v>0</v>
      </c>
      <c r="AO16" s="143">
        <v>0</v>
      </c>
      <c r="AP16" s="143">
        <v>0</v>
      </c>
      <c r="AQ16" s="144">
        <v>0</v>
      </c>
    </row>
    <row r="17" spans="2:43" ht="12" customHeight="1" x14ac:dyDescent="0.3">
      <c r="B17" s="142" t="s">
        <v>37</v>
      </c>
      <c r="C17" s="143" t="s">
        <v>38</v>
      </c>
      <c r="D17" s="143" t="s">
        <v>25</v>
      </c>
      <c r="E17" s="143" t="s">
        <v>25</v>
      </c>
      <c r="F17" s="143" t="s">
        <v>25</v>
      </c>
      <c r="G17" s="143" t="s">
        <v>39</v>
      </c>
      <c r="H17" s="143" t="s">
        <v>72</v>
      </c>
      <c r="I17" s="143" t="s">
        <v>25</v>
      </c>
      <c r="J17" s="143">
        <v>5459.16</v>
      </c>
      <c r="K17" s="143">
        <v>253.58</v>
      </c>
      <c r="L17" s="143">
        <v>11.7253758349335</v>
      </c>
      <c r="M17" s="143">
        <v>2.1467801709850001</v>
      </c>
      <c r="N17" s="143">
        <v>0</v>
      </c>
      <c r="O17" s="143">
        <v>0</v>
      </c>
      <c r="P17" s="143">
        <v>0</v>
      </c>
      <c r="Q17" s="143">
        <v>77.559122561238098</v>
      </c>
      <c r="R17" s="143">
        <v>15.288559577366099</v>
      </c>
      <c r="S17" s="143">
        <v>0</v>
      </c>
      <c r="T17" s="143">
        <v>0</v>
      </c>
      <c r="U17" s="143">
        <v>0</v>
      </c>
      <c r="V17" s="143">
        <v>0</v>
      </c>
      <c r="W17" s="143">
        <v>0</v>
      </c>
      <c r="X17" s="143">
        <v>1366.40023722448</v>
      </c>
      <c r="Y17" s="143">
        <v>0</v>
      </c>
      <c r="Z17" s="143">
        <v>0</v>
      </c>
      <c r="AA17" s="143">
        <v>3965.6360029139</v>
      </c>
      <c r="AB17" s="143">
        <v>0</v>
      </c>
      <c r="AC17" s="143">
        <v>0</v>
      </c>
      <c r="AD17" s="143">
        <v>9.8552865722981693</v>
      </c>
      <c r="AE17" s="143">
        <v>0</v>
      </c>
      <c r="AF17" s="143">
        <v>10.547668486503101</v>
      </c>
      <c r="AG17" s="143">
        <v>0</v>
      </c>
      <c r="AH17" s="143">
        <v>0</v>
      </c>
      <c r="AI17" s="143">
        <v>0</v>
      </c>
      <c r="AJ17" s="143">
        <v>0</v>
      </c>
      <c r="AK17" s="143">
        <v>0</v>
      </c>
      <c r="AL17" s="143">
        <v>253.58284698352901</v>
      </c>
      <c r="AM17" s="143">
        <v>0</v>
      </c>
      <c r="AN17" s="143">
        <v>0</v>
      </c>
      <c r="AO17" s="143">
        <v>0</v>
      </c>
      <c r="AP17" s="143">
        <v>0</v>
      </c>
      <c r="AQ17" s="144">
        <v>0</v>
      </c>
    </row>
    <row r="18" spans="2:43" ht="12" customHeight="1" x14ac:dyDescent="0.3">
      <c r="B18" s="142" t="s">
        <v>37</v>
      </c>
      <c r="C18" s="143" t="s">
        <v>38</v>
      </c>
      <c r="D18" s="143" t="s">
        <v>25</v>
      </c>
      <c r="E18" s="143" t="s">
        <v>25</v>
      </c>
      <c r="F18" s="143" t="s">
        <v>25</v>
      </c>
      <c r="G18" s="143" t="s">
        <v>25</v>
      </c>
      <c r="H18" s="143" t="s">
        <v>77</v>
      </c>
      <c r="I18" s="143" t="s">
        <v>25</v>
      </c>
      <c r="J18" s="143">
        <v>83.44</v>
      </c>
      <c r="K18" s="143">
        <v>0</v>
      </c>
      <c r="L18" s="143">
        <v>0</v>
      </c>
      <c r="M18" s="143">
        <v>0</v>
      </c>
      <c r="N18" s="143">
        <v>0</v>
      </c>
      <c r="O18" s="143">
        <v>0</v>
      </c>
      <c r="P18" s="143">
        <v>0</v>
      </c>
      <c r="Q18" s="143">
        <v>0</v>
      </c>
      <c r="R18" s="143">
        <v>0</v>
      </c>
      <c r="S18" s="143">
        <v>0</v>
      </c>
      <c r="T18" s="143">
        <v>0</v>
      </c>
      <c r="U18" s="143">
        <v>0</v>
      </c>
      <c r="V18" s="143">
        <v>0</v>
      </c>
      <c r="W18" s="143">
        <v>0</v>
      </c>
      <c r="X18" s="143">
        <v>30.842310541534999</v>
      </c>
      <c r="Y18" s="143">
        <v>0</v>
      </c>
      <c r="Z18" s="143">
        <v>0</v>
      </c>
      <c r="AA18" s="143">
        <v>52.600844902090103</v>
      </c>
      <c r="AB18" s="143">
        <v>0</v>
      </c>
      <c r="AC18" s="143">
        <v>0</v>
      </c>
      <c r="AD18" s="143">
        <v>0</v>
      </c>
      <c r="AE18" s="143">
        <v>0</v>
      </c>
      <c r="AF18" s="143">
        <v>0</v>
      </c>
      <c r="AG18" s="143">
        <v>0</v>
      </c>
      <c r="AH18" s="143">
        <v>0</v>
      </c>
      <c r="AI18" s="143">
        <v>0</v>
      </c>
      <c r="AJ18" s="143">
        <v>0</v>
      </c>
      <c r="AK18" s="143">
        <v>0</v>
      </c>
      <c r="AL18" s="143">
        <v>0</v>
      </c>
      <c r="AM18" s="143">
        <v>0</v>
      </c>
      <c r="AN18" s="143">
        <v>0</v>
      </c>
      <c r="AO18" s="143">
        <v>0</v>
      </c>
      <c r="AP18" s="143">
        <v>0</v>
      </c>
      <c r="AQ18" s="144">
        <v>0</v>
      </c>
    </row>
    <row r="19" spans="2:43" ht="12" customHeight="1" x14ac:dyDescent="0.3">
      <c r="B19" s="142" t="s">
        <v>37</v>
      </c>
      <c r="C19" s="143" t="s">
        <v>38</v>
      </c>
      <c r="D19" s="143" t="s">
        <v>25</v>
      </c>
      <c r="E19" s="143" t="s">
        <v>25</v>
      </c>
      <c r="F19" s="143" t="s">
        <v>25</v>
      </c>
      <c r="G19" s="143" t="s">
        <v>34</v>
      </c>
      <c r="H19" s="143" t="s">
        <v>72</v>
      </c>
      <c r="I19" s="143" t="s">
        <v>25</v>
      </c>
      <c r="J19" s="143">
        <v>127.12</v>
      </c>
      <c r="K19" s="143">
        <v>253.58</v>
      </c>
      <c r="L19" s="143">
        <v>11.7253758349335</v>
      </c>
      <c r="M19" s="143">
        <v>2.1467801709850001</v>
      </c>
      <c r="N19" s="143">
        <v>0</v>
      </c>
      <c r="O19" s="143">
        <v>0</v>
      </c>
      <c r="P19" s="143">
        <v>0</v>
      </c>
      <c r="Q19" s="143">
        <v>77.559122561238098</v>
      </c>
      <c r="R19" s="143">
        <v>15.288559577366099</v>
      </c>
      <c r="S19" s="143">
        <v>0</v>
      </c>
      <c r="T19" s="143">
        <v>0</v>
      </c>
      <c r="U19" s="143">
        <v>0</v>
      </c>
      <c r="V19" s="143">
        <v>0</v>
      </c>
      <c r="W19" s="143">
        <v>0</v>
      </c>
      <c r="X19" s="143">
        <v>0</v>
      </c>
      <c r="Y19" s="143">
        <v>0</v>
      </c>
      <c r="Z19" s="143">
        <v>0</v>
      </c>
      <c r="AA19" s="143">
        <v>0</v>
      </c>
      <c r="AB19" s="143">
        <v>0</v>
      </c>
      <c r="AC19" s="143">
        <v>0</v>
      </c>
      <c r="AD19" s="143">
        <v>9.8552865722981693</v>
      </c>
      <c r="AE19" s="143">
        <v>0</v>
      </c>
      <c r="AF19" s="143">
        <v>10.547668486503101</v>
      </c>
      <c r="AG19" s="143">
        <v>0</v>
      </c>
      <c r="AH19" s="143">
        <v>0</v>
      </c>
      <c r="AI19" s="143">
        <v>0</v>
      </c>
      <c r="AJ19" s="143">
        <v>0</v>
      </c>
      <c r="AK19" s="143">
        <v>0</v>
      </c>
      <c r="AL19" s="143">
        <v>253.58284698352901</v>
      </c>
      <c r="AM19" s="143">
        <v>0</v>
      </c>
      <c r="AN19" s="143">
        <v>0</v>
      </c>
      <c r="AO19" s="143">
        <v>0</v>
      </c>
      <c r="AP19" s="143">
        <v>0</v>
      </c>
      <c r="AQ19" s="144">
        <v>0</v>
      </c>
    </row>
    <row r="20" spans="2:43" ht="12" customHeight="1" x14ac:dyDescent="0.3">
      <c r="B20" s="142" t="s">
        <v>82</v>
      </c>
      <c r="C20" s="143" t="s">
        <v>81</v>
      </c>
      <c r="D20" s="143" t="s">
        <v>25</v>
      </c>
      <c r="E20" s="143" t="s">
        <v>25</v>
      </c>
      <c r="F20" s="143" t="s">
        <v>83</v>
      </c>
      <c r="G20" s="143" t="s">
        <v>25</v>
      </c>
      <c r="H20" s="143" t="s">
        <v>77</v>
      </c>
      <c r="I20" s="143" t="s">
        <v>25</v>
      </c>
      <c r="J20" s="143">
        <v>8.99</v>
      </c>
      <c r="K20" s="143">
        <v>0</v>
      </c>
      <c r="L20" s="143">
        <v>0</v>
      </c>
      <c r="M20" s="143">
        <v>1.1521706108073E-2</v>
      </c>
      <c r="N20" s="143">
        <v>0</v>
      </c>
      <c r="O20" s="143">
        <v>0</v>
      </c>
      <c r="P20" s="143">
        <v>0</v>
      </c>
      <c r="Q20" s="143">
        <v>0</v>
      </c>
      <c r="R20" s="143">
        <v>0</v>
      </c>
      <c r="S20" s="143">
        <v>0</v>
      </c>
      <c r="T20" s="143">
        <v>0</v>
      </c>
      <c r="U20" s="143">
        <v>0</v>
      </c>
      <c r="V20" s="143">
        <v>0</v>
      </c>
      <c r="W20" s="143">
        <v>0</v>
      </c>
      <c r="X20" s="143">
        <v>0</v>
      </c>
      <c r="Y20" s="143">
        <v>0</v>
      </c>
      <c r="Z20" s="143">
        <v>0</v>
      </c>
      <c r="AA20" s="143">
        <v>8.9827195784797595</v>
      </c>
      <c r="AB20" s="143">
        <v>0</v>
      </c>
      <c r="AC20" s="143">
        <v>0</v>
      </c>
      <c r="AD20" s="143">
        <v>0</v>
      </c>
      <c r="AE20" s="143">
        <v>0</v>
      </c>
      <c r="AF20" s="143">
        <v>0</v>
      </c>
      <c r="AG20" s="143">
        <v>0</v>
      </c>
      <c r="AH20" s="143">
        <v>0</v>
      </c>
      <c r="AI20" s="143">
        <v>0</v>
      </c>
      <c r="AJ20" s="143">
        <v>0</v>
      </c>
      <c r="AK20" s="143">
        <v>0</v>
      </c>
      <c r="AL20" s="143">
        <v>0</v>
      </c>
      <c r="AM20" s="143">
        <v>0</v>
      </c>
      <c r="AN20" s="143">
        <v>0</v>
      </c>
      <c r="AO20" s="143">
        <v>0</v>
      </c>
      <c r="AP20" s="143">
        <v>0</v>
      </c>
      <c r="AQ20" s="144">
        <v>0</v>
      </c>
    </row>
    <row r="21" spans="2:43" ht="12" customHeight="1" x14ac:dyDescent="0.3">
      <c r="B21" s="142" t="s">
        <v>82</v>
      </c>
      <c r="C21" s="143" t="s">
        <v>81</v>
      </c>
      <c r="D21" s="143" t="s">
        <v>25</v>
      </c>
      <c r="E21" s="143" t="s">
        <v>25</v>
      </c>
      <c r="F21" s="143" t="s">
        <v>84</v>
      </c>
      <c r="G21" s="143" t="s">
        <v>25</v>
      </c>
      <c r="H21" s="143" t="s">
        <v>77</v>
      </c>
      <c r="I21" s="143" t="s">
        <v>25</v>
      </c>
      <c r="J21" s="143">
        <v>28.96</v>
      </c>
      <c r="K21" s="143">
        <v>0</v>
      </c>
      <c r="L21" s="143">
        <v>0</v>
      </c>
      <c r="M21" s="143">
        <v>1.1521706108073E-2</v>
      </c>
      <c r="N21" s="143">
        <v>0</v>
      </c>
      <c r="O21" s="143">
        <v>0</v>
      </c>
      <c r="P21" s="143">
        <v>0</v>
      </c>
      <c r="Q21" s="143">
        <v>0</v>
      </c>
      <c r="R21" s="143">
        <v>0</v>
      </c>
      <c r="S21" s="143">
        <v>0</v>
      </c>
      <c r="T21" s="143">
        <v>0</v>
      </c>
      <c r="U21" s="143">
        <v>0</v>
      </c>
      <c r="V21" s="143">
        <v>0</v>
      </c>
      <c r="W21" s="143">
        <v>0</v>
      </c>
      <c r="X21" s="143">
        <v>0</v>
      </c>
      <c r="Y21" s="143">
        <v>0</v>
      </c>
      <c r="Z21" s="143">
        <v>0</v>
      </c>
      <c r="AA21" s="143">
        <v>28.951360725562498</v>
      </c>
      <c r="AB21" s="143">
        <v>0</v>
      </c>
      <c r="AC21" s="143">
        <v>0</v>
      </c>
      <c r="AD21" s="143">
        <v>0</v>
      </c>
      <c r="AE21" s="143">
        <v>0</v>
      </c>
      <c r="AF21" s="143">
        <v>0</v>
      </c>
      <c r="AG21" s="143">
        <v>0</v>
      </c>
      <c r="AH21" s="143">
        <v>0</v>
      </c>
      <c r="AI21" s="143">
        <v>0</v>
      </c>
      <c r="AJ21" s="143">
        <v>0</v>
      </c>
      <c r="AK21" s="143">
        <v>0</v>
      </c>
      <c r="AL21" s="143">
        <v>0</v>
      </c>
      <c r="AM21" s="143">
        <v>0</v>
      </c>
      <c r="AN21" s="143">
        <v>0</v>
      </c>
      <c r="AO21" s="143">
        <v>0</v>
      </c>
      <c r="AP21" s="143">
        <v>0</v>
      </c>
      <c r="AQ21" s="144">
        <v>0</v>
      </c>
    </row>
    <row r="22" spans="2:43" ht="12" customHeight="1" x14ac:dyDescent="0.3">
      <c r="B22" s="142" t="s">
        <v>22</v>
      </c>
      <c r="C22" s="143" t="s">
        <v>33</v>
      </c>
      <c r="D22" s="143" t="s">
        <v>24</v>
      </c>
      <c r="E22" s="143" t="s">
        <v>24</v>
      </c>
      <c r="F22" s="143" t="s">
        <v>25</v>
      </c>
      <c r="G22" s="143" t="s">
        <v>39</v>
      </c>
      <c r="H22" s="143" t="s">
        <v>72</v>
      </c>
      <c r="I22" s="143" t="s">
        <v>25</v>
      </c>
      <c r="J22" s="143">
        <v>2555.59</v>
      </c>
      <c r="K22" s="143">
        <v>253.58</v>
      </c>
      <c r="L22" s="143">
        <v>13.9587807558732</v>
      </c>
      <c r="M22" s="143">
        <v>3.3006479642200102</v>
      </c>
      <c r="N22" s="143">
        <v>0</v>
      </c>
      <c r="O22" s="143">
        <v>0</v>
      </c>
      <c r="P22" s="143">
        <v>0</v>
      </c>
      <c r="Q22" s="143">
        <v>92.332288763378699</v>
      </c>
      <c r="R22" s="143">
        <v>15.288559577366099</v>
      </c>
      <c r="S22" s="143">
        <v>0</v>
      </c>
      <c r="T22" s="143">
        <v>0</v>
      </c>
      <c r="U22" s="143">
        <v>0</v>
      </c>
      <c r="V22" s="143">
        <v>0</v>
      </c>
      <c r="W22" s="143">
        <v>0</v>
      </c>
      <c r="X22" s="143">
        <v>571.86734012245904</v>
      </c>
      <c r="Y22" s="143">
        <v>0</v>
      </c>
      <c r="Z22" s="143">
        <v>0</v>
      </c>
      <c r="AA22" s="143">
        <v>1823.1025930276901</v>
      </c>
      <c r="AB22" s="143">
        <v>0</v>
      </c>
      <c r="AC22" s="143">
        <v>0</v>
      </c>
      <c r="AD22" s="143">
        <v>23.1268197453985</v>
      </c>
      <c r="AE22" s="143">
        <v>0</v>
      </c>
      <c r="AF22" s="143">
        <v>12.6152239813295</v>
      </c>
      <c r="AG22" s="143">
        <v>0</v>
      </c>
      <c r="AH22" s="143">
        <v>0</v>
      </c>
      <c r="AI22" s="143">
        <v>0</v>
      </c>
      <c r="AJ22" s="143">
        <v>0</v>
      </c>
      <c r="AK22" s="143">
        <v>0</v>
      </c>
      <c r="AL22" s="143">
        <v>253.58284698352901</v>
      </c>
      <c r="AM22" s="143">
        <v>0</v>
      </c>
      <c r="AN22" s="143">
        <v>0</v>
      </c>
      <c r="AO22" s="143">
        <v>0</v>
      </c>
      <c r="AP22" s="143">
        <v>0</v>
      </c>
      <c r="AQ22" s="144">
        <v>0</v>
      </c>
    </row>
    <row r="23" spans="2:43" ht="12" customHeight="1" x14ac:dyDescent="0.3">
      <c r="B23" s="142" t="s">
        <v>22</v>
      </c>
      <c r="C23" s="143" t="s">
        <v>33</v>
      </c>
      <c r="D23" s="143" t="s">
        <v>24</v>
      </c>
      <c r="E23" s="143" t="s">
        <v>24</v>
      </c>
      <c r="F23" s="143" t="s">
        <v>25</v>
      </c>
      <c r="G23" s="143" t="s">
        <v>42</v>
      </c>
      <c r="H23" s="143" t="s">
        <v>72</v>
      </c>
      <c r="I23" s="143" t="s">
        <v>25</v>
      </c>
      <c r="J23" s="143">
        <v>1597.6</v>
      </c>
      <c r="K23" s="143">
        <v>253.58</v>
      </c>
      <c r="L23" s="143">
        <v>13.9587807558732</v>
      </c>
      <c r="M23" s="143">
        <v>3.3006479642200102</v>
      </c>
      <c r="N23" s="143">
        <v>0</v>
      </c>
      <c r="O23" s="143">
        <v>0</v>
      </c>
      <c r="P23" s="143">
        <v>0</v>
      </c>
      <c r="Q23" s="143">
        <v>92.332288763378699</v>
      </c>
      <c r="R23" s="143">
        <v>15.288559577366099</v>
      </c>
      <c r="S23" s="143">
        <v>0</v>
      </c>
      <c r="T23" s="143">
        <v>0</v>
      </c>
      <c r="U23" s="143">
        <v>0</v>
      </c>
      <c r="V23" s="143">
        <v>0</v>
      </c>
      <c r="W23" s="143">
        <v>0</v>
      </c>
      <c r="X23" s="143">
        <v>343.12040407347502</v>
      </c>
      <c r="Y23" s="143">
        <v>0</v>
      </c>
      <c r="Z23" s="143">
        <v>0</v>
      </c>
      <c r="AA23" s="143">
        <v>1093.86177249611</v>
      </c>
      <c r="AB23" s="143">
        <v>0</v>
      </c>
      <c r="AC23" s="143">
        <v>0</v>
      </c>
      <c r="AD23" s="143">
        <v>23.1268197453985</v>
      </c>
      <c r="AE23" s="143">
        <v>0</v>
      </c>
      <c r="AF23" s="143">
        <v>12.6152239813295</v>
      </c>
      <c r="AG23" s="143">
        <v>0</v>
      </c>
      <c r="AH23" s="143">
        <v>0</v>
      </c>
      <c r="AI23" s="143">
        <v>0</v>
      </c>
      <c r="AJ23" s="143">
        <v>0</v>
      </c>
      <c r="AK23" s="143">
        <v>0</v>
      </c>
      <c r="AL23" s="143">
        <v>253.58284698352901</v>
      </c>
      <c r="AM23" s="143">
        <v>0</v>
      </c>
      <c r="AN23" s="143">
        <v>0</v>
      </c>
      <c r="AO23" s="143">
        <v>0</v>
      </c>
      <c r="AP23" s="143">
        <v>0</v>
      </c>
      <c r="AQ23" s="144">
        <v>0</v>
      </c>
    </row>
    <row r="24" spans="2:43" ht="12" customHeight="1" x14ac:dyDescent="0.3">
      <c r="B24" s="142" t="s">
        <v>22</v>
      </c>
      <c r="C24" s="143" t="s">
        <v>33</v>
      </c>
      <c r="D24" s="143" t="s">
        <v>24</v>
      </c>
      <c r="E24" s="143" t="s">
        <v>24</v>
      </c>
      <c r="F24" s="143" t="s">
        <v>25</v>
      </c>
      <c r="G24" s="143" t="s">
        <v>34</v>
      </c>
      <c r="H24" s="143" t="s">
        <v>72</v>
      </c>
      <c r="I24" s="143" t="s">
        <v>25</v>
      </c>
      <c r="J24" s="143">
        <v>639.62</v>
      </c>
      <c r="K24" s="143">
        <v>253.58</v>
      </c>
      <c r="L24" s="143">
        <v>13.9587807558732</v>
      </c>
      <c r="M24" s="143">
        <v>3.3006479642200102</v>
      </c>
      <c r="N24" s="143">
        <v>0</v>
      </c>
      <c r="O24" s="143">
        <v>0</v>
      </c>
      <c r="P24" s="143">
        <v>0</v>
      </c>
      <c r="Q24" s="143">
        <v>92.332288763378699</v>
      </c>
      <c r="R24" s="143">
        <v>15.288559577366099</v>
      </c>
      <c r="S24" s="143">
        <v>0</v>
      </c>
      <c r="T24" s="143">
        <v>0</v>
      </c>
      <c r="U24" s="143">
        <v>0</v>
      </c>
      <c r="V24" s="143">
        <v>0</v>
      </c>
      <c r="W24" s="143">
        <v>0</v>
      </c>
      <c r="X24" s="143">
        <v>114.374670828896</v>
      </c>
      <c r="Y24" s="143">
        <v>0</v>
      </c>
      <c r="Z24" s="143">
        <v>0</v>
      </c>
      <c r="AA24" s="143">
        <v>364.62041026578697</v>
      </c>
      <c r="AB24" s="143">
        <v>0</v>
      </c>
      <c r="AC24" s="143">
        <v>0</v>
      </c>
      <c r="AD24" s="143">
        <v>23.1268197453985</v>
      </c>
      <c r="AE24" s="143">
        <v>0</v>
      </c>
      <c r="AF24" s="143">
        <v>12.6152239813295</v>
      </c>
      <c r="AG24" s="143">
        <v>0</v>
      </c>
      <c r="AH24" s="143">
        <v>0</v>
      </c>
      <c r="AI24" s="143">
        <v>0</v>
      </c>
      <c r="AJ24" s="143">
        <v>0</v>
      </c>
      <c r="AK24" s="143">
        <v>0</v>
      </c>
      <c r="AL24" s="143">
        <v>253.58284698352901</v>
      </c>
      <c r="AM24" s="143">
        <v>0</v>
      </c>
      <c r="AN24" s="143">
        <v>0</v>
      </c>
      <c r="AO24" s="143">
        <v>0</v>
      </c>
      <c r="AP24" s="143">
        <v>0</v>
      </c>
      <c r="AQ24" s="144">
        <v>0</v>
      </c>
    </row>
    <row r="25" spans="2:43" ht="12" customHeight="1" x14ac:dyDescent="0.3">
      <c r="B25" s="142" t="s">
        <v>22</v>
      </c>
      <c r="C25" s="143" t="s">
        <v>23</v>
      </c>
      <c r="D25" s="143" t="s">
        <v>24</v>
      </c>
      <c r="E25" s="143" t="s">
        <v>1146</v>
      </c>
      <c r="F25" s="143" t="s">
        <v>25</v>
      </c>
      <c r="G25" s="143" t="s">
        <v>25</v>
      </c>
      <c r="H25" s="143" t="s">
        <v>72</v>
      </c>
      <c r="I25" s="143" t="s">
        <v>25</v>
      </c>
      <c r="J25" s="143">
        <v>926.07</v>
      </c>
      <c r="K25" s="143">
        <v>253.58</v>
      </c>
      <c r="L25" s="143">
        <v>0</v>
      </c>
      <c r="M25" s="143">
        <v>3.3006479642200102</v>
      </c>
      <c r="N25" s="143">
        <v>0</v>
      </c>
      <c r="O25" s="143">
        <v>0</v>
      </c>
      <c r="P25" s="143">
        <v>0</v>
      </c>
      <c r="Q25" s="143">
        <v>0</v>
      </c>
      <c r="R25" s="143">
        <v>0</v>
      </c>
      <c r="S25" s="143">
        <v>0</v>
      </c>
      <c r="T25" s="143">
        <v>0</v>
      </c>
      <c r="U25" s="143">
        <v>0</v>
      </c>
      <c r="V25" s="143">
        <v>0</v>
      </c>
      <c r="W25" s="143">
        <v>0</v>
      </c>
      <c r="X25" s="143">
        <v>211.803030402053</v>
      </c>
      <c r="Y25" s="143">
        <v>0</v>
      </c>
      <c r="Z25" s="143">
        <v>0</v>
      </c>
      <c r="AA25" s="143">
        <v>675.22343338930705</v>
      </c>
      <c r="AB25" s="143">
        <v>0</v>
      </c>
      <c r="AC25" s="143">
        <v>0</v>
      </c>
      <c r="AD25" s="143">
        <v>23.1268197453985</v>
      </c>
      <c r="AE25" s="143">
        <v>0</v>
      </c>
      <c r="AF25" s="143">
        <v>12.6152239813295</v>
      </c>
      <c r="AG25" s="143">
        <v>0</v>
      </c>
      <c r="AH25" s="143">
        <v>0</v>
      </c>
      <c r="AI25" s="143">
        <v>0</v>
      </c>
      <c r="AJ25" s="143">
        <v>0</v>
      </c>
      <c r="AK25" s="143">
        <v>0</v>
      </c>
      <c r="AL25" s="143">
        <v>253.58284698352901</v>
      </c>
      <c r="AM25" s="143">
        <v>0</v>
      </c>
      <c r="AN25" s="143">
        <v>0</v>
      </c>
      <c r="AO25" s="143">
        <v>0</v>
      </c>
      <c r="AP25" s="143">
        <v>0</v>
      </c>
      <c r="AQ25" s="144">
        <v>0</v>
      </c>
    </row>
    <row r="26" spans="2:43" ht="12" customHeight="1" x14ac:dyDescent="0.3">
      <c r="B26" s="142" t="s">
        <v>22</v>
      </c>
      <c r="C26" s="143" t="s">
        <v>23</v>
      </c>
      <c r="D26" s="143" t="s">
        <v>24</v>
      </c>
      <c r="E26" s="143" t="s">
        <v>24</v>
      </c>
      <c r="F26" s="143" t="s">
        <v>25</v>
      </c>
      <c r="G26" s="143" t="s">
        <v>25</v>
      </c>
      <c r="H26" s="143" t="s">
        <v>72</v>
      </c>
      <c r="I26" s="143" t="s">
        <v>25</v>
      </c>
      <c r="J26" s="143">
        <v>1047.6500000000001</v>
      </c>
      <c r="K26" s="143">
        <v>253.58</v>
      </c>
      <c r="L26" s="143">
        <v>13.9587807558732</v>
      </c>
      <c r="M26" s="143">
        <v>3.3006479642200102</v>
      </c>
      <c r="N26" s="143">
        <v>0</v>
      </c>
      <c r="O26" s="143">
        <v>0</v>
      </c>
      <c r="P26" s="143">
        <v>0</v>
      </c>
      <c r="Q26" s="143">
        <v>92.332288763378699</v>
      </c>
      <c r="R26" s="143">
        <v>15.288559577366099</v>
      </c>
      <c r="S26" s="143">
        <v>0</v>
      </c>
      <c r="T26" s="143">
        <v>0</v>
      </c>
      <c r="U26" s="143">
        <v>0</v>
      </c>
      <c r="V26" s="143">
        <v>0</v>
      </c>
      <c r="W26" s="143">
        <v>0</v>
      </c>
      <c r="X26" s="143">
        <v>211.803030402053</v>
      </c>
      <c r="Y26" s="143">
        <v>0</v>
      </c>
      <c r="Z26" s="143">
        <v>0</v>
      </c>
      <c r="AA26" s="143">
        <v>675.22343338930705</v>
      </c>
      <c r="AB26" s="143">
        <v>0</v>
      </c>
      <c r="AC26" s="143">
        <v>0</v>
      </c>
      <c r="AD26" s="143">
        <v>23.1268197453985</v>
      </c>
      <c r="AE26" s="143">
        <v>0</v>
      </c>
      <c r="AF26" s="143">
        <v>12.6152239813295</v>
      </c>
      <c r="AG26" s="143">
        <v>0</v>
      </c>
      <c r="AH26" s="143">
        <v>0</v>
      </c>
      <c r="AI26" s="143">
        <v>0</v>
      </c>
      <c r="AJ26" s="143">
        <v>0</v>
      </c>
      <c r="AK26" s="143">
        <v>0</v>
      </c>
      <c r="AL26" s="143">
        <v>253.58284698352901</v>
      </c>
      <c r="AM26" s="143">
        <v>0</v>
      </c>
      <c r="AN26" s="143">
        <v>0</v>
      </c>
      <c r="AO26" s="143">
        <v>0</v>
      </c>
      <c r="AP26" s="143">
        <v>0</v>
      </c>
      <c r="AQ26" s="144">
        <v>0</v>
      </c>
    </row>
    <row r="27" spans="2:43" ht="12" customHeight="1" x14ac:dyDescent="0.3">
      <c r="B27" s="142" t="s">
        <v>22</v>
      </c>
      <c r="C27" s="143" t="s">
        <v>87</v>
      </c>
      <c r="D27" s="143" t="s">
        <v>24</v>
      </c>
      <c r="E27" s="143" t="s">
        <v>1146</v>
      </c>
      <c r="F27" s="143" t="s">
        <v>25</v>
      </c>
      <c r="G27" s="143" t="s">
        <v>25</v>
      </c>
      <c r="H27" s="143" t="s">
        <v>72</v>
      </c>
      <c r="I27" s="143" t="s">
        <v>25</v>
      </c>
      <c r="J27" s="143">
        <v>926.07</v>
      </c>
      <c r="K27" s="143">
        <v>253.58</v>
      </c>
      <c r="L27" s="143">
        <v>0</v>
      </c>
      <c r="M27" s="143">
        <v>3.3006479642200102</v>
      </c>
      <c r="N27" s="143">
        <v>0</v>
      </c>
      <c r="O27" s="143">
        <v>0</v>
      </c>
      <c r="P27" s="143">
        <v>0</v>
      </c>
      <c r="Q27" s="143">
        <v>0</v>
      </c>
      <c r="R27" s="143">
        <v>0</v>
      </c>
      <c r="S27" s="143">
        <v>0</v>
      </c>
      <c r="T27" s="143">
        <v>0</v>
      </c>
      <c r="U27" s="143">
        <v>0</v>
      </c>
      <c r="V27" s="143">
        <v>0</v>
      </c>
      <c r="W27" s="143">
        <v>0</v>
      </c>
      <c r="X27" s="143">
        <v>211.803030402053</v>
      </c>
      <c r="Y27" s="143">
        <v>0</v>
      </c>
      <c r="Z27" s="143">
        <v>0</v>
      </c>
      <c r="AA27" s="143">
        <v>675.22343338930705</v>
      </c>
      <c r="AB27" s="143">
        <v>0</v>
      </c>
      <c r="AC27" s="143">
        <v>0</v>
      </c>
      <c r="AD27" s="143">
        <v>23.1268197453985</v>
      </c>
      <c r="AE27" s="143">
        <v>0</v>
      </c>
      <c r="AF27" s="143">
        <v>12.6152239813295</v>
      </c>
      <c r="AG27" s="143">
        <v>0</v>
      </c>
      <c r="AH27" s="143">
        <v>0</v>
      </c>
      <c r="AI27" s="143">
        <v>0</v>
      </c>
      <c r="AJ27" s="143">
        <v>0</v>
      </c>
      <c r="AK27" s="143">
        <v>0</v>
      </c>
      <c r="AL27" s="143">
        <v>253.58284698352901</v>
      </c>
      <c r="AM27" s="143">
        <v>0</v>
      </c>
      <c r="AN27" s="143">
        <v>0</v>
      </c>
      <c r="AO27" s="143">
        <v>0</v>
      </c>
      <c r="AP27" s="143">
        <v>0</v>
      </c>
      <c r="AQ27" s="144">
        <v>0</v>
      </c>
    </row>
    <row r="28" spans="2:43" ht="12" customHeight="1" x14ac:dyDescent="0.3">
      <c r="B28" s="142" t="s">
        <v>22</v>
      </c>
      <c r="C28" s="143" t="s">
        <v>87</v>
      </c>
      <c r="D28" s="143" t="s">
        <v>24</v>
      </c>
      <c r="E28" s="143" t="s">
        <v>24</v>
      </c>
      <c r="F28" s="143" t="s">
        <v>25</v>
      </c>
      <c r="G28" s="143" t="s">
        <v>25</v>
      </c>
      <c r="H28" s="143" t="s">
        <v>72</v>
      </c>
      <c r="I28" s="143" t="s">
        <v>25</v>
      </c>
      <c r="J28" s="143">
        <v>1047.6500000000001</v>
      </c>
      <c r="K28" s="143">
        <v>253.58</v>
      </c>
      <c r="L28" s="143">
        <v>13.9587807558732</v>
      </c>
      <c r="M28" s="143">
        <v>3.3006479642200102</v>
      </c>
      <c r="N28" s="143">
        <v>0</v>
      </c>
      <c r="O28" s="143">
        <v>0</v>
      </c>
      <c r="P28" s="143">
        <v>0</v>
      </c>
      <c r="Q28" s="143">
        <v>92.332288763378699</v>
      </c>
      <c r="R28" s="143">
        <v>15.288559577366099</v>
      </c>
      <c r="S28" s="143">
        <v>0</v>
      </c>
      <c r="T28" s="143">
        <v>0</v>
      </c>
      <c r="U28" s="143">
        <v>0</v>
      </c>
      <c r="V28" s="143">
        <v>0</v>
      </c>
      <c r="W28" s="143">
        <v>0</v>
      </c>
      <c r="X28" s="143">
        <v>211.803030402053</v>
      </c>
      <c r="Y28" s="143">
        <v>0</v>
      </c>
      <c r="Z28" s="143">
        <v>0</v>
      </c>
      <c r="AA28" s="143">
        <v>675.22343338930705</v>
      </c>
      <c r="AB28" s="143">
        <v>0</v>
      </c>
      <c r="AC28" s="143">
        <v>0</v>
      </c>
      <c r="AD28" s="143">
        <v>23.1268197453985</v>
      </c>
      <c r="AE28" s="143">
        <v>0</v>
      </c>
      <c r="AF28" s="143">
        <v>12.6152239813295</v>
      </c>
      <c r="AG28" s="143">
        <v>0</v>
      </c>
      <c r="AH28" s="143">
        <v>0</v>
      </c>
      <c r="AI28" s="143">
        <v>0</v>
      </c>
      <c r="AJ28" s="143">
        <v>0</v>
      </c>
      <c r="AK28" s="143">
        <v>0</v>
      </c>
      <c r="AL28" s="143">
        <v>253.58284698352901</v>
      </c>
      <c r="AM28" s="143">
        <v>0</v>
      </c>
      <c r="AN28" s="143">
        <v>0</v>
      </c>
      <c r="AO28" s="143">
        <v>0</v>
      </c>
      <c r="AP28" s="143">
        <v>0</v>
      </c>
      <c r="AQ28" s="144">
        <v>0</v>
      </c>
    </row>
    <row r="29" spans="2:43" ht="12" customHeight="1" x14ac:dyDescent="0.3">
      <c r="B29" s="142" t="s">
        <v>43</v>
      </c>
      <c r="C29" s="143" t="s">
        <v>33</v>
      </c>
      <c r="D29" s="143" t="s">
        <v>44</v>
      </c>
      <c r="E29" s="143" t="s">
        <v>88</v>
      </c>
      <c r="F29" s="143" t="s">
        <v>25</v>
      </c>
      <c r="G29" s="143" t="s">
        <v>39</v>
      </c>
      <c r="H29" s="143" t="s">
        <v>72</v>
      </c>
      <c r="I29" s="143" t="s">
        <v>25</v>
      </c>
      <c r="J29" s="143">
        <v>2318.88</v>
      </c>
      <c r="K29" s="143">
        <v>238.37</v>
      </c>
      <c r="L29" s="143">
        <v>13.121253910520799</v>
      </c>
      <c r="M29" s="143">
        <v>3.1026090863668099</v>
      </c>
      <c r="N29" s="143">
        <v>0</v>
      </c>
      <c r="O29" s="143">
        <v>0</v>
      </c>
      <c r="P29" s="143">
        <v>0</v>
      </c>
      <c r="Q29" s="143">
        <v>86.792351437576002</v>
      </c>
      <c r="R29" s="143">
        <v>14.371246002724201</v>
      </c>
      <c r="S29" s="143">
        <v>0</v>
      </c>
      <c r="T29" s="143">
        <v>0</v>
      </c>
      <c r="U29" s="143">
        <v>0</v>
      </c>
      <c r="V29" s="143">
        <v>0</v>
      </c>
      <c r="W29" s="143">
        <v>0</v>
      </c>
      <c r="X29" s="143">
        <v>517.64705855707302</v>
      </c>
      <c r="Y29" s="143">
        <v>0</v>
      </c>
      <c r="Z29" s="143">
        <v>0</v>
      </c>
      <c r="AA29" s="143">
        <v>1650.2455620066401</v>
      </c>
      <c r="AB29" s="143">
        <v>0</v>
      </c>
      <c r="AC29" s="143">
        <v>0</v>
      </c>
      <c r="AD29" s="143">
        <v>21.7392105606746</v>
      </c>
      <c r="AE29" s="143">
        <v>0</v>
      </c>
      <c r="AF29" s="143">
        <v>11.858310542449701</v>
      </c>
      <c r="AG29" s="143">
        <v>0</v>
      </c>
      <c r="AH29" s="143">
        <v>0</v>
      </c>
      <c r="AI29" s="143">
        <v>0</v>
      </c>
      <c r="AJ29" s="143">
        <v>0</v>
      </c>
      <c r="AK29" s="143">
        <v>0</v>
      </c>
      <c r="AL29" s="143">
        <v>238.36787616451701</v>
      </c>
      <c r="AM29" s="143">
        <v>0</v>
      </c>
      <c r="AN29" s="143">
        <v>0</v>
      </c>
      <c r="AO29" s="143">
        <v>0</v>
      </c>
      <c r="AP29" s="143">
        <v>0</v>
      </c>
      <c r="AQ29" s="144">
        <v>0</v>
      </c>
    </row>
    <row r="30" spans="2:43" ht="12" customHeight="1" x14ac:dyDescent="0.3">
      <c r="B30" s="142" t="s">
        <v>43</v>
      </c>
      <c r="C30" s="143" t="s">
        <v>33</v>
      </c>
      <c r="D30" s="143" t="s">
        <v>44</v>
      </c>
      <c r="E30" s="143" t="s">
        <v>88</v>
      </c>
      <c r="F30" s="143" t="s">
        <v>25</v>
      </c>
      <c r="G30" s="143" t="s">
        <v>42</v>
      </c>
      <c r="H30" s="143" t="s">
        <v>72</v>
      </c>
      <c r="I30" s="143" t="s">
        <v>25</v>
      </c>
      <c r="J30" s="143">
        <v>1451.72</v>
      </c>
      <c r="K30" s="143">
        <v>238.37</v>
      </c>
      <c r="L30" s="143">
        <v>13.121253910520799</v>
      </c>
      <c r="M30" s="143">
        <v>3.1026090863668099</v>
      </c>
      <c r="N30" s="143">
        <v>0</v>
      </c>
      <c r="O30" s="143">
        <v>0</v>
      </c>
      <c r="P30" s="143">
        <v>0</v>
      </c>
      <c r="Q30" s="143">
        <v>86.792351437576002</v>
      </c>
      <c r="R30" s="143">
        <v>14.371246002724201</v>
      </c>
      <c r="S30" s="143">
        <v>0</v>
      </c>
      <c r="T30" s="143">
        <v>0</v>
      </c>
      <c r="U30" s="143">
        <v>0</v>
      </c>
      <c r="V30" s="143">
        <v>0</v>
      </c>
      <c r="W30" s="143">
        <v>0</v>
      </c>
      <c r="X30" s="143">
        <v>310.58800900701601</v>
      </c>
      <c r="Y30" s="143">
        <v>0</v>
      </c>
      <c r="Z30" s="143">
        <v>0</v>
      </c>
      <c r="AA30" s="143">
        <v>990.14748996303194</v>
      </c>
      <c r="AB30" s="143">
        <v>0</v>
      </c>
      <c r="AC30" s="143">
        <v>0</v>
      </c>
      <c r="AD30" s="143">
        <v>21.7392105606746</v>
      </c>
      <c r="AE30" s="143">
        <v>0</v>
      </c>
      <c r="AF30" s="143">
        <v>11.858310542449701</v>
      </c>
      <c r="AG30" s="143">
        <v>0</v>
      </c>
      <c r="AH30" s="143">
        <v>0</v>
      </c>
      <c r="AI30" s="143">
        <v>0</v>
      </c>
      <c r="AJ30" s="143">
        <v>0</v>
      </c>
      <c r="AK30" s="143">
        <v>0</v>
      </c>
      <c r="AL30" s="143">
        <v>238.36787616451701</v>
      </c>
      <c r="AM30" s="143">
        <v>0</v>
      </c>
      <c r="AN30" s="143">
        <v>0</v>
      </c>
      <c r="AO30" s="143">
        <v>0</v>
      </c>
      <c r="AP30" s="143">
        <v>0</v>
      </c>
      <c r="AQ30" s="144">
        <v>0</v>
      </c>
    </row>
    <row r="31" spans="2:43" ht="12" customHeight="1" x14ac:dyDescent="0.3">
      <c r="B31" s="142" t="s">
        <v>43</v>
      </c>
      <c r="C31" s="143" t="s">
        <v>33</v>
      </c>
      <c r="D31" s="143" t="s">
        <v>44</v>
      </c>
      <c r="E31" s="143" t="s">
        <v>88</v>
      </c>
      <c r="F31" s="143" t="s">
        <v>25</v>
      </c>
      <c r="G31" s="143" t="s">
        <v>34</v>
      </c>
      <c r="H31" s="143" t="s">
        <v>72</v>
      </c>
      <c r="I31" s="143" t="s">
        <v>25</v>
      </c>
      <c r="J31" s="143">
        <v>584.55999999999995</v>
      </c>
      <c r="K31" s="143">
        <v>238.37</v>
      </c>
      <c r="L31" s="143">
        <v>13.121253910520799</v>
      </c>
      <c r="M31" s="143">
        <v>3.1026090863668099</v>
      </c>
      <c r="N31" s="143">
        <v>0</v>
      </c>
      <c r="O31" s="143">
        <v>0</v>
      </c>
      <c r="P31" s="143">
        <v>0</v>
      </c>
      <c r="Q31" s="143">
        <v>86.792351437576002</v>
      </c>
      <c r="R31" s="143">
        <v>14.371246002724201</v>
      </c>
      <c r="S31" s="143">
        <v>0</v>
      </c>
      <c r="T31" s="143">
        <v>0</v>
      </c>
      <c r="U31" s="143">
        <v>0</v>
      </c>
      <c r="V31" s="143">
        <v>0</v>
      </c>
      <c r="W31" s="143">
        <v>0</v>
      </c>
      <c r="X31" s="143">
        <v>103.52895945695801</v>
      </c>
      <c r="Y31" s="143">
        <v>0</v>
      </c>
      <c r="Z31" s="143">
        <v>0</v>
      </c>
      <c r="AA31" s="143">
        <v>330.04916332101101</v>
      </c>
      <c r="AB31" s="143">
        <v>0</v>
      </c>
      <c r="AC31" s="143">
        <v>0</v>
      </c>
      <c r="AD31" s="143">
        <v>21.7392105606746</v>
      </c>
      <c r="AE31" s="143">
        <v>0</v>
      </c>
      <c r="AF31" s="143">
        <v>11.858310542449701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238.36787616451701</v>
      </c>
      <c r="AM31" s="143">
        <v>0</v>
      </c>
      <c r="AN31" s="143">
        <v>0</v>
      </c>
      <c r="AO31" s="143">
        <v>0</v>
      </c>
      <c r="AP31" s="143">
        <v>0</v>
      </c>
      <c r="AQ31" s="144">
        <v>0</v>
      </c>
    </row>
    <row r="32" spans="2:43" ht="12" customHeight="1" x14ac:dyDescent="0.3">
      <c r="B32" s="142" t="s">
        <v>43</v>
      </c>
      <c r="C32" s="143" t="s">
        <v>33</v>
      </c>
      <c r="D32" s="143" t="s">
        <v>44</v>
      </c>
      <c r="E32" s="143" t="s">
        <v>25</v>
      </c>
      <c r="F32" s="143" t="s">
        <v>25</v>
      </c>
      <c r="G32" s="143" t="s">
        <v>39</v>
      </c>
      <c r="H32" s="143" t="s">
        <v>72</v>
      </c>
      <c r="I32" s="143" t="s">
        <v>25</v>
      </c>
      <c r="J32" s="143">
        <v>2318.88</v>
      </c>
      <c r="K32" s="143">
        <v>238.37</v>
      </c>
      <c r="L32" s="143">
        <v>13.121253910520799</v>
      </c>
      <c r="M32" s="143">
        <v>3.1026090863668099</v>
      </c>
      <c r="N32" s="143">
        <v>0</v>
      </c>
      <c r="O32" s="143">
        <v>0</v>
      </c>
      <c r="P32" s="143">
        <v>0</v>
      </c>
      <c r="Q32" s="143">
        <v>86.792351437576002</v>
      </c>
      <c r="R32" s="143">
        <v>14.371246002724201</v>
      </c>
      <c r="S32" s="143">
        <v>0</v>
      </c>
      <c r="T32" s="143">
        <v>0</v>
      </c>
      <c r="U32" s="143">
        <v>0</v>
      </c>
      <c r="V32" s="143">
        <v>0</v>
      </c>
      <c r="W32" s="143">
        <v>0</v>
      </c>
      <c r="X32" s="143">
        <v>517.64705855707302</v>
      </c>
      <c r="Y32" s="143">
        <v>0</v>
      </c>
      <c r="Z32" s="143">
        <v>0</v>
      </c>
      <c r="AA32" s="143">
        <v>1650.2455620066401</v>
      </c>
      <c r="AB32" s="143">
        <v>0</v>
      </c>
      <c r="AC32" s="143">
        <v>0</v>
      </c>
      <c r="AD32" s="143">
        <v>21.7392105606746</v>
      </c>
      <c r="AE32" s="143">
        <v>0</v>
      </c>
      <c r="AF32" s="143">
        <v>11.858310542449701</v>
      </c>
      <c r="AG32" s="143">
        <v>0</v>
      </c>
      <c r="AH32" s="143">
        <v>0</v>
      </c>
      <c r="AI32" s="143">
        <v>0</v>
      </c>
      <c r="AJ32" s="143">
        <v>0</v>
      </c>
      <c r="AK32" s="143">
        <v>0</v>
      </c>
      <c r="AL32" s="143">
        <v>238.36787616451701</v>
      </c>
      <c r="AM32" s="143">
        <v>0</v>
      </c>
      <c r="AN32" s="143">
        <v>0</v>
      </c>
      <c r="AO32" s="143">
        <v>0</v>
      </c>
      <c r="AP32" s="143">
        <v>0</v>
      </c>
      <c r="AQ32" s="144">
        <v>0</v>
      </c>
    </row>
    <row r="33" spans="2:43" ht="12" customHeight="1" x14ac:dyDescent="0.3">
      <c r="B33" s="142" t="s">
        <v>43</v>
      </c>
      <c r="C33" s="143" t="s">
        <v>33</v>
      </c>
      <c r="D33" s="143" t="s">
        <v>44</v>
      </c>
      <c r="E33" s="143" t="s">
        <v>25</v>
      </c>
      <c r="F33" s="143" t="s">
        <v>25</v>
      </c>
      <c r="G33" s="143" t="s">
        <v>42</v>
      </c>
      <c r="H33" s="143" t="s">
        <v>72</v>
      </c>
      <c r="I33" s="143" t="s">
        <v>25</v>
      </c>
      <c r="J33" s="143">
        <v>1451.72</v>
      </c>
      <c r="K33" s="143">
        <v>238.37</v>
      </c>
      <c r="L33" s="143">
        <v>13.121253910520799</v>
      </c>
      <c r="M33" s="143">
        <v>3.1026090863668099</v>
      </c>
      <c r="N33" s="143">
        <v>0</v>
      </c>
      <c r="O33" s="143">
        <v>0</v>
      </c>
      <c r="P33" s="143">
        <v>0</v>
      </c>
      <c r="Q33" s="143">
        <v>86.792351437576002</v>
      </c>
      <c r="R33" s="143">
        <v>14.371246002724201</v>
      </c>
      <c r="S33" s="143">
        <v>0</v>
      </c>
      <c r="T33" s="143">
        <v>0</v>
      </c>
      <c r="U33" s="143">
        <v>0</v>
      </c>
      <c r="V33" s="143">
        <v>0</v>
      </c>
      <c r="W33" s="143">
        <v>0</v>
      </c>
      <c r="X33" s="143">
        <v>310.58800900701601</v>
      </c>
      <c r="Y33" s="143">
        <v>0</v>
      </c>
      <c r="Z33" s="143">
        <v>0</v>
      </c>
      <c r="AA33" s="143">
        <v>990.14748996303194</v>
      </c>
      <c r="AB33" s="143">
        <v>0</v>
      </c>
      <c r="AC33" s="143">
        <v>0</v>
      </c>
      <c r="AD33" s="143">
        <v>21.7392105606746</v>
      </c>
      <c r="AE33" s="143">
        <v>0</v>
      </c>
      <c r="AF33" s="143">
        <v>11.858310542449701</v>
      </c>
      <c r="AG33" s="143">
        <v>0</v>
      </c>
      <c r="AH33" s="143">
        <v>0</v>
      </c>
      <c r="AI33" s="143">
        <v>0</v>
      </c>
      <c r="AJ33" s="143">
        <v>0</v>
      </c>
      <c r="AK33" s="143">
        <v>0</v>
      </c>
      <c r="AL33" s="143">
        <v>238.36787616451701</v>
      </c>
      <c r="AM33" s="143">
        <v>0</v>
      </c>
      <c r="AN33" s="143">
        <v>0</v>
      </c>
      <c r="AO33" s="143">
        <v>0</v>
      </c>
      <c r="AP33" s="143">
        <v>0</v>
      </c>
      <c r="AQ33" s="144">
        <v>0</v>
      </c>
    </row>
    <row r="34" spans="2:43" ht="12" customHeight="1" x14ac:dyDescent="0.3">
      <c r="B34" s="142" t="s">
        <v>43</v>
      </c>
      <c r="C34" s="143" t="s">
        <v>33</v>
      </c>
      <c r="D34" s="143" t="s">
        <v>44</v>
      </c>
      <c r="E34" s="143" t="s">
        <v>25</v>
      </c>
      <c r="F34" s="143" t="s">
        <v>25</v>
      </c>
      <c r="G34" s="143" t="s">
        <v>34</v>
      </c>
      <c r="H34" s="143" t="s">
        <v>72</v>
      </c>
      <c r="I34" s="143" t="s">
        <v>25</v>
      </c>
      <c r="J34" s="143">
        <v>584.55999999999995</v>
      </c>
      <c r="K34" s="143">
        <v>238.37</v>
      </c>
      <c r="L34" s="143">
        <v>13.121253910520799</v>
      </c>
      <c r="M34" s="143">
        <v>3.1026090863668099</v>
      </c>
      <c r="N34" s="143">
        <v>0</v>
      </c>
      <c r="O34" s="143">
        <v>0</v>
      </c>
      <c r="P34" s="143">
        <v>0</v>
      </c>
      <c r="Q34" s="143">
        <v>86.792351437576002</v>
      </c>
      <c r="R34" s="143">
        <v>14.371246002724201</v>
      </c>
      <c r="S34" s="143">
        <v>0</v>
      </c>
      <c r="T34" s="143">
        <v>0</v>
      </c>
      <c r="U34" s="143">
        <v>0</v>
      </c>
      <c r="V34" s="143">
        <v>0</v>
      </c>
      <c r="W34" s="143">
        <v>0</v>
      </c>
      <c r="X34" s="143">
        <v>103.52895945695801</v>
      </c>
      <c r="Y34" s="143">
        <v>0</v>
      </c>
      <c r="Z34" s="143">
        <v>0</v>
      </c>
      <c r="AA34" s="143">
        <v>330.04916332101101</v>
      </c>
      <c r="AB34" s="143">
        <v>0</v>
      </c>
      <c r="AC34" s="143">
        <v>0</v>
      </c>
      <c r="AD34" s="143">
        <v>21.7392105606746</v>
      </c>
      <c r="AE34" s="143">
        <v>0</v>
      </c>
      <c r="AF34" s="143">
        <v>11.858310542449701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238.36787616451701</v>
      </c>
      <c r="AM34" s="143">
        <v>0</v>
      </c>
      <c r="AN34" s="143">
        <v>0</v>
      </c>
      <c r="AO34" s="143">
        <v>0</v>
      </c>
      <c r="AP34" s="143">
        <v>0</v>
      </c>
      <c r="AQ34" s="144">
        <v>0</v>
      </c>
    </row>
    <row r="35" spans="2:43" ht="12" customHeight="1" x14ac:dyDescent="0.3">
      <c r="B35" s="142" t="s">
        <v>43</v>
      </c>
      <c r="C35" s="143" t="s">
        <v>33</v>
      </c>
      <c r="D35" s="143" t="s">
        <v>44</v>
      </c>
      <c r="E35" s="143" t="s">
        <v>89</v>
      </c>
      <c r="F35" s="143" t="s">
        <v>25</v>
      </c>
      <c r="G35" s="143" t="s">
        <v>39</v>
      </c>
      <c r="H35" s="143" t="s">
        <v>72</v>
      </c>
      <c r="I35" s="143" t="s">
        <v>25</v>
      </c>
      <c r="J35" s="143">
        <v>2269.54</v>
      </c>
      <c r="K35" s="143">
        <v>233.3</v>
      </c>
      <c r="L35" s="143">
        <v>12.842078295403301</v>
      </c>
      <c r="M35" s="143">
        <v>3.0365961270824098</v>
      </c>
      <c r="N35" s="143">
        <v>0</v>
      </c>
      <c r="O35" s="143">
        <v>0</v>
      </c>
      <c r="P35" s="143">
        <v>0</v>
      </c>
      <c r="Q35" s="143">
        <v>84.945705662308399</v>
      </c>
      <c r="R35" s="143">
        <v>14.0654748111769</v>
      </c>
      <c r="S35" s="143">
        <v>0</v>
      </c>
      <c r="T35" s="143">
        <v>0</v>
      </c>
      <c r="U35" s="143">
        <v>0</v>
      </c>
      <c r="V35" s="143">
        <v>0</v>
      </c>
      <c r="W35" s="143">
        <v>0</v>
      </c>
      <c r="X35" s="143">
        <v>506.63329135373101</v>
      </c>
      <c r="Y35" s="143">
        <v>0</v>
      </c>
      <c r="Z35" s="143">
        <v>0</v>
      </c>
      <c r="AA35" s="143">
        <v>1615.13395430437</v>
      </c>
      <c r="AB35" s="143">
        <v>0</v>
      </c>
      <c r="AC35" s="143">
        <v>0</v>
      </c>
      <c r="AD35" s="143">
        <v>21.2766741657666</v>
      </c>
      <c r="AE35" s="143">
        <v>0</v>
      </c>
      <c r="AF35" s="143">
        <v>11.6060060628231</v>
      </c>
      <c r="AG35" s="143">
        <v>0</v>
      </c>
      <c r="AH35" s="143">
        <v>0</v>
      </c>
      <c r="AI35" s="143">
        <v>0</v>
      </c>
      <c r="AJ35" s="143">
        <v>0</v>
      </c>
      <c r="AK35" s="143">
        <v>0</v>
      </c>
      <c r="AL35" s="143">
        <v>233.29621922484699</v>
      </c>
      <c r="AM35" s="143">
        <v>0</v>
      </c>
      <c r="AN35" s="143">
        <v>0</v>
      </c>
      <c r="AO35" s="143">
        <v>0</v>
      </c>
      <c r="AP35" s="143">
        <v>0</v>
      </c>
      <c r="AQ35" s="144">
        <v>0</v>
      </c>
    </row>
    <row r="36" spans="2:43" ht="12" customHeight="1" x14ac:dyDescent="0.3">
      <c r="B36" s="142" t="s">
        <v>43</v>
      </c>
      <c r="C36" s="143" t="s">
        <v>33</v>
      </c>
      <c r="D36" s="143" t="s">
        <v>44</v>
      </c>
      <c r="E36" s="143" t="s">
        <v>89</v>
      </c>
      <c r="F36" s="143" t="s">
        <v>25</v>
      </c>
      <c r="G36" s="143" t="s">
        <v>42</v>
      </c>
      <c r="H36" s="143" t="s">
        <v>72</v>
      </c>
      <c r="I36" s="143" t="s">
        <v>25</v>
      </c>
      <c r="J36" s="143">
        <v>1420.83</v>
      </c>
      <c r="K36" s="143">
        <v>233.3</v>
      </c>
      <c r="L36" s="143">
        <v>12.842078295403301</v>
      </c>
      <c r="M36" s="143">
        <v>3.0365961270824098</v>
      </c>
      <c r="N36" s="143">
        <v>0</v>
      </c>
      <c r="O36" s="143">
        <v>0</v>
      </c>
      <c r="P36" s="143">
        <v>0</v>
      </c>
      <c r="Q36" s="143">
        <v>84.945705662308399</v>
      </c>
      <c r="R36" s="143">
        <v>14.0654748111769</v>
      </c>
      <c r="S36" s="143">
        <v>0</v>
      </c>
      <c r="T36" s="143">
        <v>0</v>
      </c>
      <c r="U36" s="143">
        <v>0</v>
      </c>
      <c r="V36" s="143">
        <v>0</v>
      </c>
      <c r="W36" s="143">
        <v>0</v>
      </c>
      <c r="X36" s="143">
        <v>303.979753496228</v>
      </c>
      <c r="Y36" s="143">
        <v>0</v>
      </c>
      <c r="Z36" s="143">
        <v>0</v>
      </c>
      <c r="AA36" s="143">
        <v>969.08052209147797</v>
      </c>
      <c r="AB36" s="143">
        <v>0</v>
      </c>
      <c r="AC36" s="143">
        <v>0</v>
      </c>
      <c r="AD36" s="143">
        <v>21.2766741657666</v>
      </c>
      <c r="AE36" s="143">
        <v>0</v>
      </c>
      <c r="AF36" s="143">
        <v>11.6060060628231</v>
      </c>
      <c r="AG36" s="143">
        <v>0</v>
      </c>
      <c r="AH36" s="143">
        <v>0</v>
      </c>
      <c r="AI36" s="143">
        <v>0</v>
      </c>
      <c r="AJ36" s="143">
        <v>0</v>
      </c>
      <c r="AK36" s="143">
        <v>0</v>
      </c>
      <c r="AL36" s="143">
        <v>233.29621922484699</v>
      </c>
      <c r="AM36" s="143">
        <v>0</v>
      </c>
      <c r="AN36" s="143">
        <v>0</v>
      </c>
      <c r="AO36" s="143">
        <v>0</v>
      </c>
      <c r="AP36" s="143">
        <v>0</v>
      </c>
      <c r="AQ36" s="144">
        <v>0</v>
      </c>
    </row>
    <row r="37" spans="2:43" ht="12" customHeight="1" x14ac:dyDescent="0.3">
      <c r="B37" s="142" t="s">
        <v>43</v>
      </c>
      <c r="C37" s="143" t="s">
        <v>33</v>
      </c>
      <c r="D37" s="143" t="s">
        <v>44</v>
      </c>
      <c r="E37" s="143" t="s">
        <v>89</v>
      </c>
      <c r="F37" s="143" t="s">
        <v>25</v>
      </c>
      <c r="G37" s="143" t="s">
        <v>34</v>
      </c>
      <c r="H37" s="143" t="s">
        <v>72</v>
      </c>
      <c r="I37" s="143" t="s">
        <v>25</v>
      </c>
      <c r="J37" s="143">
        <v>572.13</v>
      </c>
      <c r="K37" s="143">
        <v>233.3</v>
      </c>
      <c r="L37" s="143">
        <v>12.842078295403301</v>
      </c>
      <c r="M37" s="143">
        <v>3.0365961270824098</v>
      </c>
      <c r="N37" s="143">
        <v>0</v>
      </c>
      <c r="O37" s="143">
        <v>0</v>
      </c>
      <c r="P37" s="143">
        <v>0</v>
      </c>
      <c r="Q37" s="143">
        <v>84.945705662308399</v>
      </c>
      <c r="R37" s="143">
        <v>14.0654748111769</v>
      </c>
      <c r="S37" s="143">
        <v>0</v>
      </c>
      <c r="T37" s="143">
        <v>0</v>
      </c>
      <c r="U37" s="143">
        <v>0</v>
      </c>
      <c r="V37" s="143">
        <v>0</v>
      </c>
      <c r="W37" s="143">
        <v>0</v>
      </c>
      <c r="X37" s="143">
        <v>101.326215638725</v>
      </c>
      <c r="Y37" s="143">
        <v>0</v>
      </c>
      <c r="Z37" s="143">
        <v>0</v>
      </c>
      <c r="AA37" s="143">
        <v>323.026840697159</v>
      </c>
      <c r="AB37" s="143">
        <v>0</v>
      </c>
      <c r="AC37" s="143">
        <v>0</v>
      </c>
      <c r="AD37" s="143">
        <v>21.2766741657666</v>
      </c>
      <c r="AE37" s="143">
        <v>0</v>
      </c>
      <c r="AF37" s="143">
        <v>11.6060060628231</v>
      </c>
      <c r="AG37" s="143">
        <v>0</v>
      </c>
      <c r="AH37" s="143">
        <v>0</v>
      </c>
      <c r="AI37" s="143">
        <v>0</v>
      </c>
      <c r="AJ37" s="143">
        <v>0</v>
      </c>
      <c r="AK37" s="143">
        <v>0</v>
      </c>
      <c r="AL37" s="143">
        <v>233.29621922484699</v>
      </c>
      <c r="AM37" s="143">
        <v>0</v>
      </c>
      <c r="AN37" s="143">
        <v>0</v>
      </c>
      <c r="AO37" s="143">
        <v>0</v>
      </c>
      <c r="AP37" s="143">
        <v>0</v>
      </c>
      <c r="AQ37" s="144">
        <v>0</v>
      </c>
    </row>
    <row r="38" spans="2:43" ht="12" customHeight="1" x14ac:dyDescent="0.3">
      <c r="B38" s="142" t="s">
        <v>43</v>
      </c>
      <c r="C38" s="143" t="s">
        <v>23</v>
      </c>
      <c r="D38" s="143" t="s">
        <v>44</v>
      </c>
      <c r="E38" s="143" t="s">
        <v>88</v>
      </c>
      <c r="F38" s="143" t="s">
        <v>25</v>
      </c>
      <c r="G38" s="143" t="s">
        <v>25</v>
      </c>
      <c r="H38" s="143" t="s">
        <v>72</v>
      </c>
      <c r="I38" s="143" t="s">
        <v>25</v>
      </c>
      <c r="J38" s="143">
        <v>984.79</v>
      </c>
      <c r="K38" s="143">
        <v>238.37</v>
      </c>
      <c r="L38" s="143">
        <v>13.121253910520799</v>
      </c>
      <c r="M38" s="143">
        <v>3.1026090863668099</v>
      </c>
      <c r="N38" s="143">
        <v>0</v>
      </c>
      <c r="O38" s="143">
        <v>0</v>
      </c>
      <c r="P38" s="143">
        <v>0</v>
      </c>
      <c r="Q38" s="143">
        <v>86.792351437576002</v>
      </c>
      <c r="R38" s="143">
        <v>14.371246002724201</v>
      </c>
      <c r="S38" s="143">
        <v>0</v>
      </c>
      <c r="T38" s="143">
        <v>0</v>
      </c>
      <c r="U38" s="143">
        <v>0</v>
      </c>
      <c r="V38" s="143">
        <v>0</v>
      </c>
      <c r="W38" s="143">
        <v>0</v>
      </c>
      <c r="X38" s="143">
        <v>199.09484857792901</v>
      </c>
      <c r="Y38" s="143">
        <v>0</v>
      </c>
      <c r="Z38" s="143">
        <v>0</v>
      </c>
      <c r="AA38" s="143">
        <v>634.71002738594905</v>
      </c>
      <c r="AB38" s="143">
        <v>0</v>
      </c>
      <c r="AC38" s="143">
        <v>0</v>
      </c>
      <c r="AD38" s="143">
        <v>21.7392105606746</v>
      </c>
      <c r="AE38" s="143">
        <v>0</v>
      </c>
      <c r="AF38" s="143">
        <v>11.858310542449701</v>
      </c>
      <c r="AG38" s="143">
        <v>0</v>
      </c>
      <c r="AH38" s="143">
        <v>0</v>
      </c>
      <c r="AI38" s="143">
        <v>0</v>
      </c>
      <c r="AJ38" s="143">
        <v>0</v>
      </c>
      <c r="AK38" s="143">
        <v>0</v>
      </c>
      <c r="AL38" s="143">
        <v>238.36787616451701</v>
      </c>
      <c r="AM38" s="143">
        <v>0</v>
      </c>
      <c r="AN38" s="143">
        <v>0</v>
      </c>
      <c r="AO38" s="143">
        <v>0</v>
      </c>
      <c r="AP38" s="143">
        <v>0</v>
      </c>
      <c r="AQ38" s="144">
        <v>0</v>
      </c>
    </row>
    <row r="39" spans="2:43" ht="12" customHeight="1" x14ac:dyDescent="0.3">
      <c r="B39" s="142" t="s">
        <v>43</v>
      </c>
      <c r="C39" s="143" t="s">
        <v>23</v>
      </c>
      <c r="D39" s="143" t="s">
        <v>44</v>
      </c>
      <c r="E39" s="143" t="s">
        <v>25</v>
      </c>
      <c r="F39" s="143" t="s">
        <v>25</v>
      </c>
      <c r="G39" s="143" t="s">
        <v>25</v>
      </c>
      <c r="H39" s="143" t="s">
        <v>72</v>
      </c>
      <c r="I39" s="143" t="s">
        <v>25</v>
      </c>
      <c r="J39" s="143">
        <v>984.79</v>
      </c>
      <c r="K39" s="143">
        <v>238.37</v>
      </c>
      <c r="L39" s="143">
        <v>13.121253910520799</v>
      </c>
      <c r="M39" s="143">
        <v>3.1026090863668099</v>
      </c>
      <c r="N39" s="143">
        <v>0</v>
      </c>
      <c r="O39" s="143">
        <v>0</v>
      </c>
      <c r="P39" s="143">
        <v>0</v>
      </c>
      <c r="Q39" s="143">
        <v>86.792351437576002</v>
      </c>
      <c r="R39" s="143">
        <v>14.371246002724201</v>
      </c>
      <c r="S39" s="143">
        <v>0</v>
      </c>
      <c r="T39" s="143">
        <v>0</v>
      </c>
      <c r="U39" s="143">
        <v>0</v>
      </c>
      <c r="V39" s="143">
        <v>0</v>
      </c>
      <c r="W39" s="143">
        <v>0</v>
      </c>
      <c r="X39" s="143">
        <v>199.09484857792901</v>
      </c>
      <c r="Y39" s="143">
        <v>0</v>
      </c>
      <c r="Z39" s="143">
        <v>0</v>
      </c>
      <c r="AA39" s="143">
        <v>634.71002738594905</v>
      </c>
      <c r="AB39" s="143">
        <v>0</v>
      </c>
      <c r="AC39" s="143">
        <v>0</v>
      </c>
      <c r="AD39" s="143">
        <v>21.7392105606746</v>
      </c>
      <c r="AE39" s="143">
        <v>0</v>
      </c>
      <c r="AF39" s="143">
        <v>11.858310542449701</v>
      </c>
      <c r="AG39" s="143">
        <v>0</v>
      </c>
      <c r="AH39" s="143">
        <v>0</v>
      </c>
      <c r="AI39" s="143">
        <v>0</v>
      </c>
      <c r="AJ39" s="143">
        <v>0</v>
      </c>
      <c r="AK39" s="143">
        <v>0</v>
      </c>
      <c r="AL39" s="143">
        <v>238.36787616451701</v>
      </c>
      <c r="AM39" s="143">
        <v>0</v>
      </c>
      <c r="AN39" s="143">
        <v>0</v>
      </c>
      <c r="AO39" s="143">
        <v>0</v>
      </c>
      <c r="AP39" s="143">
        <v>0</v>
      </c>
      <c r="AQ39" s="144">
        <v>0</v>
      </c>
    </row>
    <row r="40" spans="2:43" ht="12" customHeight="1" x14ac:dyDescent="0.3">
      <c r="B40" s="142" t="s">
        <v>43</v>
      </c>
      <c r="C40" s="143" t="s">
        <v>23</v>
      </c>
      <c r="D40" s="143" t="s">
        <v>44</v>
      </c>
      <c r="E40" s="143" t="s">
        <v>89</v>
      </c>
      <c r="F40" s="143" t="s">
        <v>25</v>
      </c>
      <c r="G40" s="143" t="s">
        <v>25</v>
      </c>
      <c r="H40" s="143" t="s">
        <v>72</v>
      </c>
      <c r="I40" s="143" t="s">
        <v>25</v>
      </c>
      <c r="J40" s="143">
        <v>963.84</v>
      </c>
      <c r="K40" s="143">
        <v>233.3</v>
      </c>
      <c r="L40" s="143">
        <v>12.842078295403301</v>
      </c>
      <c r="M40" s="143">
        <v>3.0365961270824098</v>
      </c>
      <c r="N40" s="143">
        <v>0</v>
      </c>
      <c r="O40" s="143">
        <v>0</v>
      </c>
      <c r="P40" s="143">
        <v>0</v>
      </c>
      <c r="Q40" s="143">
        <v>84.945705662308399</v>
      </c>
      <c r="R40" s="143">
        <v>14.0654748111769</v>
      </c>
      <c r="S40" s="143">
        <v>0</v>
      </c>
      <c r="T40" s="143">
        <v>0</v>
      </c>
      <c r="U40" s="143">
        <v>0</v>
      </c>
      <c r="V40" s="143">
        <v>0</v>
      </c>
      <c r="W40" s="143">
        <v>0</v>
      </c>
      <c r="X40" s="143">
        <v>194.858787969888</v>
      </c>
      <c r="Y40" s="143">
        <v>0</v>
      </c>
      <c r="Z40" s="143">
        <v>0</v>
      </c>
      <c r="AA40" s="143">
        <v>621.20555871816305</v>
      </c>
      <c r="AB40" s="143">
        <v>0</v>
      </c>
      <c r="AC40" s="143">
        <v>0</v>
      </c>
      <c r="AD40" s="143">
        <v>21.2766741657666</v>
      </c>
      <c r="AE40" s="143">
        <v>0</v>
      </c>
      <c r="AF40" s="143">
        <v>11.6060060628231</v>
      </c>
      <c r="AG40" s="143">
        <v>0</v>
      </c>
      <c r="AH40" s="143">
        <v>0</v>
      </c>
      <c r="AI40" s="143">
        <v>0</v>
      </c>
      <c r="AJ40" s="143">
        <v>0</v>
      </c>
      <c r="AK40" s="143">
        <v>0</v>
      </c>
      <c r="AL40" s="143">
        <v>233.29621922484699</v>
      </c>
      <c r="AM40" s="143">
        <v>0</v>
      </c>
      <c r="AN40" s="143">
        <v>0</v>
      </c>
      <c r="AO40" s="143">
        <v>0</v>
      </c>
      <c r="AP40" s="143">
        <v>0</v>
      </c>
      <c r="AQ40" s="144">
        <v>0</v>
      </c>
    </row>
    <row r="41" spans="2:43" ht="12" customHeight="1" x14ac:dyDescent="0.3">
      <c r="B41" s="142" t="s">
        <v>43</v>
      </c>
      <c r="C41" s="143" t="s">
        <v>87</v>
      </c>
      <c r="D41" s="143" t="s">
        <v>44</v>
      </c>
      <c r="E41" s="143" t="s">
        <v>88</v>
      </c>
      <c r="F41" s="143" t="s">
        <v>25</v>
      </c>
      <c r="G41" s="143" t="s">
        <v>25</v>
      </c>
      <c r="H41" s="143" t="s">
        <v>72</v>
      </c>
      <c r="I41" s="143" t="s">
        <v>25</v>
      </c>
      <c r="J41" s="143">
        <v>984.79</v>
      </c>
      <c r="K41" s="143">
        <v>238.37</v>
      </c>
      <c r="L41" s="143">
        <v>13.121253910520799</v>
      </c>
      <c r="M41" s="143">
        <v>3.1026090863668099</v>
      </c>
      <c r="N41" s="143">
        <v>0</v>
      </c>
      <c r="O41" s="143">
        <v>0</v>
      </c>
      <c r="P41" s="143">
        <v>0</v>
      </c>
      <c r="Q41" s="143">
        <v>86.792351437576002</v>
      </c>
      <c r="R41" s="143">
        <v>14.371246002724201</v>
      </c>
      <c r="S41" s="143">
        <v>0</v>
      </c>
      <c r="T41" s="143">
        <v>0</v>
      </c>
      <c r="U41" s="143">
        <v>0</v>
      </c>
      <c r="V41" s="143">
        <v>0</v>
      </c>
      <c r="W41" s="143">
        <v>0</v>
      </c>
      <c r="X41" s="143">
        <v>199.09484857792901</v>
      </c>
      <c r="Y41" s="143">
        <v>0</v>
      </c>
      <c r="Z41" s="143">
        <v>0</v>
      </c>
      <c r="AA41" s="143">
        <v>634.71002738594905</v>
      </c>
      <c r="AB41" s="143">
        <v>0</v>
      </c>
      <c r="AC41" s="143">
        <v>0</v>
      </c>
      <c r="AD41" s="143">
        <v>21.7392105606746</v>
      </c>
      <c r="AE41" s="143">
        <v>0</v>
      </c>
      <c r="AF41" s="143">
        <v>11.858310542449701</v>
      </c>
      <c r="AG41" s="143">
        <v>0</v>
      </c>
      <c r="AH41" s="143">
        <v>0</v>
      </c>
      <c r="AI41" s="143">
        <v>0</v>
      </c>
      <c r="AJ41" s="143">
        <v>0</v>
      </c>
      <c r="AK41" s="143">
        <v>0</v>
      </c>
      <c r="AL41" s="143">
        <v>238.36787616451701</v>
      </c>
      <c r="AM41" s="143">
        <v>0</v>
      </c>
      <c r="AN41" s="143">
        <v>0</v>
      </c>
      <c r="AO41" s="143">
        <v>0</v>
      </c>
      <c r="AP41" s="143">
        <v>0</v>
      </c>
      <c r="AQ41" s="144">
        <v>0</v>
      </c>
    </row>
    <row r="42" spans="2:43" ht="12" customHeight="1" x14ac:dyDescent="0.3">
      <c r="B42" s="142" t="s">
        <v>43</v>
      </c>
      <c r="C42" s="143" t="s">
        <v>87</v>
      </c>
      <c r="D42" s="143" t="s">
        <v>44</v>
      </c>
      <c r="E42" s="143" t="s">
        <v>25</v>
      </c>
      <c r="F42" s="143" t="s">
        <v>25</v>
      </c>
      <c r="G42" s="143" t="s">
        <v>25</v>
      </c>
      <c r="H42" s="143" t="s">
        <v>72</v>
      </c>
      <c r="I42" s="143" t="s">
        <v>25</v>
      </c>
      <c r="J42" s="143">
        <v>984.79</v>
      </c>
      <c r="K42" s="143">
        <v>238.37</v>
      </c>
      <c r="L42" s="143">
        <v>13.121253910520799</v>
      </c>
      <c r="M42" s="143">
        <v>3.1026090863668099</v>
      </c>
      <c r="N42" s="143">
        <v>0</v>
      </c>
      <c r="O42" s="143">
        <v>0</v>
      </c>
      <c r="P42" s="143">
        <v>0</v>
      </c>
      <c r="Q42" s="143">
        <v>86.792351437576002</v>
      </c>
      <c r="R42" s="143">
        <v>14.371246002724201</v>
      </c>
      <c r="S42" s="143">
        <v>0</v>
      </c>
      <c r="T42" s="143">
        <v>0</v>
      </c>
      <c r="U42" s="143">
        <v>0</v>
      </c>
      <c r="V42" s="143">
        <v>0</v>
      </c>
      <c r="W42" s="143">
        <v>0</v>
      </c>
      <c r="X42" s="143">
        <v>199.09484857792901</v>
      </c>
      <c r="Y42" s="143">
        <v>0</v>
      </c>
      <c r="Z42" s="143">
        <v>0</v>
      </c>
      <c r="AA42" s="143">
        <v>634.71002738594905</v>
      </c>
      <c r="AB42" s="143">
        <v>0</v>
      </c>
      <c r="AC42" s="143">
        <v>0</v>
      </c>
      <c r="AD42" s="143">
        <v>21.7392105606746</v>
      </c>
      <c r="AE42" s="143">
        <v>0</v>
      </c>
      <c r="AF42" s="143">
        <v>11.858310542449701</v>
      </c>
      <c r="AG42" s="143">
        <v>0</v>
      </c>
      <c r="AH42" s="143">
        <v>0</v>
      </c>
      <c r="AI42" s="143">
        <v>0</v>
      </c>
      <c r="AJ42" s="143">
        <v>0</v>
      </c>
      <c r="AK42" s="143">
        <v>0</v>
      </c>
      <c r="AL42" s="143">
        <v>238.36787616451701</v>
      </c>
      <c r="AM42" s="143">
        <v>0</v>
      </c>
      <c r="AN42" s="143">
        <v>0</v>
      </c>
      <c r="AO42" s="143">
        <v>0</v>
      </c>
      <c r="AP42" s="143">
        <v>0</v>
      </c>
      <c r="AQ42" s="144">
        <v>0</v>
      </c>
    </row>
    <row r="43" spans="2:43" ht="12" customHeight="1" x14ac:dyDescent="0.3">
      <c r="B43" s="142" t="s">
        <v>43</v>
      </c>
      <c r="C43" s="143" t="s">
        <v>87</v>
      </c>
      <c r="D43" s="143" t="s">
        <v>44</v>
      </c>
      <c r="E43" s="143" t="s">
        <v>89</v>
      </c>
      <c r="F43" s="143" t="s">
        <v>25</v>
      </c>
      <c r="G43" s="143" t="s">
        <v>25</v>
      </c>
      <c r="H43" s="143" t="s">
        <v>72</v>
      </c>
      <c r="I43" s="143" t="s">
        <v>25</v>
      </c>
      <c r="J43" s="143">
        <v>963.84</v>
      </c>
      <c r="K43" s="143">
        <v>233.3</v>
      </c>
      <c r="L43" s="143">
        <v>12.842078295403301</v>
      </c>
      <c r="M43" s="143">
        <v>3.0365961270824098</v>
      </c>
      <c r="N43" s="143">
        <v>0</v>
      </c>
      <c r="O43" s="143">
        <v>0</v>
      </c>
      <c r="P43" s="143">
        <v>0</v>
      </c>
      <c r="Q43" s="143">
        <v>84.945705662308399</v>
      </c>
      <c r="R43" s="143">
        <v>14.0654748111769</v>
      </c>
      <c r="S43" s="143">
        <v>0</v>
      </c>
      <c r="T43" s="143">
        <v>0</v>
      </c>
      <c r="U43" s="143">
        <v>0</v>
      </c>
      <c r="V43" s="143">
        <v>0</v>
      </c>
      <c r="W43" s="143">
        <v>0</v>
      </c>
      <c r="X43" s="143">
        <v>194.858787969888</v>
      </c>
      <c r="Y43" s="143">
        <v>0</v>
      </c>
      <c r="Z43" s="143">
        <v>0</v>
      </c>
      <c r="AA43" s="143">
        <v>621.20555871816305</v>
      </c>
      <c r="AB43" s="143">
        <v>0</v>
      </c>
      <c r="AC43" s="143">
        <v>0</v>
      </c>
      <c r="AD43" s="143">
        <v>21.2766741657666</v>
      </c>
      <c r="AE43" s="143">
        <v>0</v>
      </c>
      <c r="AF43" s="143">
        <v>11.6060060628231</v>
      </c>
      <c r="AG43" s="143">
        <v>0</v>
      </c>
      <c r="AH43" s="143">
        <v>0</v>
      </c>
      <c r="AI43" s="143">
        <v>0</v>
      </c>
      <c r="AJ43" s="143">
        <v>0</v>
      </c>
      <c r="AK43" s="143">
        <v>0</v>
      </c>
      <c r="AL43" s="143">
        <v>233.29621922484699</v>
      </c>
      <c r="AM43" s="143">
        <v>0</v>
      </c>
      <c r="AN43" s="143">
        <v>0</v>
      </c>
      <c r="AO43" s="143">
        <v>0</v>
      </c>
      <c r="AP43" s="143">
        <v>0</v>
      </c>
      <c r="AQ43" s="144">
        <v>0</v>
      </c>
    </row>
    <row r="44" spans="2:43" ht="12" customHeight="1" x14ac:dyDescent="0.3">
      <c r="B44" s="142" t="s">
        <v>35</v>
      </c>
      <c r="C44" s="143" t="s">
        <v>33</v>
      </c>
      <c r="D44" s="143" t="s">
        <v>25</v>
      </c>
      <c r="E44" s="143" t="s">
        <v>25</v>
      </c>
      <c r="F44" s="143" t="s">
        <v>25</v>
      </c>
      <c r="G44" s="143" t="s">
        <v>39</v>
      </c>
      <c r="H44" s="143" t="s">
        <v>72</v>
      </c>
      <c r="I44" s="143" t="s">
        <v>25</v>
      </c>
      <c r="J44" s="143">
        <v>2866.05</v>
      </c>
      <c r="K44" s="143">
        <v>253.58</v>
      </c>
      <c r="L44" s="143">
        <v>13.9587807558732</v>
      </c>
      <c r="M44" s="143">
        <v>3.3006479642200102</v>
      </c>
      <c r="N44" s="143">
        <v>0</v>
      </c>
      <c r="O44" s="143">
        <v>0</v>
      </c>
      <c r="P44" s="143">
        <v>0</v>
      </c>
      <c r="Q44" s="143">
        <v>92.332288763378699</v>
      </c>
      <c r="R44" s="143">
        <v>15.288559577366099</v>
      </c>
      <c r="S44" s="143">
        <v>0</v>
      </c>
      <c r="T44" s="143">
        <v>0</v>
      </c>
      <c r="U44" s="143">
        <v>0</v>
      </c>
      <c r="V44" s="143">
        <v>0</v>
      </c>
      <c r="W44" s="143">
        <v>0</v>
      </c>
      <c r="X44" s="143">
        <v>645.99978398824203</v>
      </c>
      <c r="Y44" s="143">
        <v>0</v>
      </c>
      <c r="Z44" s="143">
        <v>0</v>
      </c>
      <c r="AA44" s="143">
        <v>2059.43059157691</v>
      </c>
      <c r="AB44" s="143">
        <v>0</v>
      </c>
      <c r="AC44" s="143">
        <v>0</v>
      </c>
      <c r="AD44" s="143">
        <v>23.1268197453985</v>
      </c>
      <c r="AE44" s="143">
        <v>0</v>
      </c>
      <c r="AF44" s="143">
        <v>12.6152239813295</v>
      </c>
      <c r="AG44" s="143">
        <v>0</v>
      </c>
      <c r="AH44" s="143">
        <v>0</v>
      </c>
      <c r="AI44" s="143">
        <v>0</v>
      </c>
      <c r="AJ44" s="143">
        <v>0</v>
      </c>
      <c r="AK44" s="143">
        <v>0</v>
      </c>
      <c r="AL44" s="143">
        <v>253.58284698352901</v>
      </c>
      <c r="AM44" s="143">
        <v>0</v>
      </c>
      <c r="AN44" s="143">
        <v>0</v>
      </c>
      <c r="AO44" s="143">
        <v>0</v>
      </c>
      <c r="AP44" s="143">
        <v>0</v>
      </c>
      <c r="AQ44" s="144">
        <v>0</v>
      </c>
    </row>
    <row r="45" spans="2:43" ht="12" customHeight="1" x14ac:dyDescent="0.3">
      <c r="B45" s="142" t="s">
        <v>35</v>
      </c>
      <c r="C45" s="143" t="s">
        <v>33</v>
      </c>
      <c r="D45" s="143" t="s">
        <v>25</v>
      </c>
      <c r="E45" s="143" t="s">
        <v>25</v>
      </c>
      <c r="F45" s="143" t="s">
        <v>25</v>
      </c>
      <c r="G45" s="143" t="s">
        <v>42</v>
      </c>
      <c r="H45" s="143" t="s">
        <v>72</v>
      </c>
      <c r="I45" s="143" t="s">
        <v>25</v>
      </c>
      <c r="J45" s="143">
        <v>1783.88</v>
      </c>
      <c r="K45" s="143">
        <v>253.58</v>
      </c>
      <c r="L45" s="143">
        <v>13.9587807558732</v>
      </c>
      <c r="M45" s="143">
        <v>3.3006479642200102</v>
      </c>
      <c r="N45" s="143">
        <v>0</v>
      </c>
      <c r="O45" s="143">
        <v>0</v>
      </c>
      <c r="P45" s="143">
        <v>0</v>
      </c>
      <c r="Q45" s="143">
        <v>92.332288763378699</v>
      </c>
      <c r="R45" s="143">
        <v>15.288559577366099</v>
      </c>
      <c r="S45" s="143">
        <v>0</v>
      </c>
      <c r="T45" s="143">
        <v>0</v>
      </c>
      <c r="U45" s="143">
        <v>0</v>
      </c>
      <c r="V45" s="143">
        <v>0</v>
      </c>
      <c r="W45" s="143">
        <v>0</v>
      </c>
      <c r="X45" s="143">
        <v>387.600110953826</v>
      </c>
      <c r="Y45" s="143">
        <v>0</v>
      </c>
      <c r="Z45" s="143">
        <v>0</v>
      </c>
      <c r="AA45" s="143">
        <v>1235.6584632859001</v>
      </c>
      <c r="AB45" s="143">
        <v>0</v>
      </c>
      <c r="AC45" s="143">
        <v>0</v>
      </c>
      <c r="AD45" s="143">
        <v>23.1268197453985</v>
      </c>
      <c r="AE45" s="143">
        <v>0</v>
      </c>
      <c r="AF45" s="143">
        <v>12.6152239813295</v>
      </c>
      <c r="AG45" s="143">
        <v>0</v>
      </c>
      <c r="AH45" s="143">
        <v>0</v>
      </c>
      <c r="AI45" s="143">
        <v>0</v>
      </c>
      <c r="AJ45" s="143">
        <v>0</v>
      </c>
      <c r="AK45" s="143">
        <v>0</v>
      </c>
      <c r="AL45" s="143">
        <v>253.58284698352901</v>
      </c>
      <c r="AM45" s="143">
        <v>0</v>
      </c>
      <c r="AN45" s="143">
        <v>0</v>
      </c>
      <c r="AO45" s="143">
        <v>0</v>
      </c>
      <c r="AP45" s="143">
        <v>0</v>
      </c>
      <c r="AQ45" s="144">
        <v>0</v>
      </c>
    </row>
    <row r="46" spans="2:43" ht="12" customHeight="1" x14ac:dyDescent="0.3">
      <c r="B46" s="142" t="s">
        <v>35</v>
      </c>
      <c r="C46" s="143" t="s">
        <v>33</v>
      </c>
      <c r="D46" s="143" t="s">
        <v>25</v>
      </c>
      <c r="E46" s="143" t="s">
        <v>25</v>
      </c>
      <c r="F46" s="143" t="s">
        <v>25</v>
      </c>
      <c r="G46" s="143" t="s">
        <v>34</v>
      </c>
      <c r="H46" s="143" t="s">
        <v>72</v>
      </c>
      <c r="I46" s="143" t="s">
        <v>25</v>
      </c>
      <c r="J46" s="143">
        <v>701.71</v>
      </c>
      <c r="K46" s="143">
        <v>253.58</v>
      </c>
      <c r="L46" s="143">
        <v>13.9587807558732</v>
      </c>
      <c r="M46" s="143">
        <v>3.3006479642200102</v>
      </c>
      <c r="N46" s="143">
        <v>0</v>
      </c>
      <c r="O46" s="143">
        <v>0</v>
      </c>
      <c r="P46" s="143">
        <v>0</v>
      </c>
      <c r="Q46" s="143">
        <v>92.332288763378699</v>
      </c>
      <c r="R46" s="143">
        <v>15.288559577366099</v>
      </c>
      <c r="S46" s="143">
        <v>0</v>
      </c>
      <c r="T46" s="143">
        <v>0</v>
      </c>
      <c r="U46" s="143">
        <v>0</v>
      </c>
      <c r="V46" s="143">
        <v>0</v>
      </c>
      <c r="W46" s="143">
        <v>0</v>
      </c>
      <c r="X46" s="143">
        <v>129.20043791941001</v>
      </c>
      <c r="Y46" s="143">
        <v>0</v>
      </c>
      <c r="Z46" s="143">
        <v>0</v>
      </c>
      <c r="AA46" s="143">
        <v>411.88606414550702</v>
      </c>
      <c r="AB46" s="143">
        <v>0</v>
      </c>
      <c r="AC46" s="143">
        <v>0</v>
      </c>
      <c r="AD46" s="143">
        <v>23.1268197453985</v>
      </c>
      <c r="AE46" s="143">
        <v>0</v>
      </c>
      <c r="AF46" s="143">
        <v>12.6152239813295</v>
      </c>
      <c r="AG46" s="143">
        <v>0</v>
      </c>
      <c r="AH46" s="143">
        <v>0</v>
      </c>
      <c r="AI46" s="143">
        <v>0</v>
      </c>
      <c r="AJ46" s="143">
        <v>0</v>
      </c>
      <c r="AK46" s="143">
        <v>0</v>
      </c>
      <c r="AL46" s="143">
        <v>253.58284698352901</v>
      </c>
      <c r="AM46" s="143">
        <v>0</v>
      </c>
      <c r="AN46" s="143">
        <v>0</v>
      </c>
      <c r="AO46" s="143">
        <v>0</v>
      </c>
      <c r="AP46" s="143">
        <v>0</v>
      </c>
      <c r="AQ46" s="144">
        <v>0</v>
      </c>
    </row>
    <row r="47" spans="2:43" ht="12" customHeight="1" x14ac:dyDescent="0.3">
      <c r="B47" s="142" t="s">
        <v>35</v>
      </c>
      <c r="C47" s="143" t="s">
        <v>23</v>
      </c>
      <c r="D47" s="143" t="s">
        <v>25</v>
      </c>
      <c r="E47" s="143" t="s">
        <v>25</v>
      </c>
      <c r="F47" s="143" t="s">
        <v>25</v>
      </c>
      <c r="G47" s="143" t="s">
        <v>25</v>
      </c>
      <c r="H47" s="143" t="s">
        <v>72</v>
      </c>
      <c r="I47" s="143" t="s">
        <v>25</v>
      </c>
      <c r="J47" s="143">
        <v>1047.6500000000001</v>
      </c>
      <c r="K47" s="143">
        <v>253.58</v>
      </c>
      <c r="L47" s="143">
        <v>13.9587807558732</v>
      </c>
      <c r="M47" s="143">
        <v>3.3006479642200102</v>
      </c>
      <c r="N47" s="143">
        <v>0</v>
      </c>
      <c r="O47" s="143">
        <v>0</v>
      </c>
      <c r="P47" s="143">
        <v>0</v>
      </c>
      <c r="Q47" s="143">
        <v>92.332288763378699</v>
      </c>
      <c r="R47" s="143">
        <v>15.288559577366099</v>
      </c>
      <c r="S47" s="143">
        <v>0</v>
      </c>
      <c r="T47" s="143">
        <v>0</v>
      </c>
      <c r="U47" s="143">
        <v>0</v>
      </c>
      <c r="V47" s="143">
        <v>0</v>
      </c>
      <c r="W47" s="143">
        <v>0</v>
      </c>
      <c r="X47" s="143">
        <v>211.803030402053</v>
      </c>
      <c r="Y47" s="143">
        <v>0</v>
      </c>
      <c r="Z47" s="143">
        <v>0</v>
      </c>
      <c r="AA47" s="143">
        <v>675.22343338930705</v>
      </c>
      <c r="AB47" s="143">
        <v>0</v>
      </c>
      <c r="AC47" s="143">
        <v>0</v>
      </c>
      <c r="AD47" s="143">
        <v>23.1268197453985</v>
      </c>
      <c r="AE47" s="143">
        <v>0</v>
      </c>
      <c r="AF47" s="143">
        <v>12.6152239813295</v>
      </c>
      <c r="AG47" s="143">
        <v>0</v>
      </c>
      <c r="AH47" s="143">
        <v>0</v>
      </c>
      <c r="AI47" s="143">
        <v>0</v>
      </c>
      <c r="AJ47" s="143">
        <v>0</v>
      </c>
      <c r="AK47" s="143">
        <v>0</v>
      </c>
      <c r="AL47" s="143">
        <v>253.58284698352901</v>
      </c>
      <c r="AM47" s="143">
        <v>0</v>
      </c>
      <c r="AN47" s="143">
        <v>0</v>
      </c>
      <c r="AO47" s="143">
        <v>0</v>
      </c>
      <c r="AP47" s="143">
        <v>0</v>
      </c>
      <c r="AQ47" s="144">
        <v>0</v>
      </c>
    </row>
    <row r="48" spans="2:43" ht="12" customHeight="1" x14ac:dyDescent="0.3">
      <c r="B48" s="142" t="s">
        <v>35</v>
      </c>
      <c r="C48" s="143" t="s">
        <v>87</v>
      </c>
      <c r="D48" s="143" t="s">
        <v>25</v>
      </c>
      <c r="E48" s="143" t="s">
        <v>25</v>
      </c>
      <c r="F48" s="143" t="s">
        <v>25</v>
      </c>
      <c r="G48" s="143" t="s">
        <v>25</v>
      </c>
      <c r="H48" s="143" t="s">
        <v>72</v>
      </c>
      <c r="I48" s="143" t="s">
        <v>25</v>
      </c>
      <c r="J48" s="143">
        <v>1047.6500000000001</v>
      </c>
      <c r="K48" s="143">
        <v>253.58</v>
      </c>
      <c r="L48" s="143">
        <v>13.9587807558732</v>
      </c>
      <c r="M48" s="143">
        <v>3.3006479642200102</v>
      </c>
      <c r="N48" s="143">
        <v>0</v>
      </c>
      <c r="O48" s="143">
        <v>0</v>
      </c>
      <c r="P48" s="143">
        <v>0</v>
      </c>
      <c r="Q48" s="143">
        <v>92.332288763378699</v>
      </c>
      <c r="R48" s="143">
        <v>15.288559577366099</v>
      </c>
      <c r="S48" s="143">
        <v>0</v>
      </c>
      <c r="T48" s="143">
        <v>0</v>
      </c>
      <c r="U48" s="143">
        <v>0</v>
      </c>
      <c r="V48" s="143">
        <v>0</v>
      </c>
      <c r="W48" s="143">
        <v>0</v>
      </c>
      <c r="X48" s="143">
        <v>211.803030402053</v>
      </c>
      <c r="Y48" s="143">
        <v>0</v>
      </c>
      <c r="Z48" s="143">
        <v>0</v>
      </c>
      <c r="AA48" s="143">
        <v>675.22343338930705</v>
      </c>
      <c r="AB48" s="143">
        <v>0</v>
      </c>
      <c r="AC48" s="143">
        <v>0</v>
      </c>
      <c r="AD48" s="143">
        <v>23.1268197453985</v>
      </c>
      <c r="AE48" s="143">
        <v>0</v>
      </c>
      <c r="AF48" s="143">
        <v>12.6152239813295</v>
      </c>
      <c r="AG48" s="143">
        <v>0</v>
      </c>
      <c r="AH48" s="143">
        <v>0</v>
      </c>
      <c r="AI48" s="143">
        <v>0</v>
      </c>
      <c r="AJ48" s="143">
        <v>0</v>
      </c>
      <c r="AK48" s="143">
        <v>0</v>
      </c>
      <c r="AL48" s="143">
        <v>253.58284698352901</v>
      </c>
      <c r="AM48" s="143">
        <v>0</v>
      </c>
      <c r="AN48" s="143">
        <v>0</v>
      </c>
      <c r="AO48" s="143">
        <v>0</v>
      </c>
      <c r="AP48" s="143">
        <v>0</v>
      </c>
      <c r="AQ48" s="144">
        <v>0</v>
      </c>
    </row>
    <row r="49" spans="2:43" ht="12" customHeight="1" x14ac:dyDescent="0.3">
      <c r="B49" s="142" t="s">
        <v>46</v>
      </c>
      <c r="C49" s="143" t="s">
        <v>23</v>
      </c>
      <c r="D49" s="143" t="s">
        <v>47</v>
      </c>
      <c r="E49" s="143" t="s">
        <v>48</v>
      </c>
      <c r="F49" s="143" t="s">
        <v>25</v>
      </c>
      <c r="G49" s="143" t="s">
        <v>25</v>
      </c>
      <c r="H49" s="143" t="s">
        <v>72</v>
      </c>
      <c r="I49" s="143" t="s">
        <v>25</v>
      </c>
      <c r="J49" s="143">
        <v>576.21</v>
      </c>
      <c r="K49" s="143">
        <v>139.47</v>
      </c>
      <c r="L49" s="143">
        <v>7.6773294157302496</v>
      </c>
      <c r="M49" s="143">
        <v>1.815356380321</v>
      </c>
      <c r="N49" s="143">
        <v>0</v>
      </c>
      <c r="O49" s="143">
        <v>0</v>
      </c>
      <c r="P49" s="143">
        <v>0</v>
      </c>
      <c r="Q49" s="143">
        <v>50.782758819858302</v>
      </c>
      <c r="R49" s="143">
        <v>8.4087077675513804</v>
      </c>
      <c r="S49" s="143">
        <v>0</v>
      </c>
      <c r="T49" s="143">
        <v>0</v>
      </c>
      <c r="U49" s="143">
        <v>0</v>
      </c>
      <c r="V49" s="143">
        <v>0</v>
      </c>
      <c r="W49" s="143">
        <v>0</v>
      </c>
      <c r="X49" s="143">
        <v>116.49166672112899</v>
      </c>
      <c r="Y49" s="143">
        <v>0</v>
      </c>
      <c r="Z49" s="143">
        <v>0</v>
      </c>
      <c r="AA49" s="143">
        <v>371.37288836411898</v>
      </c>
      <c r="AB49" s="143">
        <v>0</v>
      </c>
      <c r="AC49" s="143">
        <v>0</v>
      </c>
      <c r="AD49" s="143">
        <v>12.719750859969199</v>
      </c>
      <c r="AE49" s="143">
        <v>0</v>
      </c>
      <c r="AF49" s="143">
        <v>6.9383731897312</v>
      </c>
      <c r="AG49" s="143">
        <v>0</v>
      </c>
      <c r="AH49" s="143">
        <v>0</v>
      </c>
      <c r="AI49" s="143">
        <v>0</v>
      </c>
      <c r="AJ49" s="143">
        <v>0</v>
      </c>
      <c r="AK49" s="143">
        <v>0</v>
      </c>
      <c r="AL49" s="143">
        <v>139.47056584094099</v>
      </c>
      <c r="AM49" s="143">
        <v>0</v>
      </c>
      <c r="AN49" s="143">
        <v>0</v>
      </c>
      <c r="AO49" s="143">
        <v>0</v>
      </c>
      <c r="AP49" s="143">
        <v>0</v>
      </c>
      <c r="AQ49" s="144">
        <v>0</v>
      </c>
    </row>
    <row r="50" spans="2:43" ht="12" customHeight="1" x14ac:dyDescent="0.3">
      <c r="B50" s="145" t="s">
        <v>46</v>
      </c>
      <c r="C50" s="146" t="s">
        <v>23</v>
      </c>
      <c r="D50" s="146" t="s">
        <v>47</v>
      </c>
      <c r="E50" s="146" t="s">
        <v>90</v>
      </c>
      <c r="F50" s="146" t="s">
        <v>25</v>
      </c>
      <c r="G50" s="146" t="s">
        <v>25</v>
      </c>
      <c r="H50" s="146" t="s">
        <v>72</v>
      </c>
      <c r="I50" s="146" t="s">
        <v>25</v>
      </c>
      <c r="J50" s="146">
        <v>628.59</v>
      </c>
      <c r="K50" s="146">
        <v>152.15</v>
      </c>
      <c r="L50" s="146">
        <v>8.3752684535238995</v>
      </c>
      <c r="M50" s="146">
        <v>1.980388778532</v>
      </c>
      <c r="N50" s="146">
        <v>0</v>
      </c>
      <c r="O50" s="146">
        <v>0</v>
      </c>
      <c r="P50" s="146">
        <v>0</v>
      </c>
      <c r="Q50" s="146">
        <v>55.399373258027197</v>
      </c>
      <c r="R50" s="146">
        <v>9.1731357464196908</v>
      </c>
      <c r="S50" s="146">
        <v>0</v>
      </c>
      <c r="T50" s="146">
        <v>0</v>
      </c>
      <c r="U50" s="146">
        <v>0</v>
      </c>
      <c r="V50" s="146">
        <v>0</v>
      </c>
      <c r="W50" s="146">
        <v>0</v>
      </c>
      <c r="X50" s="146">
        <v>127.081818241232</v>
      </c>
      <c r="Y50" s="146">
        <v>0</v>
      </c>
      <c r="Z50" s="146">
        <v>0</v>
      </c>
      <c r="AA50" s="146">
        <v>405.13406003358398</v>
      </c>
      <c r="AB50" s="146">
        <v>0</v>
      </c>
      <c r="AC50" s="146">
        <v>0</v>
      </c>
      <c r="AD50" s="146">
        <v>13.876091847239101</v>
      </c>
      <c r="AE50" s="146">
        <v>0</v>
      </c>
      <c r="AF50" s="146">
        <v>7.5691343887976696</v>
      </c>
      <c r="AG50" s="146">
        <v>0</v>
      </c>
      <c r="AH50" s="146">
        <v>0</v>
      </c>
      <c r="AI50" s="146">
        <v>0</v>
      </c>
      <c r="AJ50" s="146">
        <v>0</v>
      </c>
      <c r="AK50" s="146">
        <v>0</v>
      </c>
      <c r="AL50" s="146">
        <v>152.149708190117</v>
      </c>
      <c r="AM50" s="146">
        <v>0</v>
      </c>
      <c r="AN50" s="146">
        <v>0</v>
      </c>
      <c r="AO50" s="146">
        <v>0</v>
      </c>
      <c r="AP50" s="146">
        <v>0</v>
      </c>
      <c r="AQ50" s="147">
        <v>0</v>
      </c>
    </row>
  </sheetData>
  <mergeCells count="8">
    <mergeCell ref="L1:AG1"/>
    <mergeCell ref="AH1:AQ1"/>
    <mergeCell ref="L2:S2"/>
    <mergeCell ref="T2:Z2"/>
    <mergeCell ref="AB2:AC2"/>
    <mergeCell ref="AD2:AG2"/>
    <mergeCell ref="AH2:AK2"/>
    <mergeCell ref="AM2:AP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6E69-F66C-45FB-88A4-DEC265501887}">
  <dimension ref="B1:AQ50"/>
  <sheetViews>
    <sheetView showGridLines="0" tabSelected="1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13.88671875" bestFit="1" customWidth="1"/>
    <col min="30" max="30" width="10.88671875" bestFit="1" customWidth="1"/>
    <col min="31" max="31" width="17.109375" bestFit="1" customWidth="1"/>
    <col min="32" max="32" width="12.21875" bestFit="1" customWidth="1"/>
    <col min="33" max="33" width="10.44140625" bestFit="1" customWidth="1"/>
    <col min="34" max="34" width="16.109375" bestFit="1" customWidth="1"/>
    <col min="35" max="35" width="9.5546875" bestFit="1" customWidth="1"/>
    <col min="36" max="36" width="12.44140625" bestFit="1" customWidth="1"/>
    <col min="37" max="37" width="11.88671875" bestFit="1" customWidth="1"/>
    <col min="38" max="38" width="13.6640625" bestFit="1" customWidth="1"/>
    <col min="39" max="39" width="24.5546875" bestFit="1" customWidth="1"/>
    <col min="40" max="40" width="17.44140625" bestFit="1" customWidth="1"/>
    <col min="41" max="41" width="13.21875" bestFit="1" customWidth="1"/>
    <col min="42" max="42" width="12.77734375" bestFit="1" customWidth="1"/>
    <col min="43" max="43" width="12.21875" bestFit="1" customWidth="1"/>
  </cols>
  <sheetData>
    <row r="1" spans="2:43" ht="12" customHeight="1" x14ac:dyDescent="0.3">
      <c r="L1" s="148" t="s">
        <v>1148</v>
      </c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9"/>
      <c r="AH1" s="148" t="s">
        <v>1149</v>
      </c>
      <c r="AI1" s="148"/>
      <c r="AJ1" s="148"/>
      <c r="AK1" s="148"/>
      <c r="AL1" s="148"/>
      <c r="AM1" s="148"/>
      <c r="AN1" s="148"/>
      <c r="AO1" s="148"/>
      <c r="AP1" s="148"/>
      <c r="AQ1" s="148"/>
    </row>
    <row r="2" spans="2:43" ht="12" customHeight="1" x14ac:dyDescent="0.3">
      <c r="L2" s="150" t="s">
        <v>471</v>
      </c>
      <c r="M2" s="150"/>
      <c r="N2" s="150"/>
      <c r="O2" s="150"/>
      <c r="P2" s="150"/>
      <c r="Q2" s="150"/>
      <c r="R2" s="150"/>
      <c r="S2" s="151"/>
      <c r="T2" s="150" t="s">
        <v>480</v>
      </c>
      <c r="U2" s="150"/>
      <c r="V2" s="150"/>
      <c r="W2" s="150"/>
      <c r="X2" s="150"/>
      <c r="Y2" s="150"/>
      <c r="Z2" s="151"/>
      <c r="AA2" s="152" t="s">
        <v>488</v>
      </c>
      <c r="AB2" s="150" t="s">
        <v>25</v>
      </c>
      <c r="AC2" s="151"/>
      <c r="AD2" s="150" t="s">
        <v>1147</v>
      </c>
      <c r="AE2" s="150"/>
      <c r="AF2" s="150"/>
      <c r="AG2" s="151"/>
      <c r="AH2" s="150" t="s">
        <v>471</v>
      </c>
      <c r="AI2" s="150"/>
      <c r="AJ2" s="150"/>
      <c r="AK2" s="151"/>
      <c r="AL2" s="152" t="s">
        <v>501</v>
      </c>
      <c r="AM2" s="150" t="s">
        <v>480</v>
      </c>
      <c r="AN2" s="150"/>
      <c r="AO2" s="150"/>
      <c r="AP2" s="151"/>
      <c r="AQ2" s="153" t="s">
        <v>1147</v>
      </c>
    </row>
    <row r="3" spans="2:43" ht="12" customHeight="1" x14ac:dyDescent="0.3">
      <c r="B3" s="139" t="s">
        <v>62</v>
      </c>
      <c r="C3" s="140" t="s">
        <v>63</v>
      </c>
      <c r="D3" s="140" t="s">
        <v>64</v>
      </c>
      <c r="E3" s="140" t="s">
        <v>65</v>
      </c>
      <c r="F3" s="140" t="s">
        <v>66</v>
      </c>
      <c r="G3" s="140" t="s">
        <v>68</v>
      </c>
      <c r="H3" s="140" t="s">
        <v>69</v>
      </c>
      <c r="I3" s="140" t="s">
        <v>747</v>
      </c>
      <c r="J3" s="140" t="s">
        <v>1112</v>
      </c>
      <c r="K3" s="140" t="s">
        <v>1113</v>
      </c>
      <c r="L3" s="140" t="s">
        <v>1114</v>
      </c>
      <c r="M3" s="140" t="s">
        <v>1115</v>
      </c>
      <c r="N3" s="140" t="s">
        <v>1116</v>
      </c>
      <c r="O3" s="140" t="s">
        <v>1117</v>
      </c>
      <c r="P3" s="140" t="s">
        <v>1118</v>
      </c>
      <c r="Q3" s="140" t="s">
        <v>1119</v>
      </c>
      <c r="R3" s="140" t="s">
        <v>1120</v>
      </c>
      <c r="S3" s="140" t="s">
        <v>1121</v>
      </c>
      <c r="T3" s="140" t="s">
        <v>1122</v>
      </c>
      <c r="U3" s="140" t="s">
        <v>1123</v>
      </c>
      <c r="V3" s="140" t="s">
        <v>1124</v>
      </c>
      <c r="W3" s="140" t="s">
        <v>1125</v>
      </c>
      <c r="X3" s="140" t="s">
        <v>1126</v>
      </c>
      <c r="Y3" s="140" t="s">
        <v>1127</v>
      </c>
      <c r="Z3" s="140" t="s">
        <v>1128</v>
      </c>
      <c r="AA3" s="140" t="s">
        <v>1129</v>
      </c>
      <c r="AB3" s="140" t="s">
        <v>1130</v>
      </c>
      <c r="AC3" s="140" t="s">
        <v>1131</v>
      </c>
      <c r="AD3" s="140" t="s">
        <v>1132</v>
      </c>
      <c r="AE3" s="140" t="s">
        <v>1133</v>
      </c>
      <c r="AF3" s="140" t="s">
        <v>1134</v>
      </c>
      <c r="AG3" s="140" t="s">
        <v>1135</v>
      </c>
      <c r="AH3" s="140" t="s">
        <v>1136</v>
      </c>
      <c r="AI3" s="140" t="s">
        <v>1137</v>
      </c>
      <c r="AJ3" s="140" t="s">
        <v>1138</v>
      </c>
      <c r="AK3" s="140" t="s">
        <v>1139</v>
      </c>
      <c r="AL3" s="140" t="s">
        <v>1140</v>
      </c>
      <c r="AM3" s="140" t="s">
        <v>1141</v>
      </c>
      <c r="AN3" s="140" t="s">
        <v>1142</v>
      </c>
      <c r="AO3" s="140" t="s">
        <v>1143</v>
      </c>
      <c r="AP3" s="140" t="s">
        <v>1144</v>
      </c>
      <c r="AQ3" s="141" t="s">
        <v>1145</v>
      </c>
    </row>
    <row r="4" spans="2:43" ht="12" customHeight="1" x14ac:dyDescent="0.3">
      <c r="B4" s="142" t="s">
        <v>37</v>
      </c>
      <c r="C4" s="143" t="s">
        <v>41</v>
      </c>
      <c r="D4" s="143" t="s">
        <v>25</v>
      </c>
      <c r="E4" s="143" t="s">
        <v>25</v>
      </c>
      <c r="F4" s="143" t="s">
        <v>80</v>
      </c>
      <c r="G4" s="143" t="s">
        <v>39</v>
      </c>
      <c r="H4" s="143" t="s">
        <v>72</v>
      </c>
      <c r="I4" s="143" t="s">
        <v>25</v>
      </c>
      <c r="J4" s="143">
        <v>0</v>
      </c>
      <c r="K4" s="143">
        <v>0</v>
      </c>
      <c r="L4" s="143">
        <v>0</v>
      </c>
      <c r="M4" s="143">
        <v>0</v>
      </c>
      <c r="N4" s="143">
        <v>0</v>
      </c>
      <c r="O4" s="143">
        <v>0</v>
      </c>
      <c r="P4" s="143">
        <v>0</v>
      </c>
      <c r="Q4" s="143">
        <v>0</v>
      </c>
      <c r="R4" s="143">
        <v>0</v>
      </c>
      <c r="S4" s="143">
        <v>0</v>
      </c>
      <c r="T4" s="143">
        <v>0</v>
      </c>
      <c r="U4" s="143">
        <v>0</v>
      </c>
      <c r="V4" s="143">
        <v>0</v>
      </c>
      <c r="W4" s="143">
        <v>0</v>
      </c>
      <c r="X4" s="143">
        <v>0</v>
      </c>
      <c r="Y4" s="143">
        <v>0</v>
      </c>
      <c r="Z4" s="143">
        <v>0</v>
      </c>
      <c r="AA4" s="143">
        <v>0</v>
      </c>
      <c r="AB4" s="143">
        <v>0</v>
      </c>
      <c r="AC4" s="143">
        <v>0</v>
      </c>
      <c r="AD4" s="143">
        <v>0</v>
      </c>
      <c r="AE4" s="143">
        <v>0</v>
      </c>
      <c r="AF4" s="143">
        <v>0</v>
      </c>
      <c r="AG4" s="143">
        <v>0</v>
      </c>
      <c r="AH4" s="143">
        <v>0</v>
      </c>
      <c r="AI4" s="143">
        <v>0</v>
      </c>
      <c r="AJ4" s="143">
        <v>0</v>
      </c>
      <c r="AK4" s="143">
        <v>0</v>
      </c>
      <c r="AL4" s="143">
        <v>0</v>
      </c>
      <c r="AM4" s="143">
        <v>0</v>
      </c>
      <c r="AN4" s="143">
        <v>0</v>
      </c>
      <c r="AO4" s="143">
        <v>0</v>
      </c>
      <c r="AP4" s="143">
        <v>0</v>
      </c>
      <c r="AQ4" s="144">
        <v>0</v>
      </c>
    </row>
    <row r="5" spans="2:43" ht="12" customHeight="1" x14ac:dyDescent="0.3">
      <c r="B5" s="142" t="s">
        <v>37</v>
      </c>
      <c r="C5" s="143" t="s">
        <v>41</v>
      </c>
      <c r="D5" s="143" t="s">
        <v>25</v>
      </c>
      <c r="E5" s="143" t="s">
        <v>25</v>
      </c>
      <c r="F5" s="143" t="s">
        <v>80</v>
      </c>
      <c r="G5" s="143" t="s">
        <v>39</v>
      </c>
      <c r="H5" s="143" t="s">
        <v>77</v>
      </c>
      <c r="I5" s="143" t="s">
        <v>25</v>
      </c>
      <c r="J5" s="143">
        <v>0</v>
      </c>
      <c r="K5" s="143">
        <v>0</v>
      </c>
      <c r="L5" s="143">
        <v>0</v>
      </c>
      <c r="M5" s="143">
        <v>0</v>
      </c>
      <c r="N5" s="143">
        <v>0</v>
      </c>
      <c r="O5" s="143">
        <v>0</v>
      </c>
      <c r="P5" s="143">
        <v>0</v>
      </c>
      <c r="Q5" s="143">
        <v>0</v>
      </c>
      <c r="R5" s="143">
        <v>0</v>
      </c>
      <c r="S5" s="143">
        <v>0</v>
      </c>
      <c r="T5" s="143">
        <v>0</v>
      </c>
      <c r="U5" s="143">
        <v>0</v>
      </c>
      <c r="V5" s="143">
        <v>0</v>
      </c>
      <c r="W5" s="143">
        <v>0</v>
      </c>
      <c r="X5" s="143">
        <v>0</v>
      </c>
      <c r="Y5" s="143">
        <v>0</v>
      </c>
      <c r="Z5" s="143">
        <v>0</v>
      </c>
      <c r="AA5" s="143">
        <v>0</v>
      </c>
      <c r="AB5" s="143">
        <v>0</v>
      </c>
      <c r="AC5" s="143">
        <v>0</v>
      </c>
      <c r="AD5" s="143">
        <v>0</v>
      </c>
      <c r="AE5" s="143">
        <v>0</v>
      </c>
      <c r="AF5" s="143">
        <v>0</v>
      </c>
      <c r="AG5" s="143">
        <v>0</v>
      </c>
      <c r="AH5" s="143">
        <v>0</v>
      </c>
      <c r="AI5" s="143">
        <v>0</v>
      </c>
      <c r="AJ5" s="143">
        <v>0</v>
      </c>
      <c r="AK5" s="143">
        <v>0</v>
      </c>
      <c r="AL5" s="143">
        <v>0</v>
      </c>
      <c r="AM5" s="143">
        <v>0</v>
      </c>
      <c r="AN5" s="143">
        <v>0</v>
      </c>
      <c r="AO5" s="143">
        <v>0</v>
      </c>
      <c r="AP5" s="143">
        <v>0</v>
      </c>
      <c r="AQ5" s="144">
        <v>0</v>
      </c>
    </row>
    <row r="6" spans="2:43" ht="12" customHeight="1" x14ac:dyDescent="0.3">
      <c r="B6" s="142" t="s">
        <v>37</v>
      </c>
      <c r="C6" s="143" t="s">
        <v>41</v>
      </c>
      <c r="D6" s="143" t="s">
        <v>25</v>
      </c>
      <c r="E6" s="143" t="s">
        <v>25</v>
      </c>
      <c r="F6" s="143" t="s">
        <v>80</v>
      </c>
      <c r="G6" s="143" t="s">
        <v>34</v>
      </c>
      <c r="H6" s="143" t="s">
        <v>72</v>
      </c>
      <c r="I6" s="143" t="s">
        <v>25</v>
      </c>
      <c r="J6" s="143">
        <v>0</v>
      </c>
      <c r="K6" s="143">
        <v>0</v>
      </c>
      <c r="L6" s="143">
        <v>0</v>
      </c>
      <c r="M6" s="143">
        <v>0</v>
      </c>
      <c r="N6" s="143">
        <v>0</v>
      </c>
      <c r="O6" s="143">
        <v>0</v>
      </c>
      <c r="P6" s="143">
        <v>0</v>
      </c>
      <c r="Q6" s="143">
        <v>0</v>
      </c>
      <c r="R6" s="143">
        <v>0</v>
      </c>
      <c r="S6" s="143">
        <v>0</v>
      </c>
      <c r="T6" s="143">
        <v>0</v>
      </c>
      <c r="U6" s="143">
        <v>0</v>
      </c>
      <c r="V6" s="143">
        <v>0</v>
      </c>
      <c r="W6" s="143">
        <v>0</v>
      </c>
      <c r="X6" s="143">
        <v>0</v>
      </c>
      <c r="Y6" s="143">
        <v>0</v>
      </c>
      <c r="Z6" s="143">
        <v>0</v>
      </c>
      <c r="AA6" s="143">
        <v>0</v>
      </c>
      <c r="AB6" s="143">
        <v>0</v>
      </c>
      <c r="AC6" s="143">
        <v>0</v>
      </c>
      <c r="AD6" s="143">
        <v>0</v>
      </c>
      <c r="AE6" s="143">
        <v>0</v>
      </c>
      <c r="AF6" s="143">
        <v>0</v>
      </c>
      <c r="AG6" s="143">
        <v>0</v>
      </c>
      <c r="AH6" s="143">
        <v>0</v>
      </c>
      <c r="AI6" s="143">
        <v>0</v>
      </c>
      <c r="AJ6" s="143">
        <v>0</v>
      </c>
      <c r="AK6" s="143">
        <v>0</v>
      </c>
      <c r="AL6" s="143">
        <v>0</v>
      </c>
      <c r="AM6" s="143">
        <v>0</v>
      </c>
      <c r="AN6" s="143">
        <v>0</v>
      </c>
      <c r="AO6" s="143">
        <v>0</v>
      </c>
      <c r="AP6" s="143">
        <v>0</v>
      </c>
      <c r="AQ6" s="144">
        <v>0</v>
      </c>
    </row>
    <row r="7" spans="2:43" ht="12" customHeight="1" x14ac:dyDescent="0.3">
      <c r="B7" s="142" t="s">
        <v>37</v>
      </c>
      <c r="C7" s="143" t="s">
        <v>41</v>
      </c>
      <c r="D7" s="143" t="s">
        <v>25</v>
      </c>
      <c r="E7" s="143" t="s">
        <v>25</v>
      </c>
      <c r="F7" s="143" t="s">
        <v>80</v>
      </c>
      <c r="G7" s="143" t="s">
        <v>34</v>
      </c>
      <c r="H7" s="143" t="s">
        <v>77</v>
      </c>
      <c r="I7" s="143" t="s">
        <v>25</v>
      </c>
      <c r="J7" s="143">
        <v>0</v>
      </c>
      <c r="K7" s="143">
        <v>0</v>
      </c>
      <c r="L7" s="143">
        <v>0</v>
      </c>
      <c r="M7" s="143">
        <v>0</v>
      </c>
      <c r="N7" s="143">
        <v>0</v>
      </c>
      <c r="O7" s="143">
        <v>0</v>
      </c>
      <c r="P7" s="143">
        <v>0</v>
      </c>
      <c r="Q7" s="143">
        <v>0</v>
      </c>
      <c r="R7" s="143">
        <v>0</v>
      </c>
      <c r="S7" s="143">
        <v>0</v>
      </c>
      <c r="T7" s="143">
        <v>0</v>
      </c>
      <c r="U7" s="143">
        <v>0</v>
      </c>
      <c r="V7" s="143">
        <v>0</v>
      </c>
      <c r="W7" s="143">
        <v>0</v>
      </c>
      <c r="X7" s="143">
        <v>0</v>
      </c>
      <c r="Y7" s="143">
        <v>0</v>
      </c>
      <c r="Z7" s="143">
        <v>0</v>
      </c>
      <c r="AA7" s="143">
        <v>0</v>
      </c>
      <c r="AB7" s="143">
        <v>0</v>
      </c>
      <c r="AC7" s="143">
        <v>0</v>
      </c>
      <c r="AD7" s="143">
        <v>0</v>
      </c>
      <c r="AE7" s="143">
        <v>0</v>
      </c>
      <c r="AF7" s="143">
        <v>0</v>
      </c>
      <c r="AG7" s="143">
        <v>0</v>
      </c>
      <c r="AH7" s="143">
        <v>0</v>
      </c>
      <c r="AI7" s="143">
        <v>0</v>
      </c>
      <c r="AJ7" s="143">
        <v>0</v>
      </c>
      <c r="AK7" s="143">
        <v>0</v>
      </c>
      <c r="AL7" s="143">
        <v>0</v>
      </c>
      <c r="AM7" s="143">
        <v>0</v>
      </c>
      <c r="AN7" s="143">
        <v>0</v>
      </c>
      <c r="AO7" s="143">
        <v>0</v>
      </c>
      <c r="AP7" s="143">
        <v>0</v>
      </c>
      <c r="AQ7" s="144">
        <v>0</v>
      </c>
    </row>
    <row r="8" spans="2:43" ht="12" customHeight="1" x14ac:dyDescent="0.3">
      <c r="B8" s="142" t="s">
        <v>37</v>
      </c>
      <c r="C8" s="143" t="s">
        <v>41</v>
      </c>
      <c r="D8" s="143" t="s">
        <v>25</v>
      </c>
      <c r="E8" s="143" t="s">
        <v>25</v>
      </c>
      <c r="F8" s="143" t="s">
        <v>25</v>
      </c>
      <c r="G8" s="143" t="s">
        <v>39</v>
      </c>
      <c r="H8" s="143" t="s">
        <v>72</v>
      </c>
      <c r="I8" s="143" t="s">
        <v>25</v>
      </c>
      <c r="J8" s="143">
        <v>0</v>
      </c>
      <c r="K8" s="143">
        <v>0</v>
      </c>
      <c r="L8" s="143">
        <v>0</v>
      </c>
      <c r="M8" s="143">
        <v>0</v>
      </c>
      <c r="N8" s="143">
        <v>0</v>
      </c>
      <c r="O8" s="143">
        <v>0</v>
      </c>
      <c r="P8" s="143">
        <v>0</v>
      </c>
      <c r="Q8" s="143">
        <v>0</v>
      </c>
      <c r="R8" s="143">
        <v>0</v>
      </c>
      <c r="S8" s="143">
        <v>0</v>
      </c>
      <c r="T8" s="143">
        <v>0</v>
      </c>
      <c r="U8" s="143">
        <v>0</v>
      </c>
      <c r="V8" s="143">
        <v>0</v>
      </c>
      <c r="W8" s="143">
        <v>0</v>
      </c>
      <c r="X8" s="143">
        <v>0</v>
      </c>
      <c r="Y8" s="143">
        <v>0</v>
      </c>
      <c r="Z8" s="143">
        <v>0</v>
      </c>
      <c r="AA8" s="143">
        <v>0</v>
      </c>
      <c r="AB8" s="143">
        <v>0</v>
      </c>
      <c r="AC8" s="143">
        <v>0</v>
      </c>
      <c r="AD8" s="143">
        <v>0</v>
      </c>
      <c r="AE8" s="143">
        <v>0</v>
      </c>
      <c r="AF8" s="143">
        <v>0</v>
      </c>
      <c r="AG8" s="143">
        <v>0</v>
      </c>
      <c r="AH8" s="143">
        <v>0</v>
      </c>
      <c r="AI8" s="143">
        <v>0</v>
      </c>
      <c r="AJ8" s="143">
        <v>0</v>
      </c>
      <c r="AK8" s="143">
        <v>0</v>
      </c>
      <c r="AL8" s="143">
        <v>0</v>
      </c>
      <c r="AM8" s="143">
        <v>0</v>
      </c>
      <c r="AN8" s="143">
        <v>0</v>
      </c>
      <c r="AO8" s="143">
        <v>0</v>
      </c>
      <c r="AP8" s="143">
        <v>0</v>
      </c>
      <c r="AQ8" s="144">
        <v>0</v>
      </c>
    </row>
    <row r="9" spans="2:43" ht="12" customHeight="1" x14ac:dyDescent="0.3">
      <c r="B9" s="142" t="s">
        <v>37</v>
      </c>
      <c r="C9" s="143" t="s">
        <v>41</v>
      </c>
      <c r="D9" s="143" t="s">
        <v>25</v>
      </c>
      <c r="E9" s="143" t="s">
        <v>25</v>
      </c>
      <c r="F9" s="143" t="s">
        <v>25</v>
      </c>
      <c r="G9" s="143" t="s">
        <v>39</v>
      </c>
      <c r="H9" s="143" t="s">
        <v>77</v>
      </c>
      <c r="I9" s="143" t="s">
        <v>25</v>
      </c>
      <c r="J9" s="143">
        <v>0</v>
      </c>
      <c r="K9" s="143">
        <v>0</v>
      </c>
      <c r="L9" s="143">
        <v>0</v>
      </c>
      <c r="M9" s="143">
        <v>0</v>
      </c>
      <c r="N9" s="143">
        <v>0</v>
      </c>
      <c r="O9" s="143">
        <v>0</v>
      </c>
      <c r="P9" s="143">
        <v>0</v>
      </c>
      <c r="Q9" s="143">
        <v>0</v>
      </c>
      <c r="R9" s="143">
        <v>0</v>
      </c>
      <c r="S9" s="143">
        <v>0</v>
      </c>
      <c r="T9" s="143">
        <v>0</v>
      </c>
      <c r="U9" s="143">
        <v>0</v>
      </c>
      <c r="V9" s="143">
        <v>0</v>
      </c>
      <c r="W9" s="143">
        <v>0</v>
      </c>
      <c r="X9" s="143">
        <v>0</v>
      </c>
      <c r="Y9" s="143">
        <v>0</v>
      </c>
      <c r="Z9" s="143">
        <v>0</v>
      </c>
      <c r="AA9" s="143">
        <v>0</v>
      </c>
      <c r="AB9" s="143">
        <v>0</v>
      </c>
      <c r="AC9" s="143">
        <v>0</v>
      </c>
      <c r="AD9" s="143">
        <v>0</v>
      </c>
      <c r="AE9" s="143">
        <v>0</v>
      </c>
      <c r="AF9" s="143">
        <v>0</v>
      </c>
      <c r="AG9" s="143">
        <v>0</v>
      </c>
      <c r="AH9" s="143">
        <v>0</v>
      </c>
      <c r="AI9" s="143">
        <v>0</v>
      </c>
      <c r="AJ9" s="143">
        <v>0</v>
      </c>
      <c r="AK9" s="143">
        <v>0</v>
      </c>
      <c r="AL9" s="143">
        <v>0</v>
      </c>
      <c r="AM9" s="143">
        <v>0</v>
      </c>
      <c r="AN9" s="143">
        <v>0</v>
      </c>
      <c r="AO9" s="143">
        <v>0</v>
      </c>
      <c r="AP9" s="143">
        <v>0</v>
      </c>
      <c r="AQ9" s="144">
        <v>0</v>
      </c>
    </row>
    <row r="10" spans="2:43" ht="12" customHeight="1" x14ac:dyDescent="0.3">
      <c r="B10" s="142" t="s">
        <v>37</v>
      </c>
      <c r="C10" s="143" t="s">
        <v>41</v>
      </c>
      <c r="D10" s="143" t="s">
        <v>25</v>
      </c>
      <c r="E10" s="143" t="s">
        <v>25</v>
      </c>
      <c r="F10" s="143" t="s">
        <v>25</v>
      </c>
      <c r="G10" s="143" t="s">
        <v>34</v>
      </c>
      <c r="H10" s="143" t="s">
        <v>72</v>
      </c>
      <c r="I10" s="143" t="s">
        <v>25</v>
      </c>
      <c r="J10" s="143">
        <v>0</v>
      </c>
      <c r="K10" s="143">
        <v>0</v>
      </c>
      <c r="L10" s="143">
        <v>0</v>
      </c>
      <c r="M10" s="143">
        <v>0</v>
      </c>
      <c r="N10" s="143">
        <v>0</v>
      </c>
      <c r="O10" s="143">
        <v>0</v>
      </c>
      <c r="P10" s="143">
        <v>0</v>
      </c>
      <c r="Q10" s="143">
        <v>0</v>
      </c>
      <c r="R10" s="143">
        <v>0</v>
      </c>
      <c r="S10" s="143">
        <v>0</v>
      </c>
      <c r="T10" s="143">
        <v>0</v>
      </c>
      <c r="U10" s="143">
        <v>0</v>
      </c>
      <c r="V10" s="143">
        <v>0</v>
      </c>
      <c r="W10" s="143">
        <v>0</v>
      </c>
      <c r="X10" s="143">
        <v>0</v>
      </c>
      <c r="Y10" s="143">
        <v>0</v>
      </c>
      <c r="Z10" s="143">
        <v>0</v>
      </c>
      <c r="AA10" s="143">
        <v>0</v>
      </c>
      <c r="AB10" s="143">
        <v>0</v>
      </c>
      <c r="AC10" s="143">
        <v>0</v>
      </c>
      <c r="AD10" s="143">
        <v>0</v>
      </c>
      <c r="AE10" s="143">
        <v>0</v>
      </c>
      <c r="AF10" s="143">
        <v>0</v>
      </c>
      <c r="AG10" s="143">
        <v>0</v>
      </c>
      <c r="AH10" s="143">
        <v>0</v>
      </c>
      <c r="AI10" s="143">
        <v>0</v>
      </c>
      <c r="AJ10" s="143">
        <v>0</v>
      </c>
      <c r="AK10" s="143">
        <v>0</v>
      </c>
      <c r="AL10" s="143">
        <v>0</v>
      </c>
      <c r="AM10" s="143">
        <v>0</v>
      </c>
      <c r="AN10" s="143">
        <v>0</v>
      </c>
      <c r="AO10" s="143">
        <v>0</v>
      </c>
      <c r="AP10" s="143">
        <v>0</v>
      </c>
      <c r="AQ10" s="144">
        <v>0</v>
      </c>
    </row>
    <row r="11" spans="2:43" ht="12" customHeight="1" x14ac:dyDescent="0.3">
      <c r="B11" s="142" t="s">
        <v>37</v>
      </c>
      <c r="C11" s="143" t="s">
        <v>41</v>
      </c>
      <c r="D11" s="143" t="s">
        <v>25</v>
      </c>
      <c r="E11" s="143" t="s">
        <v>25</v>
      </c>
      <c r="F11" s="143" t="s">
        <v>25</v>
      </c>
      <c r="G11" s="143" t="s">
        <v>34</v>
      </c>
      <c r="H11" s="143" t="s">
        <v>77</v>
      </c>
      <c r="I11" s="143" t="s">
        <v>25</v>
      </c>
      <c r="J11" s="143">
        <v>0</v>
      </c>
      <c r="K11" s="143">
        <v>0</v>
      </c>
      <c r="L11" s="143">
        <v>0</v>
      </c>
      <c r="M11" s="143">
        <v>0</v>
      </c>
      <c r="N11" s="143">
        <v>0</v>
      </c>
      <c r="O11" s="143">
        <v>0</v>
      </c>
      <c r="P11" s="143">
        <v>0</v>
      </c>
      <c r="Q11" s="143">
        <v>0</v>
      </c>
      <c r="R11" s="143">
        <v>0</v>
      </c>
      <c r="S11" s="143">
        <v>0</v>
      </c>
      <c r="T11" s="143">
        <v>0</v>
      </c>
      <c r="U11" s="143">
        <v>0</v>
      </c>
      <c r="V11" s="143">
        <v>0</v>
      </c>
      <c r="W11" s="143">
        <v>0</v>
      </c>
      <c r="X11" s="143">
        <v>0</v>
      </c>
      <c r="Y11" s="143">
        <v>0</v>
      </c>
      <c r="Z11" s="143">
        <v>0</v>
      </c>
      <c r="AA11" s="143">
        <v>0</v>
      </c>
      <c r="AB11" s="143">
        <v>0</v>
      </c>
      <c r="AC11" s="143">
        <v>0</v>
      </c>
      <c r="AD11" s="143">
        <v>0</v>
      </c>
      <c r="AE11" s="143">
        <v>0</v>
      </c>
      <c r="AF11" s="143">
        <v>0</v>
      </c>
      <c r="AG11" s="143">
        <v>0</v>
      </c>
      <c r="AH11" s="143">
        <v>0</v>
      </c>
      <c r="AI11" s="143">
        <v>0</v>
      </c>
      <c r="AJ11" s="143">
        <v>0</v>
      </c>
      <c r="AK11" s="143">
        <v>0</v>
      </c>
      <c r="AL11" s="143">
        <v>0</v>
      </c>
      <c r="AM11" s="143">
        <v>0</v>
      </c>
      <c r="AN11" s="143">
        <v>0</v>
      </c>
      <c r="AO11" s="143">
        <v>0</v>
      </c>
      <c r="AP11" s="143">
        <v>0</v>
      </c>
      <c r="AQ11" s="144">
        <v>0</v>
      </c>
    </row>
    <row r="12" spans="2:43" ht="12" customHeight="1" x14ac:dyDescent="0.3">
      <c r="B12" s="142" t="s">
        <v>37</v>
      </c>
      <c r="C12" s="143" t="s">
        <v>23</v>
      </c>
      <c r="D12" s="143" t="s">
        <v>25</v>
      </c>
      <c r="E12" s="143" t="s">
        <v>25</v>
      </c>
      <c r="F12" s="143" t="s">
        <v>25</v>
      </c>
      <c r="G12" s="143" t="s">
        <v>25</v>
      </c>
      <c r="H12" s="143" t="s">
        <v>72</v>
      </c>
      <c r="I12" s="143" t="s">
        <v>25</v>
      </c>
      <c r="J12" s="143">
        <v>0</v>
      </c>
      <c r="K12" s="143">
        <v>0</v>
      </c>
      <c r="L12" s="143">
        <v>0</v>
      </c>
      <c r="M12" s="143">
        <v>0</v>
      </c>
      <c r="N12" s="143">
        <v>0</v>
      </c>
      <c r="O12" s="143">
        <v>0</v>
      </c>
      <c r="P12" s="143">
        <v>0</v>
      </c>
      <c r="Q12" s="143">
        <v>0</v>
      </c>
      <c r="R12" s="143">
        <v>0</v>
      </c>
      <c r="S12" s="143">
        <v>0</v>
      </c>
      <c r="T12" s="143">
        <v>0</v>
      </c>
      <c r="U12" s="143">
        <v>0</v>
      </c>
      <c r="V12" s="143">
        <v>0</v>
      </c>
      <c r="W12" s="143">
        <v>0</v>
      </c>
      <c r="X12" s="143">
        <v>0</v>
      </c>
      <c r="Y12" s="143">
        <v>0</v>
      </c>
      <c r="Z12" s="143">
        <v>0</v>
      </c>
      <c r="AA12" s="143">
        <v>0</v>
      </c>
      <c r="AB12" s="143">
        <v>0</v>
      </c>
      <c r="AC12" s="143">
        <v>0</v>
      </c>
      <c r="AD12" s="143">
        <v>0</v>
      </c>
      <c r="AE12" s="143">
        <v>0</v>
      </c>
      <c r="AF12" s="143">
        <v>0</v>
      </c>
      <c r="AG12" s="143">
        <v>0</v>
      </c>
      <c r="AH12" s="143">
        <v>0</v>
      </c>
      <c r="AI12" s="143">
        <v>0</v>
      </c>
      <c r="AJ12" s="143">
        <v>0</v>
      </c>
      <c r="AK12" s="143">
        <v>0</v>
      </c>
      <c r="AL12" s="143">
        <v>0</v>
      </c>
      <c r="AM12" s="143">
        <v>0</v>
      </c>
      <c r="AN12" s="143">
        <v>0</v>
      </c>
      <c r="AO12" s="143">
        <v>0</v>
      </c>
      <c r="AP12" s="143">
        <v>0</v>
      </c>
      <c r="AQ12" s="144">
        <v>0</v>
      </c>
    </row>
    <row r="13" spans="2:43" ht="12" customHeight="1" x14ac:dyDescent="0.3">
      <c r="B13" s="142" t="s">
        <v>37</v>
      </c>
      <c r="C13" s="143" t="s">
        <v>81</v>
      </c>
      <c r="D13" s="143" t="s">
        <v>25</v>
      </c>
      <c r="E13" s="143" t="s">
        <v>25</v>
      </c>
      <c r="F13" s="143" t="s">
        <v>25</v>
      </c>
      <c r="G13" s="143" t="s">
        <v>25</v>
      </c>
      <c r="H13" s="143" t="s">
        <v>77</v>
      </c>
      <c r="I13" s="143" t="s">
        <v>25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3">
        <v>0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0</v>
      </c>
      <c r="AB13" s="143">
        <v>0</v>
      </c>
      <c r="AC13" s="143">
        <v>0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4">
        <v>0</v>
      </c>
    </row>
    <row r="14" spans="2:43" ht="12" customHeight="1" x14ac:dyDescent="0.3">
      <c r="B14" s="142" t="s">
        <v>37</v>
      </c>
      <c r="C14" s="143" t="s">
        <v>38</v>
      </c>
      <c r="D14" s="143" t="s">
        <v>25</v>
      </c>
      <c r="E14" s="143" t="s">
        <v>25</v>
      </c>
      <c r="F14" s="143" t="s">
        <v>80</v>
      </c>
      <c r="G14" s="143" t="s">
        <v>39</v>
      </c>
      <c r="H14" s="143" t="s">
        <v>72</v>
      </c>
      <c r="I14" s="143" t="s">
        <v>25</v>
      </c>
      <c r="J14" s="143">
        <v>0</v>
      </c>
      <c r="K14" s="143">
        <v>0</v>
      </c>
      <c r="L14" s="143">
        <v>0</v>
      </c>
      <c r="M14" s="143">
        <v>0</v>
      </c>
      <c r="N14" s="143">
        <v>0</v>
      </c>
      <c r="O14" s="143">
        <v>0</v>
      </c>
      <c r="P14" s="143">
        <v>0</v>
      </c>
      <c r="Q14" s="143">
        <v>0</v>
      </c>
      <c r="R14" s="143">
        <v>0</v>
      </c>
      <c r="S14" s="143">
        <v>0</v>
      </c>
      <c r="T14" s="143">
        <v>0</v>
      </c>
      <c r="U14" s="143">
        <v>0</v>
      </c>
      <c r="V14" s="143">
        <v>0</v>
      </c>
      <c r="W14" s="143">
        <v>0</v>
      </c>
      <c r="X14" s="143">
        <v>0</v>
      </c>
      <c r="Y14" s="143">
        <v>0</v>
      </c>
      <c r="Z14" s="143">
        <v>0</v>
      </c>
      <c r="AA14" s="143">
        <v>0</v>
      </c>
      <c r="AB14" s="143">
        <v>0</v>
      </c>
      <c r="AC14" s="143">
        <v>0</v>
      </c>
      <c r="AD14" s="143">
        <v>0</v>
      </c>
      <c r="AE14" s="143">
        <v>0</v>
      </c>
      <c r="AF14" s="143">
        <v>0</v>
      </c>
      <c r="AG14" s="143">
        <v>0</v>
      </c>
      <c r="AH14" s="143">
        <v>0</v>
      </c>
      <c r="AI14" s="143">
        <v>0</v>
      </c>
      <c r="AJ14" s="143">
        <v>0</v>
      </c>
      <c r="AK14" s="143">
        <v>0</v>
      </c>
      <c r="AL14" s="143">
        <v>0</v>
      </c>
      <c r="AM14" s="143">
        <v>0</v>
      </c>
      <c r="AN14" s="143">
        <v>0</v>
      </c>
      <c r="AO14" s="143">
        <v>0</v>
      </c>
      <c r="AP14" s="143">
        <v>0</v>
      </c>
      <c r="AQ14" s="144">
        <v>0</v>
      </c>
    </row>
    <row r="15" spans="2:43" ht="12" customHeight="1" x14ac:dyDescent="0.3">
      <c r="B15" s="142" t="s">
        <v>37</v>
      </c>
      <c r="C15" s="143" t="s">
        <v>38</v>
      </c>
      <c r="D15" s="143" t="s">
        <v>25</v>
      </c>
      <c r="E15" s="143" t="s">
        <v>25</v>
      </c>
      <c r="F15" s="143" t="s">
        <v>80</v>
      </c>
      <c r="G15" s="143" t="s">
        <v>25</v>
      </c>
      <c r="H15" s="143" t="s">
        <v>77</v>
      </c>
      <c r="I15" s="143" t="s">
        <v>25</v>
      </c>
      <c r="J15" s="143">
        <v>0</v>
      </c>
      <c r="K15" s="143">
        <v>0</v>
      </c>
      <c r="L15" s="143">
        <v>0</v>
      </c>
      <c r="M15" s="143">
        <v>0</v>
      </c>
      <c r="N15" s="143">
        <v>0</v>
      </c>
      <c r="O15" s="143">
        <v>0</v>
      </c>
      <c r="P15" s="143">
        <v>0</v>
      </c>
      <c r="Q15" s="143">
        <v>0</v>
      </c>
      <c r="R15" s="143">
        <v>0</v>
      </c>
      <c r="S15" s="143">
        <v>0</v>
      </c>
      <c r="T15" s="143">
        <v>0</v>
      </c>
      <c r="U15" s="143">
        <v>0</v>
      </c>
      <c r="V15" s="143">
        <v>0</v>
      </c>
      <c r="W15" s="143">
        <v>0</v>
      </c>
      <c r="X15" s="143">
        <v>0</v>
      </c>
      <c r="Y15" s="143">
        <v>0</v>
      </c>
      <c r="Z15" s="143">
        <v>0</v>
      </c>
      <c r="AA15" s="143">
        <v>0</v>
      </c>
      <c r="AB15" s="143">
        <v>0</v>
      </c>
      <c r="AC15" s="143">
        <v>0</v>
      </c>
      <c r="AD15" s="143">
        <v>0</v>
      </c>
      <c r="AE15" s="143">
        <v>0</v>
      </c>
      <c r="AF15" s="143">
        <v>0</v>
      </c>
      <c r="AG15" s="143">
        <v>0</v>
      </c>
      <c r="AH15" s="143">
        <v>0</v>
      </c>
      <c r="AI15" s="143">
        <v>0</v>
      </c>
      <c r="AJ15" s="143">
        <v>0</v>
      </c>
      <c r="AK15" s="143">
        <v>0</v>
      </c>
      <c r="AL15" s="143">
        <v>0</v>
      </c>
      <c r="AM15" s="143">
        <v>0</v>
      </c>
      <c r="AN15" s="143">
        <v>0</v>
      </c>
      <c r="AO15" s="143">
        <v>0</v>
      </c>
      <c r="AP15" s="143">
        <v>0</v>
      </c>
      <c r="AQ15" s="144">
        <v>0</v>
      </c>
    </row>
    <row r="16" spans="2:43" ht="12" customHeight="1" x14ac:dyDescent="0.3">
      <c r="B16" s="142" t="s">
        <v>37</v>
      </c>
      <c r="C16" s="143" t="s">
        <v>38</v>
      </c>
      <c r="D16" s="143" t="s">
        <v>25</v>
      </c>
      <c r="E16" s="143" t="s">
        <v>25</v>
      </c>
      <c r="F16" s="143" t="s">
        <v>80</v>
      </c>
      <c r="G16" s="143" t="s">
        <v>34</v>
      </c>
      <c r="H16" s="143" t="s">
        <v>72</v>
      </c>
      <c r="I16" s="143" t="s">
        <v>25</v>
      </c>
      <c r="J16" s="143">
        <v>0</v>
      </c>
      <c r="K16" s="143">
        <v>0</v>
      </c>
      <c r="L16" s="143">
        <v>0</v>
      </c>
      <c r="M16" s="143">
        <v>0</v>
      </c>
      <c r="N16" s="143">
        <v>0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43">
        <v>0</v>
      </c>
      <c r="U16" s="143">
        <v>0</v>
      </c>
      <c r="V16" s="143">
        <v>0</v>
      </c>
      <c r="W16" s="143">
        <v>0</v>
      </c>
      <c r="X16" s="143">
        <v>0</v>
      </c>
      <c r="Y16" s="143">
        <v>0</v>
      </c>
      <c r="Z16" s="143">
        <v>0</v>
      </c>
      <c r="AA16" s="143">
        <v>0</v>
      </c>
      <c r="AB16" s="143">
        <v>0</v>
      </c>
      <c r="AC16" s="143">
        <v>0</v>
      </c>
      <c r="AD16" s="143">
        <v>0</v>
      </c>
      <c r="AE16" s="143">
        <v>0</v>
      </c>
      <c r="AF16" s="143">
        <v>0</v>
      </c>
      <c r="AG16" s="143">
        <v>0</v>
      </c>
      <c r="AH16" s="143">
        <v>0</v>
      </c>
      <c r="AI16" s="143">
        <v>0</v>
      </c>
      <c r="AJ16" s="143">
        <v>0</v>
      </c>
      <c r="AK16" s="143">
        <v>0</v>
      </c>
      <c r="AL16" s="143">
        <v>0</v>
      </c>
      <c r="AM16" s="143">
        <v>0</v>
      </c>
      <c r="AN16" s="143">
        <v>0</v>
      </c>
      <c r="AO16" s="143">
        <v>0</v>
      </c>
      <c r="AP16" s="143">
        <v>0</v>
      </c>
      <c r="AQ16" s="144">
        <v>0</v>
      </c>
    </row>
    <row r="17" spans="2:43" ht="12" customHeight="1" x14ac:dyDescent="0.3">
      <c r="B17" s="142" t="s">
        <v>37</v>
      </c>
      <c r="C17" s="143" t="s">
        <v>38</v>
      </c>
      <c r="D17" s="143" t="s">
        <v>25</v>
      </c>
      <c r="E17" s="143" t="s">
        <v>25</v>
      </c>
      <c r="F17" s="143" t="s">
        <v>25</v>
      </c>
      <c r="G17" s="143" t="s">
        <v>39</v>
      </c>
      <c r="H17" s="143" t="s">
        <v>72</v>
      </c>
      <c r="I17" s="143" t="s">
        <v>25</v>
      </c>
      <c r="J17" s="143">
        <v>0</v>
      </c>
      <c r="K17" s="143">
        <v>0</v>
      </c>
      <c r="L17" s="143">
        <v>0</v>
      </c>
      <c r="M17" s="143">
        <v>0</v>
      </c>
      <c r="N17" s="143">
        <v>0</v>
      </c>
      <c r="O17" s="143">
        <v>0</v>
      </c>
      <c r="P17" s="143">
        <v>0</v>
      </c>
      <c r="Q17" s="143">
        <v>0</v>
      </c>
      <c r="R17" s="143">
        <v>0</v>
      </c>
      <c r="S17" s="143">
        <v>0</v>
      </c>
      <c r="T17" s="143">
        <v>0</v>
      </c>
      <c r="U17" s="143">
        <v>0</v>
      </c>
      <c r="V17" s="143">
        <v>0</v>
      </c>
      <c r="W17" s="143">
        <v>0</v>
      </c>
      <c r="X17" s="143">
        <v>0</v>
      </c>
      <c r="Y17" s="143">
        <v>0</v>
      </c>
      <c r="Z17" s="143">
        <v>0</v>
      </c>
      <c r="AA17" s="143">
        <v>0</v>
      </c>
      <c r="AB17" s="143">
        <v>0</v>
      </c>
      <c r="AC17" s="143">
        <v>0</v>
      </c>
      <c r="AD17" s="143">
        <v>0</v>
      </c>
      <c r="AE17" s="143">
        <v>0</v>
      </c>
      <c r="AF17" s="143">
        <v>0</v>
      </c>
      <c r="AG17" s="143">
        <v>0</v>
      </c>
      <c r="AH17" s="143">
        <v>0</v>
      </c>
      <c r="AI17" s="143">
        <v>0</v>
      </c>
      <c r="AJ17" s="143">
        <v>0</v>
      </c>
      <c r="AK17" s="143">
        <v>0</v>
      </c>
      <c r="AL17" s="143">
        <v>0</v>
      </c>
      <c r="AM17" s="143">
        <v>0</v>
      </c>
      <c r="AN17" s="143">
        <v>0</v>
      </c>
      <c r="AO17" s="143">
        <v>0</v>
      </c>
      <c r="AP17" s="143">
        <v>0</v>
      </c>
      <c r="AQ17" s="144">
        <v>0</v>
      </c>
    </row>
    <row r="18" spans="2:43" ht="12" customHeight="1" x14ac:dyDescent="0.3">
      <c r="B18" s="142" t="s">
        <v>37</v>
      </c>
      <c r="C18" s="143" t="s">
        <v>38</v>
      </c>
      <c r="D18" s="143" t="s">
        <v>25</v>
      </c>
      <c r="E18" s="143" t="s">
        <v>25</v>
      </c>
      <c r="F18" s="143" t="s">
        <v>25</v>
      </c>
      <c r="G18" s="143" t="s">
        <v>25</v>
      </c>
      <c r="H18" s="143" t="s">
        <v>77</v>
      </c>
      <c r="I18" s="143" t="s">
        <v>25</v>
      </c>
      <c r="J18" s="143">
        <v>0</v>
      </c>
      <c r="K18" s="143">
        <v>0</v>
      </c>
      <c r="L18" s="143">
        <v>0</v>
      </c>
      <c r="M18" s="143">
        <v>0</v>
      </c>
      <c r="N18" s="143">
        <v>0</v>
      </c>
      <c r="O18" s="143">
        <v>0</v>
      </c>
      <c r="P18" s="143">
        <v>0</v>
      </c>
      <c r="Q18" s="143">
        <v>0</v>
      </c>
      <c r="R18" s="143">
        <v>0</v>
      </c>
      <c r="S18" s="143">
        <v>0</v>
      </c>
      <c r="T18" s="143">
        <v>0</v>
      </c>
      <c r="U18" s="143">
        <v>0</v>
      </c>
      <c r="V18" s="143">
        <v>0</v>
      </c>
      <c r="W18" s="143">
        <v>0</v>
      </c>
      <c r="X18" s="143">
        <v>0</v>
      </c>
      <c r="Y18" s="143">
        <v>0</v>
      </c>
      <c r="Z18" s="143">
        <v>0</v>
      </c>
      <c r="AA18" s="143">
        <v>0</v>
      </c>
      <c r="AB18" s="143">
        <v>0</v>
      </c>
      <c r="AC18" s="143">
        <v>0</v>
      </c>
      <c r="AD18" s="143">
        <v>0</v>
      </c>
      <c r="AE18" s="143">
        <v>0</v>
      </c>
      <c r="AF18" s="143">
        <v>0</v>
      </c>
      <c r="AG18" s="143">
        <v>0</v>
      </c>
      <c r="AH18" s="143">
        <v>0</v>
      </c>
      <c r="AI18" s="143">
        <v>0</v>
      </c>
      <c r="AJ18" s="143">
        <v>0</v>
      </c>
      <c r="AK18" s="143">
        <v>0</v>
      </c>
      <c r="AL18" s="143">
        <v>0</v>
      </c>
      <c r="AM18" s="143">
        <v>0</v>
      </c>
      <c r="AN18" s="143">
        <v>0</v>
      </c>
      <c r="AO18" s="143">
        <v>0</v>
      </c>
      <c r="AP18" s="143">
        <v>0</v>
      </c>
      <c r="AQ18" s="144">
        <v>0</v>
      </c>
    </row>
    <row r="19" spans="2:43" ht="12" customHeight="1" x14ac:dyDescent="0.3">
      <c r="B19" s="142" t="s">
        <v>37</v>
      </c>
      <c r="C19" s="143" t="s">
        <v>38</v>
      </c>
      <c r="D19" s="143" t="s">
        <v>25</v>
      </c>
      <c r="E19" s="143" t="s">
        <v>25</v>
      </c>
      <c r="F19" s="143" t="s">
        <v>25</v>
      </c>
      <c r="G19" s="143" t="s">
        <v>34</v>
      </c>
      <c r="H19" s="143" t="s">
        <v>72</v>
      </c>
      <c r="I19" s="143" t="s">
        <v>25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>
        <v>0</v>
      </c>
      <c r="P19" s="143">
        <v>0</v>
      </c>
      <c r="Q19" s="143">
        <v>0</v>
      </c>
      <c r="R19" s="143">
        <v>0</v>
      </c>
      <c r="S19" s="143">
        <v>0</v>
      </c>
      <c r="T19" s="143">
        <v>0</v>
      </c>
      <c r="U19" s="143">
        <v>0</v>
      </c>
      <c r="V19" s="143">
        <v>0</v>
      </c>
      <c r="W19" s="143">
        <v>0</v>
      </c>
      <c r="X19" s="143">
        <v>0</v>
      </c>
      <c r="Y19" s="143">
        <v>0</v>
      </c>
      <c r="Z19" s="143">
        <v>0</v>
      </c>
      <c r="AA19" s="143">
        <v>0</v>
      </c>
      <c r="AB19" s="143">
        <v>0</v>
      </c>
      <c r="AC19" s="143">
        <v>0</v>
      </c>
      <c r="AD19" s="143">
        <v>0</v>
      </c>
      <c r="AE19" s="143">
        <v>0</v>
      </c>
      <c r="AF19" s="143">
        <v>0</v>
      </c>
      <c r="AG19" s="143">
        <v>0</v>
      </c>
      <c r="AH19" s="143">
        <v>0</v>
      </c>
      <c r="AI19" s="143">
        <v>0</v>
      </c>
      <c r="AJ19" s="143">
        <v>0</v>
      </c>
      <c r="AK19" s="143">
        <v>0</v>
      </c>
      <c r="AL19" s="143">
        <v>0</v>
      </c>
      <c r="AM19" s="143">
        <v>0</v>
      </c>
      <c r="AN19" s="143">
        <v>0</v>
      </c>
      <c r="AO19" s="143">
        <v>0</v>
      </c>
      <c r="AP19" s="143">
        <v>0</v>
      </c>
      <c r="AQ19" s="144">
        <v>0</v>
      </c>
    </row>
    <row r="20" spans="2:43" ht="12" customHeight="1" x14ac:dyDescent="0.3">
      <c r="B20" s="142" t="s">
        <v>82</v>
      </c>
      <c r="C20" s="143" t="s">
        <v>81</v>
      </c>
      <c r="D20" s="143" t="s">
        <v>25</v>
      </c>
      <c r="E20" s="143" t="s">
        <v>25</v>
      </c>
      <c r="F20" s="143" t="s">
        <v>83</v>
      </c>
      <c r="G20" s="143" t="s">
        <v>25</v>
      </c>
      <c r="H20" s="143" t="s">
        <v>77</v>
      </c>
      <c r="I20" s="143" t="s">
        <v>25</v>
      </c>
      <c r="J20" s="143">
        <v>0</v>
      </c>
      <c r="K20" s="143">
        <v>0</v>
      </c>
      <c r="L20" s="143">
        <v>0</v>
      </c>
      <c r="M20" s="143">
        <v>0</v>
      </c>
      <c r="N20" s="143">
        <v>0</v>
      </c>
      <c r="O20" s="143">
        <v>0</v>
      </c>
      <c r="P20" s="143">
        <v>0</v>
      </c>
      <c r="Q20" s="143">
        <v>0</v>
      </c>
      <c r="R20" s="143">
        <v>0</v>
      </c>
      <c r="S20" s="143">
        <v>0</v>
      </c>
      <c r="T20" s="143">
        <v>0</v>
      </c>
      <c r="U20" s="143">
        <v>0</v>
      </c>
      <c r="V20" s="143">
        <v>0</v>
      </c>
      <c r="W20" s="143">
        <v>0</v>
      </c>
      <c r="X20" s="143">
        <v>0</v>
      </c>
      <c r="Y20" s="143">
        <v>0</v>
      </c>
      <c r="Z20" s="143">
        <v>0</v>
      </c>
      <c r="AA20" s="143">
        <v>0</v>
      </c>
      <c r="AB20" s="143">
        <v>0</v>
      </c>
      <c r="AC20" s="143">
        <v>0</v>
      </c>
      <c r="AD20" s="143">
        <v>0</v>
      </c>
      <c r="AE20" s="143">
        <v>0</v>
      </c>
      <c r="AF20" s="143">
        <v>0</v>
      </c>
      <c r="AG20" s="143">
        <v>0</v>
      </c>
      <c r="AH20" s="143">
        <v>0</v>
      </c>
      <c r="AI20" s="143">
        <v>0</v>
      </c>
      <c r="AJ20" s="143">
        <v>0</v>
      </c>
      <c r="AK20" s="143">
        <v>0</v>
      </c>
      <c r="AL20" s="143">
        <v>0</v>
      </c>
      <c r="AM20" s="143">
        <v>0</v>
      </c>
      <c r="AN20" s="143">
        <v>0</v>
      </c>
      <c r="AO20" s="143">
        <v>0</v>
      </c>
      <c r="AP20" s="143">
        <v>0</v>
      </c>
      <c r="AQ20" s="144">
        <v>0</v>
      </c>
    </row>
    <row r="21" spans="2:43" ht="12" customHeight="1" x14ac:dyDescent="0.3">
      <c r="B21" s="142" t="s">
        <v>82</v>
      </c>
      <c r="C21" s="143" t="s">
        <v>81</v>
      </c>
      <c r="D21" s="143" t="s">
        <v>25</v>
      </c>
      <c r="E21" s="143" t="s">
        <v>25</v>
      </c>
      <c r="F21" s="143" t="s">
        <v>84</v>
      </c>
      <c r="G21" s="143" t="s">
        <v>25</v>
      </c>
      <c r="H21" s="143" t="s">
        <v>77</v>
      </c>
      <c r="I21" s="143" t="s">
        <v>25</v>
      </c>
      <c r="J21" s="143">
        <v>0</v>
      </c>
      <c r="K21" s="143">
        <v>0</v>
      </c>
      <c r="L21" s="143">
        <v>0</v>
      </c>
      <c r="M21" s="143">
        <v>0</v>
      </c>
      <c r="N21" s="143">
        <v>0</v>
      </c>
      <c r="O21" s="143">
        <v>0</v>
      </c>
      <c r="P21" s="143">
        <v>0</v>
      </c>
      <c r="Q21" s="143">
        <v>0</v>
      </c>
      <c r="R21" s="143">
        <v>0</v>
      </c>
      <c r="S21" s="143">
        <v>0</v>
      </c>
      <c r="T21" s="143">
        <v>0</v>
      </c>
      <c r="U21" s="143">
        <v>0</v>
      </c>
      <c r="V21" s="143">
        <v>0</v>
      </c>
      <c r="W21" s="143">
        <v>0</v>
      </c>
      <c r="X21" s="143">
        <v>0</v>
      </c>
      <c r="Y21" s="143">
        <v>0</v>
      </c>
      <c r="Z21" s="143">
        <v>0</v>
      </c>
      <c r="AA21" s="143">
        <v>0</v>
      </c>
      <c r="AB21" s="143">
        <v>0</v>
      </c>
      <c r="AC21" s="143">
        <v>0</v>
      </c>
      <c r="AD21" s="143">
        <v>0</v>
      </c>
      <c r="AE21" s="143">
        <v>0</v>
      </c>
      <c r="AF21" s="143">
        <v>0</v>
      </c>
      <c r="AG21" s="143">
        <v>0</v>
      </c>
      <c r="AH21" s="143">
        <v>0</v>
      </c>
      <c r="AI21" s="143">
        <v>0</v>
      </c>
      <c r="AJ21" s="143">
        <v>0</v>
      </c>
      <c r="AK21" s="143">
        <v>0</v>
      </c>
      <c r="AL21" s="143">
        <v>0</v>
      </c>
      <c r="AM21" s="143">
        <v>0</v>
      </c>
      <c r="AN21" s="143">
        <v>0</v>
      </c>
      <c r="AO21" s="143">
        <v>0</v>
      </c>
      <c r="AP21" s="143">
        <v>0</v>
      </c>
      <c r="AQ21" s="144">
        <v>0</v>
      </c>
    </row>
    <row r="22" spans="2:43" ht="12" customHeight="1" x14ac:dyDescent="0.3">
      <c r="B22" s="142" t="s">
        <v>22</v>
      </c>
      <c r="C22" s="143" t="s">
        <v>33</v>
      </c>
      <c r="D22" s="143" t="s">
        <v>24</v>
      </c>
      <c r="E22" s="143" t="s">
        <v>24</v>
      </c>
      <c r="F22" s="143" t="s">
        <v>25</v>
      </c>
      <c r="G22" s="143" t="s">
        <v>39</v>
      </c>
      <c r="H22" s="143" t="s">
        <v>72</v>
      </c>
      <c r="I22" s="143" t="s">
        <v>25</v>
      </c>
      <c r="J22" s="143">
        <v>0</v>
      </c>
      <c r="K22" s="143">
        <v>0</v>
      </c>
      <c r="L22" s="143">
        <v>0</v>
      </c>
      <c r="M22" s="143">
        <v>0</v>
      </c>
      <c r="N22" s="143">
        <v>0</v>
      </c>
      <c r="O22" s="143">
        <v>0</v>
      </c>
      <c r="P22" s="143">
        <v>0</v>
      </c>
      <c r="Q22" s="143">
        <v>0</v>
      </c>
      <c r="R22" s="143">
        <v>0</v>
      </c>
      <c r="S22" s="143">
        <v>0</v>
      </c>
      <c r="T22" s="143">
        <v>0</v>
      </c>
      <c r="U22" s="143">
        <v>0</v>
      </c>
      <c r="V22" s="143">
        <v>0</v>
      </c>
      <c r="W22" s="143">
        <v>0</v>
      </c>
      <c r="X22" s="143">
        <v>0</v>
      </c>
      <c r="Y22" s="143">
        <v>0</v>
      </c>
      <c r="Z22" s="143">
        <v>0</v>
      </c>
      <c r="AA22" s="143">
        <v>0</v>
      </c>
      <c r="AB22" s="143">
        <v>0</v>
      </c>
      <c r="AC22" s="143">
        <v>0</v>
      </c>
      <c r="AD22" s="143">
        <v>0</v>
      </c>
      <c r="AE22" s="143">
        <v>0</v>
      </c>
      <c r="AF22" s="143">
        <v>0</v>
      </c>
      <c r="AG22" s="143">
        <v>0</v>
      </c>
      <c r="AH22" s="143">
        <v>0</v>
      </c>
      <c r="AI22" s="143">
        <v>0</v>
      </c>
      <c r="AJ22" s="143">
        <v>0</v>
      </c>
      <c r="AK22" s="143">
        <v>0</v>
      </c>
      <c r="AL22" s="143">
        <v>0</v>
      </c>
      <c r="AM22" s="143">
        <v>0</v>
      </c>
      <c r="AN22" s="143">
        <v>0</v>
      </c>
      <c r="AO22" s="143">
        <v>0</v>
      </c>
      <c r="AP22" s="143">
        <v>0</v>
      </c>
      <c r="AQ22" s="144">
        <v>0</v>
      </c>
    </row>
    <row r="23" spans="2:43" ht="12" customHeight="1" x14ac:dyDescent="0.3">
      <c r="B23" s="142" t="s">
        <v>22</v>
      </c>
      <c r="C23" s="143" t="s">
        <v>33</v>
      </c>
      <c r="D23" s="143" t="s">
        <v>24</v>
      </c>
      <c r="E23" s="143" t="s">
        <v>24</v>
      </c>
      <c r="F23" s="143" t="s">
        <v>25</v>
      </c>
      <c r="G23" s="143" t="s">
        <v>42</v>
      </c>
      <c r="H23" s="143" t="s">
        <v>72</v>
      </c>
      <c r="I23" s="143" t="s">
        <v>25</v>
      </c>
      <c r="J23" s="143">
        <v>0</v>
      </c>
      <c r="K23" s="143">
        <v>0</v>
      </c>
      <c r="L23" s="143">
        <v>0</v>
      </c>
      <c r="M23" s="143">
        <v>0</v>
      </c>
      <c r="N23" s="143">
        <v>0</v>
      </c>
      <c r="O23" s="143">
        <v>0</v>
      </c>
      <c r="P23" s="143">
        <v>0</v>
      </c>
      <c r="Q23" s="143">
        <v>0</v>
      </c>
      <c r="R23" s="143">
        <v>0</v>
      </c>
      <c r="S23" s="143">
        <v>0</v>
      </c>
      <c r="T23" s="143">
        <v>0</v>
      </c>
      <c r="U23" s="143">
        <v>0</v>
      </c>
      <c r="V23" s="143">
        <v>0</v>
      </c>
      <c r="W23" s="143">
        <v>0</v>
      </c>
      <c r="X23" s="143">
        <v>0</v>
      </c>
      <c r="Y23" s="143">
        <v>0</v>
      </c>
      <c r="Z23" s="143">
        <v>0</v>
      </c>
      <c r="AA23" s="143">
        <v>0</v>
      </c>
      <c r="AB23" s="143">
        <v>0</v>
      </c>
      <c r="AC23" s="143">
        <v>0</v>
      </c>
      <c r="AD23" s="143">
        <v>0</v>
      </c>
      <c r="AE23" s="143">
        <v>0</v>
      </c>
      <c r="AF23" s="143">
        <v>0</v>
      </c>
      <c r="AG23" s="143">
        <v>0</v>
      </c>
      <c r="AH23" s="143">
        <v>0</v>
      </c>
      <c r="AI23" s="143">
        <v>0</v>
      </c>
      <c r="AJ23" s="143">
        <v>0</v>
      </c>
      <c r="AK23" s="143">
        <v>0</v>
      </c>
      <c r="AL23" s="143">
        <v>0</v>
      </c>
      <c r="AM23" s="143">
        <v>0</v>
      </c>
      <c r="AN23" s="143">
        <v>0</v>
      </c>
      <c r="AO23" s="143">
        <v>0</v>
      </c>
      <c r="AP23" s="143">
        <v>0</v>
      </c>
      <c r="AQ23" s="144">
        <v>0</v>
      </c>
    </row>
    <row r="24" spans="2:43" ht="12" customHeight="1" x14ac:dyDescent="0.3">
      <c r="B24" s="142" t="s">
        <v>22</v>
      </c>
      <c r="C24" s="143" t="s">
        <v>33</v>
      </c>
      <c r="D24" s="143" t="s">
        <v>24</v>
      </c>
      <c r="E24" s="143" t="s">
        <v>24</v>
      </c>
      <c r="F24" s="143" t="s">
        <v>25</v>
      </c>
      <c r="G24" s="143" t="s">
        <v>34</v>
      </c>
      <c r="H24" s="143" t="s">
        <v>72</v>
      </c>
      <c r="I24" s="143" t="s">
        <v>25</v>
      </c>
      <c r="J24" s="143">
        <v>0</v>
      </c>
      <c r="K24" s="143">
        <v>0</v>
      </c>
      <c r="L24" s="143">
        <v>0</v>
      </c>
      <c r="M24" s="143">
        <v>0</v>
      </c>
      <c r="N24" s="143">
        <v>0</v>
      </c>
      <c r="O24" s="143">
        <v>0</v>
      </c>
      <c r="P24" s="143">
        <v>0</v>
      </c>
      <c r="Q24" s="143">
        <v>0</v>
      </c>
      <c r="R24" s="143">
        <v>0</v>
      </c>
      <c r="S24" s="143">
        <v>0</v>
      </c>
      <c r="T24" s="143">
        <v>0</v>
      </c>
      <c r="U24" s="143">
        <v>0</v>
      </c>
      <c r="V24" s="143">
        <v>0</v>
      </c>
      <c r="W24" s="143">
        <v>0</v>
      </c>
      <c r="X24" s="143">
        <v>0</v>
      </c>
      <c r="Y24" s="143">
        <v>0</v>
      </c>
      <c r="Z24" s="143">
        <v>0</v>
      </c>
      <c r="AA24" s="143">
        <v>0</v>
      </c>
      <c r="AB24" s="143">
        <v>0</v>
      </c>
      <c r="AC24" s="143">
        <v>0</v>
      </c>
      <c r="AD24" s="143">
        <v>0</v>
      </c>
      <c r="AE24" s="143">
        <v>0</v>
      </c>
      <c r="AF24" s="143">
        <v>0</v>
      </c>
      <c r="AG24" s="143">
        <v>0</v>
      </c>
      <c r="AH24" s="143">
        <v>0</v>
      </c>
      <c r="AI24" s="143">
        <v>0</v>
      </c>
      <c r="AJ24" s="143">
        <v>0</v>
      </c>
      <c r="AK24" s="143">
        <v>0</v>
      </c>
      <c r="AL24" s="143">
        <v>0</v>
      </c>
      <c r="AM24" s="143">
        <v>0</v>
      </c>
      <c r="AN24" s="143">
        <v>0</v>
      </c>
      <c r="AO24" s="143">
        <v>0</v>
      </c>
      <c r="AP24" s="143">
        <v>0</v>
      </c>
      <c r="AQ24" s="144">
        <v>0</v>
      </c>
    </row>
    <row r="25" spans="2:43" ht="12" customHeight="1" x14ac:dyDescent="0.3">
      <c r="B25" s="142" t="s">
        <v>22</v>
      </c>
      <c r="C25" s="143" t="s">
        <v>23</v>
      </c>
      <c r="D25" s="143" t="s">
        <v>24</v>
      </c>
      <c r="E25" s="143" t="s">
        <v>1146</v>
      </c>
      <c r="F25" s="143" t="s">
        <v>25</v>
      </c>
      <c r="G25" s="143" t="s">
        <v>25</v>
      </c>
      <c r="H25" s="143" t="s">
        <v>72</v>
      </c>
      <c r="I25" s="143" t="s">
        <v>25</v>
      </c>
      <c r="J25" s="143">
        <v>0</v>
      </c>
      <c r="K25" s="143">
        <v>0</v>
      </c>
      <c r="L25" s="143">
        <v>0</v>
      </c>
      <c r="M25" s="143">
        <v>0</v>
      </c>
      <c r="N25" s="143">
        <v>0</v>
      </c>
      <c r="O25" s="143">
        <v>0</v>
      </c>
      <c r="P25" s="143">
        <v>0</v>
      </c>
      <c r="Q25" s="143">
        <v>0</v>
      </c>
      <c r="R25" s="143">
        <v>0</v>
      </c>
      <c r="S25" s="143">
        <v>0</v>
      </c>
      <c r="T25" s="143">
        <v>0</v>
      </c>
      <c r="U25" s="143">
        <v>0</v>
      </c>
      <c r="V25" s="143">
        <v>0</v>
      </c>
      <c r="W25" s="143">
        <v>0</v>
      </c>
      <c r="X25" s="143">
        <v>0</v>
      </c>
      <c r="Y25" s="143">
        <v>0</v>
      </c>
      <c r="Z25" s="143">
        <v>0</v>
      </c>
      <c r="AA25" s="143">
        <v>0</v>
      </c>
      <c r="AB25" s="143">
        <v>0</v>
      </c>
      <c r="AC25" s="143">
        <v>0</v>
      </c>
      <c r="AD25" s="143">
        <v>0</v>
      </c>
      <c r="AE25" s="143">
        <v>0</v>
      </c>
      <c r="AF25" s="143">
        <v>0</v>
      </c>
      <c r="AG25" s="143">
        <v>0</v>
      </c>
      <c r="AH25" s="143">
        <v>0</v>
      </c>
      <c r="AI25" s="143">
        <v>0</v>
      </c>
      <c r="AJ25" s="143">
        <v>0</v>
      </c>
      <c r="AK25" s="143">
        <v>0</v>
      </c>
      <c r="AL25" s="143">
        <v>0</v>
      </c>
      <c r="AM25" s="143">
        <v>0</v>
      </c>
      <c r="AN25" s="143">
        <v>0</v>
      </c>
      <c r="AO25" s="143">
        <v>0</v>
      </c>
      <c r="AP25" s="143">
        <v>0</v>
      </c>
      <c r="AQ25" s="144">
        <v>0</v>
      </c>
    </row>
    <row r="26" spans="2:43" ht="12" customHeight="1" x14ac:dyDescent="0.3">
      <c r="B26" s="142" t="s">
        <v>22</v>
      </c>
      <c r="C26" s="143" t="s">
        <v>23</v>
      </c>
      <c r="D26" s="143" t="s">
        <v>24</v>
      </c>
      <c r="E26" s="143" t="s">
        <v>24</v>
      </c>
      <c r="F26" s="143" t="s">
        <v>25</v>
      </c>
      <c r="G26" s="143" t="s">
        <v>25</v>
      </c>
      <c r="H26" s="143" t="s">
        <v>72</v>
      </c>
      <c r="I26" s="143" t="s">
        <v>25</v>
      </c>
      <c r="J26" s="143">
        <v>0</v>
      </c>
      <c r="K26" s="143">
        <v>0</v>
      </c>
      <c r="L26" s="143">
        <v>0</v>
      </c>
      <c r="M26" s="143">
        <v>0</v>
      </c>
      <c r="N26" s="143">
        <v>0</v>
      </c>
      <c r="O26" s="143">
        <v>0</v>
      </c>
      <c r="P26" s="143">
        <v>0</v>
      </c>
      <c r="Q26" s="143">
        <v>0</v>
      </c>
      <c r="R26" s="143">
        <v>0</v>
      </c>
      <c r="S26" s="143">
        <v>0</v>
      </c>
      <c r="T26" s="143">
        <v>0</v>
      </c>
      <c r="U26" s="143">
        <v>0</v>
      </c>
      <c r="V26" s="143">
        <v>0</v>
      </c>
      <c r="W26" s="143">
        <v>0</v>
      </c>
      <c r="X26" s="143">
        <v>0</v>
      </c>
      <c r="Y26" s="143">
        <v>0</v>
      </c>
      <c r="Z26" s="143">
        <v>0</v>
      </c>
      <c r="AA26" s="143">
        <v>0</v>
      </c>
      <c r="AB26" s="143">
        <v>0</v>
      </c>
      <c r="AC26" s="143">
        <v>0</v>
      </c>
      <c r="AD26" s="143">
        <v>0</v>
      </c>
      <c r="AE26" s="143">
        <v>0</v>
      </c>
      <c r="AF26" s="143">
        <v>0</v>
      </c>
      <c r="AG26" s="143">
        <v>0</v>
      </c>
      <c r="AH26" s="143">
        <v>0</v>
      </c>
      <c r="AI26" s="143">
        <v>0</v>
      </c>
      <c r="AJ26" s="143">
        <v>0</v>
      </c>
      <c r="AK26" s="143">
        <v>0</v>
      </c>
      <c r="AL26" s="143">
        <v>0</v>
      </c>
      <c r="AM26" s="143">
        <v>0</v>
      </c>
      <c r="AN26" s="143">
        <v>0</v>
      </c>
      <c r="AO26" s="143">
        <v>0</v>
      </c>
      <c r="AP26" s="143">
        <v>0</v>
      </c>
      <c r="AQ26" s="144">
        <v>0</v>
      </c>
    </row>
    <row r="27" spans="2:43" ht="12" customHeight="1" x14ac:dyDescent="0.3">
      <c r="B27" s="142" t="s">
        <v>22</v>
      </c>
      <c r="C27" s="143" t="s">
        <v>87</v>
      </c>
      <c r="D27" s="143" t="s">
        <v>24</v>
      </c>
      <c r="E27" s="143" t="s">
        <v>1146</v>
      </c>
      <c r="F27" s="143" t="s">
        <v>25</v>
      </c>
      <c r="G27" s="143" t="s">
        <v>25</v>
      </c>
      <c r="H27" s="143" t="s">
        <v>72</v>
      </c>
      <c r="I27" s="143" t="s">
        <v>25</v>
      </c>
      <c r="J27" s="143">
        <v>0</v>
      </c>
      <c r="K27" s="143">
        <v>0</v>
      </c>
      <c r="L27" s="143">
        <v>0</v>
      </c>
      <c r="M27" s="143">
        <v>0</v>
      </c>
      <c r="N27" s="143">
        <v>0</v>
      </c>
      <c r="O27" s="143">
        <v>0</v>
      </c>
      <c r="P27" s="143">
        <v>0</v>
      </c>
      <c r="Q27" s="143">
        <v>0</v>
      </c>
      <c r="R27" s="143">
        <v>0</v>
      </c>
      <c r="S27" s="143">
        <v>0</v>
      </c>
      <c r="T27" s="143">
        <v>0</v>
      </c>
      <c r="U27" s="143">
        <v>0</v>
      </c>
      <c r="V27" s="143">
        <v>0</v>
      </c>
      <c r="W27" s="143">
        <v>0</v>
      </c>
      <c r="X27" s="143">
        <v>0</v>
      </c>
      <c r="Y27" s="143">
        <v>0</v>
      </c>
      <c r="Z27" s="143">
        <v>0</v>
      </c>
      <c r="AA27" s="143">
        <v>0</v>
      </c>
      <c r="AB27" s="143">
        <v>0</v>
      </c>
      <c r="AC27" s="143">
        <v>0</v>
      </c>
      <c r="AD27" s="143">
        <v>0</v>
      </c>
      <c r="AE27" s="143">
        <v>0</v>
      </c>
      <c r="AF27" s="143">
        <v>0</v>
      </c>
      <c r="AG27" s="143">
        <v>0</v>
      </c>
      <c r="AH27" s="143">
        <v>0</v>
      </c>
      <c r="AI27" s="143">
        <v>0</v>
      </c>
      <c r="AJ27" s="143">
        <v>0</v>
      </c>
      <c r="AK27" s="143">
        <v>0</v>
      </c>
      <c r="AL27" s="143">
        <v>0</v>
      </c>
      <c r="AM27" s="143">
        <v>0</v>
      </c>
      <c r="AN27" s="143">
        <v>0</v>
      </c>
      <c r="AO27" s="143">
        <v>0</v>
      </c>
      <c r="AP27" s="143">
        <v>0</v>
      </c>
      <c r="AQ27" s="144">
        <v>0</v>
      </c>
    </row>
    <row r="28" spans="2:43" ht="12" customHeight="1" x14ac:dyDescent="0.3">
      <c r="B28" s="142" t="s">
        <v>22</v>
      </c>
      <c r="C28" s="143" t="s">
        <v>87</v>
      </c>
      <c r="D28" s="143" t="s">
        <v>24</v>
      </c>
      <c r="E28" s="143" t="s">
        <v>24</v>
      </c>
      <c r="F28" s="143" t="s">
        <v>25</v>
      </c>
      <c r="G28" s="143" t="s">
        <v>25</v>
      </c>
      <c r="H28" s="143" t="s">
        <v>72</v>
      </c>
      <c r="I28" s="143" t="s">
        <v>25</v>
      </c>
      <c r="J28" s="143">
        <v>0</v>
      </c>
      <c r="K28" s="143">
        <v>0</v>
      </c>
      <c r="L28" s="143">
        <v>0</v>
      </c>
      <c r="M28" s="143">
        <v>0</v>
      </c>
      <c r="N28" s="143">
        <v>0</v>
      </c>
      <c r="O28" s="143">
        <v>0</v>
      </c>
      <c r="P28" s="143">
        <v>0</v>
      </c>
      <c r="Q28" s="143">
        <v>0</v>
      </c>
      <c r="R28" s="143">
        <v>0</v>
      </c>
      <c r="S28" s="143">
        <v>0</v>
      </c>
      <c r="T28" s="143">
        <v>0</v>
      </c>
      <c r="U28" s="143">
        <v>0</v>
      </c>
      <c r="V28" s="143">
        <v>0</v>
      </c>
      <c r="W28" s="143">
        <v>0</v>
      </c>
      <c r="X28" s="143">
        <v>0</v>
      </c>
      <c r="Y28" s="143">
        <v>0</v>
      </c>
      <c r="Z28" s="143">
        <v>0</v>
      </c>
      <c r="AA28" s="143">
        <v>0</v>
      </c>
      <c r="AB28" s="143">
        <v>0</v>
      </c>
      <c r="AC28" s="143">
        <v>0</v>
      </c>
      <c r="AD28" s="143">
        <v>0</v>
      </c>
      <c r="AE28" s="143">
        <v>0</v>
      </c>
      <c r="AF28" s="143">
        <v>0</v>
      </c>
      <c r="AG28" s="143">
        <v>0</v>
      </c>
      <c r="AH28" s="143">
        <v>0</v>
      </c>
      <c r="AI28" s="143">
        <v>0</v>
      </c>
      <c r="AJ28" s="143">
        <v>0</v>
      </c>
      <c r="AK28" s="143">
        <v>0</v>
      </c>
      <c r="AL28" s="143">
        <v>0</v>
      </c>
      <c r="AM28" s="143">
        <v>0</v>
      </c>
      <c r="AN28" s="143">
        <v>0</v>
      </c>
      <c r="AO28" s="143">
        <v>0</v>
      </c>
      <c r="AP28" s="143">
        <v>0</v>
      </c>
      <c r="AQ28" s="144">
        <v>0</v>
      </c>
    </row>
    <row r="29" spans="2:43" ht="12" customHeight="1" x14ac:dyDescent="0.3">
      <c r="B29" s="142" t="s">
        <v>43</v>
      </c>
      <c r="C29" s="143" t="s">
        <v>33</v>
      </c>
      <c r="D29" s="143" t="s">
        <v>44</v>
      </c>
      <c r="E29" s="143" t="s">
        <v>88</v>
      </c>
      <c r="F29" s="143" t="s">
        <v>25</v>
      </c>
      <c r="G29" s="143" t="s">
        <v>39</v>
      </c>
      <c r="H29" s="143" t="s">
        <v>72</v>
      </c>
      <c r="I29" s="143" t="s">
        <v>25</v>
      </c>
      <c r="J29" s="143">
        <v>0</v>
      </c>
      <c r="K29" s="143">
        <v>0</v>
      </c>
      <c r="L29" s="143">
        <v>0</v>
      </c>
      <c r="M29" s="143">
        <v>0</v>
      </c>
      <c r="N29" s="143">
        <v>0</v>
      </c>
      <c r="O29" s="143">
        <v>0</v>
      </c>
      <c r="P29" s="143">
        <v>0</v>
      </c>
      <c r="Q29" s="143">
        <v>0</v>
      </c>
      <c r="R29" s="143">
        <v>0</v>
      </c>
      <c r="S29" s="143">
        <v>0</v>
      </c>
      <c r="T29" s="143">
        <v>0</v>
      </c>
      <c r="U29" s="143">
        <v>0</v>
      </c>
      <c r="V29" s="143">
        <v>0</v>
      </c>
      <c r="W29" s="143">
        <v>0</v>
      </c>
      <c r="X29" s="143">
        <v>0</v>
      </c>
      <c r="Y29" s="143">
        <v>0</v>
      </c>
      <c r="Z29" s="143">
        <v>0</v>
      </c>
      <c r="AA29" s="143">
        <v>0</v>
      </c>
      <c r="AB29" s="143">
        <v>0</v>
      </c>
      <c r="AC29" s="143">
        <v>0</v>
      </c>
      <c r="AD29" s="143">
        <v>0</v>
      </c>
      <c r="AE29" s="143">
        <v>0</v>
      </c>
      <c r="AF29" s="143">
        <v>0</v>
      </c>
      <c r="AG29" s="143">
        <v>0</v>
      </c>
      <c r="AH29" s="143">
        <v>0</v>
      </c>
      <c r="AI29" s="143">
        <v>0</v>
      </c>
      <c r="AJ29" s="143">
        <v>0</v>
      </c>
      <c r="AK29" s="143">
        <v>0</v>
      </c>
      <c r="AL29" s="143">
        <v>0</v>
      </c>
      <c r="AM29" s="143">
        <v>0</v>
      </c>
      <c r="AN29" s="143">
        <v>0</v>
      </c>
      <c r="AO29" s="143">
        <v>0</v>
      </c>
      <c r="AP29" s="143">
        <v>0</v>
      </c>
      <c r="AQ29" s="144">
        <v>0</v>
      </c>
    </row>
    <row r="30" spans="2:43" ht="12" customHeight="1" x14ac:dyDescent="0.3">
      <c r="B30" s="142" t="s">
        <v>43</v>
      </c>
      <c r="C30" s="143" t="s">
        <v>33</v>
      </c>
      <c r="D30" s="143" t="s">
        <v>44</v>
      </c>
      <c r="E30" s="143" t="s">
        <v>88</v>
      </c>
      <c r="F30" s="143" t="s">
        <v>25</v>
      </c>
      <c r="G30" s="143" t="s">
        <v>42</v>
      </c>
      <c r="H30" s="143" t="s">
        <v>72</v>
      </c>
      <c r="I30" s="143" t="s">
        <v>25</v>
      </c>
      <c r="J30" s="143">
        <v>0</v>
      </c>
      <c r="K30" s="143">
        <v>0</v>
      </c>
      <c r="L30" s="143">
        <v>0</v>
      </c>
      <c r="M30" s="143">
        <v>0</v>
      </c>
      <c r="N30" s="143">
        <v>0</v>
      </c>
      <c r="O30" s="143">
        <v>0</v>
      </c>
      <c r="P30" s="143">
        <v>0</v>
      </c>
      <c r="Q30" s="143">
        <v>0</v>
      </c>
      <c r="R30" s="143">
        <v>0</v>
      </c>
      <c r="S30" s="143">
        <v>0</v>
      </c>
      <c r="T30" s="143">
        <v>0</v>
      </c>
      <c r="U30" s="143">
        <v>0</v>
      </c>
      <c r="V30" s="143">
        <v>0</v>
      </c>
      <c r="W30" s="143">
        <v>0</v>
      </c>
      <c r="X30" s="143">
        <v>0</v>
      </c>
      <c r="Y30" s="143">
        <v>0</v>
      </c>
      <c r="Z30" s="143">
        <v>0</v>
      </c>
      <c r="AA30" s="143">
        <v>0</v>
      </c>
      <c r="AB30" s="143">
        <v>0</v>
      </c>
      <c r="AC30" s="143">
        <v>0</v>
      </c>
      <c r="AD30" s="143">
        <v>0</v>
      </c>
      <c r="AE30" s="143">
        <v>0</v>
      </c>
      <c r="AF30" s="143">
        <v>0</v>
      </c>
      <c r="AG30" s="143">
        <v>0</v>
      </c>
      <c r="AH30" s="143">
        <v>0</v>
      </c>
      <c r="AI30" s="143">
        <v>0</v>
      </c>
      <c r="AJ30" s="143">
        <v>0</v>
      </c>
      <c r="AK30" s="143">
        <v>0</v>
      </c>
      <c r="AL30" s="143">
        <v>0</v>
      </c>
      <c r="AM30" s="143">
        <v>0</v>
      </c>
      <c r="AN30" s="143">
        <v>0</v>
      </c>
      <c r="AO30" s="143">
        <v>0</v>
      </c>
      <c r="AP30" s="143">
        <v>0</v>
      </c>
      <c r="AQ30" s="144">
        <v>0</v>
      </c>
    </row>
    <row r="31" spans="2:43" ht="12" customHeight="1" x14ac:dyDescent="0.3">
      <c r="B31" s="142" t="s">
        <v>43</v>
      </c>
      <c r="C31" s="143" t="s">
        <v>33</v>
      </c>
      <c r="D31" s="143" t="s">
        <v>44</v>
      </c>
      <c r="E31" s="143" t="s">
        <v>88</v>
      </c>
      <c r="F31" s="143" t="s">
        <v>25</v>
      </c>
      <c r="G31" s="143" t="s">
        <v>34</v>
      </c>
      <c r="H31" s="143" t="s">
        <v>72</v>
      </c>
      <c r="I31" s="143" t="s">
        <v>25</v>
      </c>
      <c r="J31" s="143">
        <v>0</v>
      </c>
      <c r="K31" s="143">
        <v>0</v>
      </c>
      <c r="L31" s="143">
        <v>0</v>
      </c>
      <c r="M31" s="143">
        <v>0</v>
      </c>
      <c r="N31" s="143">
        <v>0</v>
      </c>
      <c r="O31" s="143">
        <v>0</v>
      </c>
      <c r="P31" s="143">
        <v>0</v>
      </c>
      <c r="Q31" s="143">
        <v>0</v>
      </c>
      <c r="R31" s="143">
        <v>0</v>
      </c>
      <c r="S31" s="143">
        <v>0</v>
      </c>
      <c r="T31" s="143">
        <v>0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0</v>
      </c>
      <c r="AF31" s="143">
        <v>0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0</v>
      </c>
      <c r="AM31" s="143">
        <v>0</v>
      </c>
      <c r="AN31" s="143">
        <v>0</v>
      </c>
      <c r="AO31" s="143">
        <v>0</v>
      </c>
      <c r="AP31" s="143">
        <v>0</v>
      </c>
      <c r="AQ31" s="144">
        <v>0</v>
      </c>
    </row>
    <row r="32" spans="2:43" ht="12" customHeight="1" x14ac:dyDescent="0.3">
      <c r="B32" s="142" t="s">
        <v>43</v>
      </c>
      <c r="C32" s="143" t="s">
        <v>33</v>
      </c>
      <c r="D32" s="143" t="s">
        <v>44</v>
      </c>
      <c r="E32" s="143" t="s">
        <v>25</v>
      </c>
      <c r="F32" s="143" t="s">
        <v>25</v>
      </c>
      <c r="G32" s="143" t="s">
        <v>39</v>
      </c>
      <c r="H32" s="143" t="s">
        <v>72</v>
      </c>
      <c r="I32" s="143" t="s">
        <v>25</v>
      </c>
      <c r="J32" s="143">
        <v>0</v>
      </c>
      <c r="K32" s="143">
        <v>0</v>
      </c>
      <c r="L32" s="143">
        <v>0</v>
      </c>
      <c r="M32" s="143">
        <v>0</v>
      </c>
      <c r="N32" s="143">
        <v>0</v>
      </c>
      <c r="O32" s="143">
        <v>0</v>
      </c>
      <c r="P32" s="143">
        <v>0</v>
      </c>
      <c r="Q32" s="143">
        <v>0</v>
      </c>
      <c r="R32" s="143">
        <v>0</v>
      </c>
      <c r="S32" s="143">
        <v>0</v>
      </c>
      <c r="T32" s="143">
        <v>0</v>
      </c>
      <c r="U32" s="143">
        <v>0</v>
      </c>
      <c r="V32" s="143">
        <v>0</v>
      </c>
      <c r="W32" s="143">
        <v>0</v>
      </c>
      <c r="X32" s="143">
        <v>0</v>
      </c>
      <c r="Y32" s="143">
        <v>0</v>
      </c>
      <c r="Z32" s="143">
        <v>0</v>
      </c>
      <c r="AA32" s="143">
        <v>0</v>
      </c>
      <c r="AB32" s="143">
        <v>0</v>
      </c>
      <c r="AC32" s="143">
        <v>0</v>
      </c>
      <c r="AD32" s="143">
        <v>0</v>
      </c>
      <c r="AE32" s="143">
        <v>0</v>
      </c>
      <c r="AF32" s="143">
        <v>0</v>
      </c>
      <c r="AG32" s="143">
        <v>0</v>
      </c>
      <c r="AH32" s="143">
        <v>0</v>
      </c>
      <c r="AI32" s="143">
        <v>0</v>
      </c>
      <c r="AJ32" s="143">
        <v>0</v>
      </c>
      <c r="AK32" s="143">
        <v>0</v>
      </c>
      <c r="AL32" s="143">
        <v>0</v>
      </c>
      <c r="AM32" s="143">
        <v>0</v>
      </c>
      <c r="AN32" s="143">
        <v>0</v>
      </c>
      <c r="AO32" s="143">
        <v>0</v>
      </c>
      <c r="AP32" s="143">
        <v>0</v>
      </c>
      <c r="AQ32" s="144">
        <v>0</v>
      </c>
    </row>
    <row r="33" spans="2:43" ht="12" customHeight="1" x14ac:dyDescent="0.3">
      <c r="B33" s="142" t="s">
        <v>43</v>
      </c>
      <c r="C33" s="143" t="s">
        <v>33</v>
      </c>
      <c r="D33" s="143" t="s">
        <v>44</v>
      </c>
      <c r="E33" s="143" t="s">
        <v>25</v>
      </c>
      <c r="F33" s="143" t="s">
        <v>25</v>
      </c>
      <c r="G33" s="143" t="s">
        <v>42</v>
      </c>
      <c r="H33" s="143" t="s">
        <v>72</v>
      </c>
      <c r="I33" s="143" t="s">
        <v>25</v>
      </c>
      <c r="J33" s="143">
        <v>0</v>
      </c>
      <c r="K33" s="143">
        <v>0</v>
      </c>
      <c r="L33" s="143">
        <v>0</v>
      </c>
      <c r="M33" s="143">
        <v>0</v>
      </c>
      <c r="N33" s="143">
        <v>0</v>
      </c>
      <c r="O33" s="143">
        <v>0</v>
      </c>
      <c r="P33" s="143">
        <v>0</v>
      </c>
      <c r="Q33" s="143">
        <v>0</v>
      </c>
      <c r="R33" s="143">
        <v>0</v>
      </c>
      <c r="S33" s="143">
        <v>0</v>
      </c>
      <c r="T33" s="143">
        <v>0</v>
      </c>
      <c r="U33" s="143">
        <v>0</v>
      </c>
      <c r="V33" s="143">
        <v>0</v>
      </c>
      <c r="W33" s="143">
        <v>0</v>
      </c>
      <c r="X33" s="143">
        <v>0</v>
      </c>
      <c r="Y33" s="143">
        <v>0</v>
      </c>
      <c r="Z33" s="143">
        <v>0</v>
      </c>
      <c r="AA33" s="143">
        <v>0</v>
      </c>
      <c r="AB33" s="143">
        <v>0</v>
      </c>
      <c r="AC33" s="143">
        <v>0</v>
      </c>
      <c r="AD33" s="143">
        <v>0</v>
      </c>
      <c r="AE33" s="143">
        <v>0</v>
      </c>
      <c r="AF33" s="143">
        <v>0</v>
      </c>
      <c r="AG33" s="143">
        <v>0</v>
      </c>
      <c r="AH33" s="143">
        <v>0</v>
      </c>
      <c r="AI33" s="143">
        <v>0</v>
      </c>
      <c r="AJ33" s="143">
        <v>0</v>
      </c>
      <c r="AK33" s="143">
        <v>0</v>
      </c>
      <c r="AL33" s="143">
        <v>0</v>
      </c>
      <c r="AM33" s="143">
        <v>0</v>
      </c>
      <c r="AN33" s="143">
        <v>0</v>
      </c>
      <c r="AO33" s="143">
        <v>0</v>
      </c>
      <c r="AP33" s="143">
        <v>0</v>
      </c>
      <c r="AQ33" s="144">
        <v>0</v>
      </c>
    </row>
    <row r="34" spans="2:43" ht="12" customHeight="1" x14ac:dyDescent="0.3">
      <c r="B34" s="142" t="s">
        <v>43</v>
      </c>
      <c r="C34" s="143" t="s">
        <v>33</v>
      </c>
      <c r="D34" s="143" t="s">
        <v>44</v>
      </c>
      <c r="E34" s="143" t="s">
        <v>25</v>
      </c>
      <c r="F34" s="143" t="s">
        <v>25</v>
      </c>
      <c r="G34" s="143" t="s">
        <v>34</v>
      </c>
      <c r="H34" s="143" t="s">
        <v>72</v>
      </c>
      <c r="I34" s="143" t="s">
        <v>25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43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0</v>
      </c>
      <c r="AM34" s="143">
        <v>0</v>
      </c>
      <c r="AN34" s="143">
        <v>0</v>
      </c>
      <c r="AO34" s="143">
        <v>0</v>
      </c>
      <c r="AP34" s="143">
        <v>0</v>
      </c>
      <c r="AQ34" s="144">
        <v>0</v>
      </c>
    </row>
    <row r="35" spans="2:43" ht="12" customHeight="1" x14ac:dyDescent="0.3">
      <c r="B35" s="142" t="s">
        <v>43</v>
      </c>
      <c r="C35" s="143" t="s">
        <v>33</v>
      </c>
      <c r="D35" s="143" t="s">
        <v>44</v>
      </c>
      <c r="E35" s="143" t="s">
        <v>89</v>
      </c>
      <c r="F35" s="143" t="s">
        <v>25</v>
      </c>
      <c r="G35" s="143" t="s">
        <v>39</v>
      </c>
      <c r="H35" s="143" t="s">
        <v>72</v>
      </c>
      <c r="I35" s="143" t="s">
        <v>25</v>
      </c>
      <c r="J35" s="143">
        <v>0</v>
      </c>
      <c r="K35" s="143">
        <v>0</v>
      </c>
      <c r="L35" s="143">
        <v>0</v>
      </c>
      <c r="M35" s="143">
        <v>0</v>
      </c>
      <c r="N35" s="143">
        <v>0</v>
      </c>
      <c r="O35" s="143">
        <v>0</v>
      </c>
      <c r="P35" s="143">
        <v>0</v>
      </c>
      <c r="Q35" s="143">
        <v>0</v>
      </c>
      <c r="R35" s="143">
        <v>0</v>
      </c>
      <c r="S35" s="143">
        <v>0</v>
      </c>
      <c r="T35" s="143">
        <v>0</v>
      </c>
      <c r="U35" s="143">
        <v>0</v>
      </c>
      <c r="V35" s="143">
        <v>0</v>
      </c>
      <c r="W35" s="143">
        <v>0</v>
      </c>
      <c r="X35" s="143">
        <v>0</v>
      </c>
      <c r="Y35" s="143">
        <v>0</v>
      </c>
      <c r="Z35" s="143">
        <v>0</v>
      </c>
      <c r="AA35" s="143">
        <v>0</v>
      </c>
      <c r="AB35" s="143">
        <v>0</v>
      </c>
      <c r="AC35" s="143">
        <v>0</v>
      </c>
      <c r="AD35" s="143">
        <v>0</v>
      </c>
      <c r="AE35" s="143">
        <v>0</v>
      </c>
      <c r="AF35" s="143">
        <v>0</v>
      </c>
      <c r="AG35" s="143">
        <v>0</v>
      </c>
      <c r="AH35" s="143">
        <v>0</v>
      </c>
      <c r="AI35" s="143">
        <v>0</v>
      </c>
      <c r="AJ35" s="143">
        <v>0</v>
      </c>
      <c r="AK35" s="143">
        <v>0</v>
      </c>
      <c r="AL35" s="143">
        <v>0</v>
      </c>
      <c r="AM35" s="143">
        <v>0</v>
      </c>
      <c r="AN35" s="143">
        <v>0</v>
      </c>
      <c r="AO35" s="143">
        <v>0</v>
      </c>
      <c r="AP35" s="143">
        <v>0</v>
      </c>
      <c r="AQ35" s="144">
        <v>0</v>
      </c>
    </row>
    <row r="36" spans="2:43" ht="12" customHeight="1" x14ac:dyDescent="0.3">
      <c r="B36" s="142" t="s">
        <v>43</v>
      </c>
      <c r="C36" s="143" t="s">
        <v>33</v>
      </c>
      <c r="D36" s="143" t="s">
        <v>44</v>
      </c>
      <c r="E36" s="143" t="s">
        <v>89</v>
      </c>
      <c r="F36" s="143" t="s">
        <v>25</v>
      </c>
      <c r="G36" s="143" t="s">
        <v>42</v>
      </c>
      <c r="H36" s="143" t="s">
        <v>72</v>
      </c>
      <c r="I36" s="143" t="s">
        <v>25</v>
      </c>
      <c r="J36" s="143">
        <v>0</v>
      </c>
      <c r="K36" s="143">
        <v>0</v>
      </c>
      <c r="L36" s="143">
        <v>0</v>
      </c>
      <c r="M36" s="143">
        <v>0</v>
      </c>
      <c r="N36" s="143">
        <v>0</v>
      </c>
      <c r="O36" s="143">
        <v>0</v>
      </c>
      <c r="P36" s="143">
        <v>0</v>
      </c>
      <c r="Q36" s="143">
        <v>0</v>
      </c>
      <c r="R36" s="143">
        <v>0</v>
      </c>
      <c r="S36" s="143">
        <v>0</v>
      </c>
      <c r="T36" s="143">
        <v>0</v>
      </c>
      <c r="U36" s="143">
        <v>0</v>
      </c>
      <c r="V36" s="143">
        <v>0</v>
      </c>
      <c r="W36" s="143">
        <v>0</v>
      </c>
      <c r="X36" s="143">
        <v>0</v>
      </c>
      <c r="Y36" s="143">
        <v>0</v>
      </c>
      <c r="Z36" s="143">
        <v>0</v>
      </c>
      <c r="AA36" s="143">
        <v>0</v>
      </c>
      <c r="AB36" s="143">
        <v>0</v>
      </c>
      <c r="AC36" s="143">
        <v>0</v>
      </c>
      <c r="AD36" s="143">
        <v>0</v>
      </c>
      <c r="AE36" s="143">
        <v>0</v>
      </c>
      <c r="AF36" s="143">
        <v>0</v>
      </c>
      <c r="AG36" s="143">
        <v>0</v>
      </c>
      <c r="AH36" s="143">
        <v>0</v>
      </c>
      <c r="AI36" s="143">
        <v>0</v>
      </c>
      <c r="AJ36" s="143">
        <v>0</v>
      </c>
      <c r="AK36" s="143">
        <v>0</v>
      </c>
      <c r="AL36" s="143">
        <v>0</v>
      </c>
      <c r="AM36" s="143">
        <v>0</v>
      </c>
      <c r="AN36" s="143">
        <v>0</v>
      </c>
      <c r="AO36" s="143">
        <v>0</v>
      </c>
      <c r="AP36" s="143">
        <v>0</v>
      </c>
      <c r="AQ36" s="144">
        <v>0</v>
      </c>
    </row>
    <row r="37" spans="2:43" ht="12" customHeight="1" x14ac:dyDescent="0.3">
      <c r="B37" s="142" t="s">
        <v>43</v>
      </c>
      <c r="C37" s="143" t="s">
        <v>33</v>
      </c>
      <c r="D37" s="143" t="s">
        <v>44</v>
      </c>
      <c r="E37" s="143" t="s">
        <v>89</v>
      </c>
      <c r="F37" s="143" t="s">
        <v>25</v>
      </c>
      <c r="G37" s="143" t="s">
        <v>34</v>
      </c>
      <c r="H37" s="143" t="s">
        <v>72</v>
      </c>
      <c r="I37" s="143" t="s">
        <v>25</v>
      </c>
      <c r="J37" s="143">
        <v>0</v>
      </c>
      <c r="K37" s="143">
        <v>0</v>
      </c>
      <c r="L37" s="143">
        <v>0</v>
      </c>
      <c r="M37" s="143">
        <v>0</v>
      </c>
      <c r="N37" s="143">
        <v>0</v>
      </c>
      <c r="O37" s="143">
        <v>0</v>
      </c>
      <c r="P37" s="143">
        <v>0</v>
      </c>
      <c r="Q37" s="143">
        <v>0</v>
      </c>
      <c r="R37" s="143">
        <v>0</v>
      </c>
      <c r="S37" s="143">
        <v>0</v>
      </c>
      <c r="T37" s="143">
        <v>0</v>
      </c>
      <c r="U37" s="143">
        <v>0</v>
      </c>
      <c r="V37" s="143">
        <v>0</v>
      </c>
      <c r="W37" s="143">
        <v>0</v>
      </c>
      <c r="X37" s="143">
        <v>0</v>
      </c>
      <c r="Y37" s="143">
        <v>0</v>
      </c>
      <c r="Z37" s="143">
        <v>0</v>
      </c>
      <c r="AA37" s="143">
        <v>0</v>
      </c>
      <c r="AB37" s="143">
        <v>0</v>
      </c>
      <c r="AC37" s="143">
        <v>0</v>
      </c>
      <c r="AD37" s="143">
        <v>0</v>
      </c>
      <c r="AE37" s="143">
        <v>0</v>
      </c>
      <c r="AF37" s="143">
        <v>0</v>
      </c>
      <c r="AG37" s="143">
        <v>0</v>
      </c>
      <c r="AH37" s="143">
        <v>0</v>
      </c>
      <c r="AI37" s="143">
        <v>0</v>
      </c>
      <c r="AJ37" s="143">
        <v>0</v>
      </c>
      <c r="AK37" s="143">
        <v>0</v>
      </c>
      <c r="AL37" s="143">
        <v>0</v>
      </c>
      <c r="AM37" s="143">
        <v>0</v>
      </c>
      <c r="AN37" s="143">
        <v>0</v>
      </c>
      <c r="AO37" s="143">
        <v>0</v>
      </c>
      <c r="AP37" s="143">
        <v>0</v>
      </c>
      <c r="AQ37" s="144">
        <v>0</v>
      </c>
    </row>
    <row r="38" spans="2:43" ht="12" customHeight="1" x14ac:dyDescent="0.3">
      <c r="B38" s="142" t="s">
        <v>43</v>
      </c>
      <c r="C38" s="143" t="s">
        <v>23</v>
      </c>
      <c r="D38" s="143" t="s">
        <v>44</v>
      </c>
      <c r="E38" s="143" t="s">
        <v>88</v>
      </c>
      <c r="F38" s="143" t="s">
        <v>25</v>
      </c>
      <c r="G38" s="143" t="s">
        <v>25</v>
      </c>
      <c r="H38" s="143" t="s">
        <v>72</v>
      </c>
      <c r="I38" s="143" t="s">
        <v>25</v>
      </c>
      <c r="J38" s="143">
        <v>0</v>
      </c>
      <c r="K38" s="143">
        <v>0</v>
      </c>
      <c r="L38" s="143">
        <v>0</v>
      </c>
      <c r="M38" s="143">
        <v>0</v>
      </c>
      <c r="N38" s="143">
        <v>0</v>
      </c>
      <c r="O38" s="143">
        <v>0</v>
      </c>
      <c r="P38" s="143">
        <v>0</v>
      </c>
      <c r="Q38" s="143">
        <v>0</v>
      </c>
      <c r="R38" s="143">
        <v>0</v>
      </c>
      <c r="S38" s="143">
        <v>0</v>
      </c>
      <c r="T38" s="143">
        <v>0</v>
      </c>
      <c r="U38" s="143">
        <v>0</v>
      </c>
      <c r="V38" s="143">
        <v>0</v>
      </c>
      <c r="W38" s="143">
        <v>0</v>
      </c>
      <c r="X38" s="143">
        <v>0</v>
      </c>
      <c r="Y38" s="143">
        <v>0</v>
      </c>
      <c r="Z38" s="143">
        <v>0</v>
      </c>
      <c r="AA38" s="143">
        <v>0</v>
      </c>
      <c r="AB38" s="143">
        <v>0</v>
      </c>
      <c r="AC38" s="143">
        <v>0</v>
      </c>
      <c r="AD38" s="143">
        <v>0</v>
      </c>
      <c r="AE38" s="143">
        <v>0</v>
      </c>
      <c r="AF38" s="143">
        <v>0</v>
      </c>
      <c r="AG38" s="143">
        <v>0</v>
      </c>
      <c r="AH38" s="143">
        <v>0</v>
      </c>
      <c r="AI38" s="143">
        <v>0</v>
      </c>
      <c r="AJ38" s="143">
        <v>0</v>
      </c>
      <c r="AK38" s="143">
        <v>0</v>
      </c>
      <c r="AL38" s="143">
        <v>0</v>
      </c>
      <c r="AM38" s="143">
        <v>0</v>
      </c>
      <c r="AN38" s="143">
        <v>0</v>
      </c>
      <c r="AO38" s="143">
        <v>0</v>
      </c>
      <c r="AP38" s="143">
        <v>0</v>
      </c>
      <c r="AQ38" s="144">
        <v>0</v>
      </c>
    </row>
    <row r="39" spans="2:43" ht="12" customHeight="1" x14ac:dyDescent="0.3">
      <c r="B39" s="142" t="s">
        <v>43</v>
      </c>
      <c r="C39" s="143" t="s">
        <v>23</v>
      </c>
      <c r="D39" s="143" t="s">
        <v>44</v>
      </c>
      <c r="E39" s="143" t="s">
        <v>25</v>
      </c>
      <c r="F39" s="143" t="s">
        <v>25</v>
      </c>
      <c r="G39" s="143" t="s">
        <v>25</v>
      </c>
      <c r="H39" s="143" t="s">
        <v>72</v>
      </c>
      <c r="I39" s="143" t="s">
        <v>25</v>
      </c>
      <c r="J39" s="143">
        <v>0</v>
      </c>
      <c r="K39" s="143">
        <v>0</v>
      </c>
      <c r="L39" s="143">
        <v>0</v>
      </c>
      <c r="M39" s="143">
        <v>0</v>
      </c>
      <c r="N39" s="143">
        <v>0</v>
      </c>
      <c r="O39" s="143">
        <v>0</v>
      </c>
      <c r="P39" s="143">
        <v>0</v>
      </c>
      <c r="Q39" s="143">
        <v>0</v>
      </c>
      <c r="R39" s="143">
        <v>0</v>
      </c>
      <c r="S39" s="143">
        <v>0</v>
      </c>
      <c r="T39" s="143">
        <v>0</v>
      </c>
      <c r="U39" s="143">
        <v>0</v>
      </c>
      <c r="V39" s="143">
        <v>0</v>
      </c>
      <c r="W39" s="143">
        <v>0</v>
      </c>
      <c r="X39" s="143">
        <v>0</v>
      </c>
      <c r="Y39" s="143">
        <v>0</v>
      </c>
      <c r="Z39" s="143">
        <v>0</v>
      </c>
      <c r="AA39" s="143">
        <v>0</v>
      </c>
      <c r="AB39" s="143">
        <v>0</v>
      </c>
      <c r="AC39" s="143">
        <v>0</v>
      </c>
      <c r="AD39" s="143">
        <v>0</v>
      </c>
      <c r="AE39" s="143">
        <v>0</v>
      </c>
      <c r="AF39" s="143">
        <v>0</v>
      </c>
      <c r="AG39" s="143">
        <v>0</v>
      </c>
      <c r="AH39" s="143">
        <v>0</v>
      </c>
      <c r="AI39" s="143">
        <v>0</v>
      </c>
      <c r="AJ39" s="143">
        <v>0</v>
      </c>
      <c r="AK39" s="143">
        <v>0</v>
      </c>
      <c r="AL39" s="143">
        <v>0</v>
      </c>
      <c r="AM39" s="143">
        <v>0</v>
      </c>
      <c r="AN39" s="143">
        <v>0</v>
      </c>
      <c r="AO39" s="143">
        <v>0</v>
      </c>
      <c r="AP39" s="143">
        <v>0</v>
      </c>
      <c r="AQ39" s="144">
        <v>0</v>
      </c>
    </row>
    <row r="40" spans="2:43" ht="12" customHeight="1" x14ac:dyDescent="0.3">
      <c r="B40" s="142" t="s">
        <v>43</v>
      </c>
      <c r="C40" s="143" t="s">
        <v>23</v>
      </c>
      <c r="D40" s="143" t="s">
        <v>44</v>
      </c>
      <c r="E40" s="143" t="s">
        <v>89</v>
      </c>
      <c r="F40" s="143" t="s">
        <v>25</v>
      </c>
      <c r="G40" s="143" t="s">
        <v>25</v>
      </c>
      <c r="H40" s="143" t="s">
        <v>72</v>
      </c>
      <c r="I40" s="143" t="s">
        <v>25</v>
      </c>
      <c r="J40" s="143">
        <v>0</v>
      </c>
      <c r="K40" s="143">
        <v>0</v>
      </c>
      <c r="L40" s="143">
        <v>0</v>
      </c>
      <c r="M40" s="143">
        <v>0</v>
      </c>
      <c r="N40" s="143">
        <v>0</v>
      </c>
      <c r="O40" s="143">
        <v>0</v>
      </c>
      <c r="P40" s="143">
        <v>0</v>
      </c>
      <c r="Q40" s="143">
        <v>0</v>
      </c>
      <c r="R40" s="143">
        <v>0</v>
      </c>
      <c r="S40" s="143">
        <v>0</v>
      </c>
      <c r="T40" s="143">
        <v>0</v>
      </c>
      <c r="U40" s="143">
        <v>0</v>
      </c>
      <c r="V40" s="143">
        <v>0</v>
      </c>
      <c r="W40" s="143">
        <v>0</v>
      </c>
      <c r="X40" s="143">
        <v>0</v>
      </c>
      <c r="Y40" s="143">
        <v>0</v>
      </c>
      <c r="Z40" s="143">
        <v>0</v>
      </c>
      <c r="AA40" s="143">
        <v>0</v>
      </c>
      <c r="AB40" s="143">
        <v>0</v>
      </c>
      <c r="AC40" s="143">
        <v>0</v>
      </c>
      <c r="AD40" s="143">
        <v>0</v>
      </c>
      <c r="AE40" s="143">
        <v>0</v>
      </c>
      <c r="AF40" s="143">
        <v>0</v>
      </c>
      <c r="AG40" s="143">
        <v>0</v>
      </c>
      <c r="AH40" s="143">
        <v>0</v>
      </c>
      <c r="AI40" s="143">
        <v>0</v>
      </c>
      <c r="AJ40" s="143">
        <v>0</v>
      </c>
      <c r="AK40" s="143">
        <v>0</v>
      </c>
      <c r="AL40" s="143">
        <v>0</v>
      </c>
      <c r="AM40" s="143">
        <v>0</v>
      </c>
      <c r="AN40" s="143">
        <v>0</v>
      </c>
      <c r="AO40" s="143">
        <v>0</v>
      </c>
      <c r="AP40" s="143">
        <v>0</v>
      </c>
      <c r="AQ40" s="144">
        <v>0</v>
      </c>
    </row>
    <row r="41" spans="2:43" ht="12" customHeight="1" x14ac:dyDescent="0.3">
      <c r="B41" s="142" t="s">
        <v>43</v>
      </c>
      <c r="C41" s="143" t="s">
        <v>87</v>
      </c>
      <c r="D41" s="143" t="s">
        <v>44</v>
      </c>
      <c r="E41" s="143" t="s">
        <v>88</v>
      </c>
      <c r="F41" s="143" t="s">
        <v>25</v>
      </c>
      <c r="G41" s="143" t="s">
        <v>25</v>
      </c>
      <c r="H41" s="143" t="s">
        <v>72</v>
      </c>
      <c r="I41" s="143" t="s">
        <v>25</v>
      </c>
      <c r="J41" s="143">
        <v>0</v>
      </c>
      <c r="K41" s="143">
        <v>0</v>
      </c>
      <c r="L41" s="143">
        <v>0</v>
      </c>
      <c r="M41" s="143">
        <v>0</v>
      </c>
      <c r="N41" s="143">
        <v>0</v>
      </c>
      <c r="O41" s="143">
        <v>0</v>
      </c>
      <c r="P41" s="143">
        <v>0</v>
      </c>
      <c r="Q41" s="143">
        <v>0</v>
      </c>
      <c r="R41" s="143">
        <v>0</v>
      </c>
      <c r="S41" s="143">
        <v>0</v>
      </c>
      <c r="T41" s="143">
        <v>0</v>
      </c>
      <c r="U41" s="143">
        <v>0</v>
      </c>
      <c r="V41" s="143">
        <v>0</v>
      </c>
      <c r="W41" s="143">
        <v>0</v>
      </c>
      <c r="X41" s="143">
        <v>0</v>
      </c>
      <c r="Y41" s="143">
        <v>0</v>
      </c>
      <c r="Z41" s="143">
        <v>0</v>
      </c>
      <c r="AA41" s="143">
        <v>0</v>
      </c>
      <c r="AB41" s="143">
        <v>0</v>
      </c>
      <c r="AC41" s="143">
        <v>0</v>
      </c>
      <c r="AD41" s="143">
        <v>0</v>
      </c>
      <c r="AE41" s="143">
        <v>0</v>
      </c>
      <c r="AF41" s="143">
        <v>0</v>
      </c>
      <c r="AG41" s="143">
        <v>0</v>
      </c>
      <c r="AH41" s="143">
        <v>0</v>
      </c>
      <c r="AI41" s="143">
        <v>0</v>
      </c>
      <c r="AJ41" s="143">
        <v>0</v>
      </c>
      <c r="AK41" s="143">
        <v>0</v>
      </c>
      <c r="AL41" s="143">
        <v>0</v>
      </c>
      <c r="AM41" s="143">
        <v>0</v>
      </c>
      <c r="AN41" s="143">
        <v>0</v>
      </c>
      <c r="AO41" s="143">
        <v>0</v>
      </c>
      <c r="AP41" s="143">
        <v>0</v>
      </c>
      <c r="AQ41" s="144">
        <v>0</v>
      </c>
    </row>
    <row r="42" spans="2:43" ht="12" customHeight="1" x14ac:dyDescent="0.3">
      <c r="B42" s="142" t="s">
        <v>43</v>
      </c>
      <c r="C42" s="143" t="s">
        <v>87</v>
      </c>
      <c r="D42" s="143" t="s">
        <v>44</v>
      </c>
      <c r="E42" s="143" t="s">
        <v>25</v>
      </c>
      <c r="F42" s="143" t="s">
        <v>25</v>
      </c>
      <c r="G42" s="143" t="s">
        <v>25</v>
      </c>
      <c r="H42" s="143" t="s">
        <v>72</v>
      </c>
      <c r="I42" s="143" t="s">
        <v>25</v>
      </c>
      <c r="J42" s="143">
        <v>0</v>
      </c>
      <c r="K42" s="143">
        <v>0</v>
      </c>
      <c r="L42" s="143">
        <v>0</v>
      </c>
      <c r="M42" s="143">
        <v>0</v>
      </c>
      <c r="N42" s="143">
        <v>0</v>
      </c>
      <c r="O42" s="143">
        <v>0</v>
      </c>
      <c r="P42" s="143">
        <v>0</v>
      </c>
      <c r="Q42" s="143">
        <v>0</v>
      </c>
      <c r="R42" s="143">
        <v>0</v>
      </c>
      <c r="S42" s="143">
        <v>0</v>
      </c>
      <c r="T42" s="143">
        <v>0</v>
      </c>
      <c r="U42" s="143">
        <v>0</v>
      </c>
      <c r="V42" s="143">
        <v>0</v>
      </c>
      <c r="W42" s="143">
        <v>0</v>
      </c>
      <c r="X42" s="143">
        <v>0</v>
      </c>
      <c r="Y42" s="143">
        <v>0</v>
      </c>
      <c r="Z42" s="143">
        <v>0</v>
      </c>
      <c r="AA42" s="143">
        <v>0</v>
      </c>
      <c r="AB42" s="143">
        <v>0</v>
      </c>
      <c r="AC42" s="143">
        <v>0</v>
      </c>
      <c r="AD42" s="143">
        <v>0</v>
      </c>
      <c r="AE42" s="143">
        <v>0</v>
      </c>
      <c r="AF42" s="143">
        <v>0</v>
      </c>
      <c r="AG42" s="143">
        <v>0</v>
      </c>
      <c r="AH42" s="143">
        <v>0</v>
      </c>
      <c r="AI42" s="143">
        <v>0</v>
      </c>
      <c r="AJ42" s="143">
        <v>0</v>
      </c>
      <c r="AK42" s="143">
        <v>0</v>
      </c>
      <c r="AL42" s="143">
        <v>0</v>
      </c>
      <c r="AM42" s="143">
        <v>0</v>
      </c>
      <c r="AN42" s="143">
        <v>0</v>
      </c>
      <c r="AO42" s="143">
        <v>0</v>
      </c>
      <c r="AP42" s="143">
        <v>0</v>
      </c>
      <c r="AQ42" s="144">
        <v>0</v>
      </c>
    </row>
    <row r="43" spans="2:43" ht="12" customHeight="1" x14ac:dyDescent="0.3">
      <c r="B43" s="142" t="s">
        <v>43</v>
      </c>
      <c r="C43" s="143" t="s">
        <v>87</v>
      </c>
      <c r="D43" s="143" t="s">
        <v>44</v>
      </c>
      <c r="E43" s="143" t="s">
        <v>89</v>
      </c>
      <c r="F43" s="143" t="s">
        <v>25</v>
      </c>
      <c r="G43" s="143" t="s">
        <v>25</v>
      </c>
      <c r="H43" s="143" t="s">
        <v>72</v>
      </c>
      <c r="I43" s="143" t="s">
        <v>25</v>
      </c>
      <c r="J43" s="143">
        <v>0</v>
      </c>
      <c r="K43" s="143">
        <v>0</v>
      </c>
      <c r="L43" s="143">
        <v>0</v>
      </c>
      <c r="M43" s="143">
        <v>0</v>
      </c>
      <c r="N43" s="143">
        <v>0</v>
      </c>
      <c r="O43" s="143">
        <v>0</v>
      </c>
      <c r="P43" s="143">
        <v>0</v>
      </c>
      <c r="Q43" s="143">
        <v>0</v>
      </c>
      <c r="R43" s="143">
        <v>0</v>
      </c>
      <c r="S43" s="143">
        <v>0</v>
      </c>
      <c r="T43" s="143">
        <v>0</v>
      </c>
      <c r="U43" s="143">
        <v>0</v>
      </c>
      <c r="V43" s="143">
        <v>0</v>
      </c>
      <c r="W43" s="143">
        <v>0</v>
      </c>
      <c r="X43" s="143">
        <v>0</v>
      </c>
      <c r="Y43" s="143">
        <v>0</v>
      </c>
      <c r="Z43" s="143">
        <v>0</v>
      </c>
      <c r="AA43" s="143">
        <v>0</v>
      </c>
      <c r="AB43" s="143">
        <v>0</v>
      </c>
      <c r="AC43" s="143">
        <v>0</v>
      </c>
      <c r="AD43" s="143">
        <v>0</v>
      </c>
      <c r="AE43" s="143">
        <v>0</v>
      </c>
      <c r="AF43" s="143">
        <v>0</v>
      </c>
      <c r="AG43" s="143">
        <v>0</v>
      </c>
      <c r="AH43" s="143">
        <v>0</v>
      </c>
      <c r="AI43" s="143">
        <v>0</v>
      </c>
      <c r="AJ43" s="143">
        <v>0</v>
      </c>
      <c r="AK43" s="143">
        <v>0</v>
      </c>
      <c r="AL43" s="143">
        <v>0</v>
      </c>
      <c r="AM43" s="143">
        <v>0</v>
      </c>
      <c r="AN43" s="143">
        <v>0</v>
      </c>
      <c r="AO43" s="143">
        <v>0</v>
      </c>
      <c r="AP43" s="143">
        <v>0</v>
      </c>
      <c r="AQ43" s="144">
        <v>0</v>
      </c>
    </row>
    <row r="44" spans="2:43" ht="12" customHeight="1" x14ac:dyDescent="0.3">
      <c r="B44" s="142" t="s">
        <v>35</v>
      </c>
      <c r="C44" s="143" t="s">
        <v>33</v>
      </c>
      <c r="D44" s="143" t="s">
        <v>25</v>
      </c>
      <c r="E44" s="143" t="s">
        <v>25</v>
      </c>
      <c r="F44" s="143" t="s">
        <v>25</v>
      </c>
      <c r="G44" s="143" t="s">
        <v>39</v>
      </c>
      <c r="H44" s="143" t="s">
        <v>72</v>
      </c>
      <c r="I44" s="143" t="s">
        <v>25</v>
      </c>
      <c r="J44" s="143">
        <v>0</v>
      </c>
      <c r="K44" s="143">
        <v>0</v>
      </c>
      <c r="L44" s="143">
        <v>0</v>
      </c>
      <c r="M44" s="143">
        <v>0</v>
      </c>
      <c r="N44" s="143">
        <v>0</v>
      </c>
      <c r="O44" s="143">
        <v>0</v>
      </c>
      <c r="P44" s="143">
        <v>0</v>
      </c>
      <c r="Q44" s="143">
        <v>0</v>
      </c>
      <c r="R44" s="143">
        <v>0</v>
      </c>
      <c r="S44" s="143">
        <v>0</v>
      </c>
      <c r="T44" s="143">
        <v>0</v>
      </c>
      <c r="U44" s="143">
        <v>0</v>
      </c>
      <c r="V44" s="143">
        <v>0</v>
      </c>
      <c r="W44" s="143">
        <v>0</v>
      </c>
      <c r="X44" s="143">
        <v>0</v>
      </c>
      <c r="Y44" s="143">
        <v>0</v>
      </c>
      <c r="Z44" s="143">
        <v>0</v>
      </c>
      <c r="AA44" s="143">
        <v>0</v>
      </c>
      <c r="AB44" s="143">
        <v>0</v>
      </c>
      <c r="AC44" s="143">
        <v>0</v>
      </c>
      <c r="AD44" s="143">
        <v>0</v>
      </c>
      <c r="AE44" s="143">
        <v>0</v>
      </c>
      <c r="AF44" s="143">
        <v>0</v>
      </c>
      <c r="AG44" s="143">
        <v>0</v>
      </c>
      <c r="AH44" s="143">
        <v>0</v>
      </c>
      <c r="AI44" s="143">
        <v>0</v>
      </c>
      <c r="AJ44" s="143">
        <v>0</v>
      </c>
      <c r="AK44" s="143">
        <v>0</v>
      </c>
      <c r="AL44" s="143">
        <v>0</v>
      </c>
      <c r="AM44" s="143">
        <v>0</v>
      </c>
      <c r="AN44" s="143">
        <v>0</v>
      </c>
      <c r="AO44" s="143">
        <v>0</v>
      </c>
      <c r="AP44" s="143">
        <v>0</v>
      </c>
      <c r="AQ44" s="144">
        <v>0</v>
      </c>
    </row>
    <row r="45" spans="2:43" ht="12" customHeight="1" x14ac:dyDescent="0.3">
      <c r="B45" s="142" t="s">
        <v>35</v>
      </c>
      <c r="C45" s="143" t="s">
        <v>33</v>
      </c>
      <c r="D45" s="143" t="s">
        <v>25</v>
      </c>
      <c r="E45" s="143" t="s">
        <v>25</v>
      </c>
      <c r="F45" s="143" t="s">
        <v>25</v>
      </c>
      <c r="G45" s="143" t="s">
        <v>42</v>
      </c>
      <c r="H45" s="143" t="s">
        <v>72</v>
      </c>
      <c r="I45" s="143" t="s">
        <v>25</v>
      </c>
      <c r="J45" s="143">
        <v>0</v>
      </c>
      <c r="K45" s="143">
        <v>0</v>
      </c>
      <c r="L45" s="143">
        <v>0</v>
      </c>
      <c r="M45" s="143">
        <v>0</v>
      </c>
      <c r="N45" s="143">
        <v>0</v>
      </c>
      <c r="O45" s="143">
        <v>0</v>
      </c>
      <c r="P45" s="143">
        <v>0</v>
      </c>
      <c r="Q45" s="143">
        <v>0</v>
      </c>
      <c r="R45" s="143">
        <v>0</v>
      </c>
      <c r="S45" s="143">
        <v>0</v>
      </c>
      <c r="T45" s="143">
        <v>0</v>
      </c>
      <c r="U45" s="143">
        <v>0</v>
      </c>
      <c r="V45" s="143">
        <v>0</v>
      </c>
      <c r="W45" s="143">
        <v>0</v>
      </c>
      <c r="X45" s="143">
        <v>0</v>
      </c>
      <c r="Y45" s="143">
        <v>0</v>
      </c>
      <c r="Z45" s="143">
        <v>0</v>
      </c>
      <c r="AA45" s="143">
        <v>0</v>
      </c>
      <c r="AB45" s="143">
        <v>0</v>
      </c>
      <c r="AC45" s="143">
        <v>0</v>
      </c>
      <c r="AD45" s="143">
        <v>0</v>
      </c>
      <c r="AE45" s="143">
        <v>0</v>
      </c>
      <c r="AF45" s="143">
        <v>0</v>
      </c>
      <c r="AG45" s="143">
        <v>0</v>
      </c>
      <c r="AH45" s="143">
        <v>0</v>
      </c>
      <c r="AI45" s="143">
        <v>0</v>
      </c>
      <c r="AJ45" s="143">
        <v>0</v>
      </c>
      <c r="AK45" s="143">
        <v>0</v>
      </c>
      <c r="AL45" s="143">
        <v>0</v>
      </c>
      <c r="AM45" s="143">
        <v>0</v>
      </c>
      <c r="AN45" s="143">
        <v>0</v>
      </c>
      <c r="AO45" s="143">
        <v>0</v>
      </c>
      <c r="AP45" s="143">
        <v>0</v>
      </c>
      <c r="AQ45" s="144">
        <v>0</v>
      </c>
    </row>
    <row r="46" spans="2:43" ht="12" customHeight="1" x14ac:dyDescent="0.3">
      <c r="B46" s="142" t="s">
        <v>35</v>
      </c>
      <c r="C46" s="143" t="s">
        <v>33</v>
      </c>
      <c r="D46" s="143" t="s">
        <v>25</v>
      </c>
      <c r="E46" s="143" t="s">
        <v>25</v>
      </c>
      <c r="F46" s="143" t="s">
        <v>25</v>
      </c>
      <c r="G46" s="143" t="s">
        <v>34</v>
      </c>
      <c r="H46" s="143" t="s">
        <v>72</v>
      </c>
      <c r="I46" s="143" t="s">
        <v>25</v>
      </c>
      <c r="J46" s="143">
        <v>0</v>
      </c>
      <c r="K46" s="143">
        <v>0</v>
      </c>
      <c r="L46" s="143">
        <v>0</v>
      </c>
      <c r="M46" s="143">
        <v>0</v>
      </c>
      <c r="N46" s="143">
        <v>0</v>
      </c>
      <c r="O46" s="143">
        <v>0</v>
      </c>
      <c r="P46" s="143">
        <v>0</v>
      </c>
      <c r="Q46" s="143">
        <v>0</v>
      </c>
      <c r="R46" s="143">
        <v>0</v>
      </c>
      <c r="S46" s="143">
        <v>0</v>
      </c>
      <c r="T46" s="143">
        <v>0</v>
      </c>
      <c r="U46" s="143">
        <v>0</v>
      </c>
      <c r="V46" s="143">
        <v>0</v>
      </c>
      <c r="W46" s="143">
        <v>0</v>
      </c>
      <c r="X46" s="143">
        <v>0</v>
      </c>
      <c r="Y46" s="143">
        <v>0</v>
      </c>
      <c r="Z46" s="143">
        <v>0</v>
      </c>
      <c r="AA46" s="143">
        <v>0</v>
      </c>
      <c r="AB46" s="143">
        <v>0</v>
      </c>
      <c r="AC46" s="143">
        <v>0</v>
      </c>
      <c r="AD46" s="143">
        <v>0</v>
      </c>
      <c r="AE46" s="143">
        <v>0</v>
      </c>
      <c r="AF46" s="143">
        <v>0</v>
      </c>
      <c r="AG46" s="143">
        <v>0</v>
      </c>
      <c r="AH46" s="143">
        <v>0</v>
      </c>
      <c r="AI46" s="143">
        <v>0</v>
      </c>
      <c r="AJ46" s="143">
        <v>0</v>
      </c>
      <c r="AK46" s="143">
        <v>0</v>
      </c>
      <c r="AL46" s="143">
        <v>0</v>
      </c>
      <c r="AM46" s="143">
        <v>0</v>
      </c>
      <c r="AN46" s="143">
        <v>0</v>
      </c>
      <c r="AO46" s="143">
        <v>0</v>
      </c>
      <c r="AP46" s="143">
        <v>0</v>
      </c>
      <c r="AQ46" s="144">
        <v>0</v>
      </c>
    </row>
    <row r="47" spans="2:43" ht="12" customHeight="1" x14ac:dyDescent="0.3">
      <c r="B47" s="142" t="s">
        <v>35</v>
      </c>
      <c r="C47" s="143" t="s">
        <v>23</v>
      </c>
      <c r="D47" s="143" t="s">
        <v>25</v>
      </c>
      <c r="E47" s="143" t="s">
        <v>25</v>
      </c>
      <c r="F47" s="143" t="s">
        <v>25</v>
      </c>
      <c r="G47" s="143" t="s">
        <v>25</v>
      </c>
      <c r="H47" s="143" t="s">
        <v>72</v>
      </c>
      <c r="I47" s="143" t="s">
        <v>25</v>
      </c>
      <c r="J47" s="143">
        <v>0</v>
      </c>
      <c r="K47" s="143">
        <v>0</v>
      </c>
      <c r="L47" s="143">
        <v>0</v>
      </c>
      <c r="M47" s="143">
        <v>0</v>
      </c>
      <c r="N47" s="143">
        <v>0</v>
      </c>
      <c r="O47" s="143">
        <v>0</v>
      </c>
      <c r="P47" s="143">
        <v>0</v>
      </c>
      <c r="Q47" s="143">
        <v>0</v>
      </c>
      <c r="R47" s="143">
        <v>0</v>
      </c>
      <c r="S47" s="143">
        <v>0</v>
      </c>
      <c r="T47" s="143">
        <v>0</v>
      </c>
      <c r="U47" s="143">
        <v>0</v>
      </c>
      <c r="V47" s="143">
        <v>0</v>
      </c>
      <c r="W47" s="143">
        <v>0</v>
      </c>
      <c r="X47" s="143">
        <v>0</v>
      </c>
      <c r="Y47" s="143">
        <v>0</v>
      </c>
      <c r="Z47" s="143">
        <v>0</v>
      </c>
      <c r="AA47" s="143">
        <v>0</v>
      </c>
      <c r="AB47" s="143">
        <v>0</v>
      </c>
      <c r="AC47" s="143">
        <v>0</v>
      </c>
      <c r="AD47" s="143">
        <v>0</v>
      </c>
      <c r="AE47" s="143">
        <v>0</v>
      </c>
      <c r="AF47" s="143">
        <v>0</v>
      </c>
      <c r="AG47" s="143">
        <v>0</v>
      </c>
      <c r="AH47" s="143">
        <v>0</v>
      </c>
      <c r="AI47" s="143">
        <v>0</v>
      </c>
      <c r="AJ47" s="143">
        <v>0</v>
      </c>
      <c r="AK47" s="143">
        <v>0</v>
      </c>
      <c r="AL47" s="143">
        <v>0</v>
      </c>
      <c r="AM47" s="143">
        <v>0</v>
      </c>
      <c r="AN47" s="143">
        <v>0</v>
      </c>
      <c r="AO47" s="143">
        <v>0</v>
      </c>
      <c r="AP47" s="143">
        <v>0</v>
      </c>
      <c r="AQ47" s="144">
        <v>0</v>
      </c>
    </row>
    <row r="48" spans="2:43" ht="12" customHeight="1" x14ac:dyDescent="0.3">
      <c r="B48" s="142" t="s">
        <v>35</v>
      </c>
      <c r="C48" s="143" t="s">
        <v>87</v>
      </c>
      <c r="D48" s="143" t="s">
        <v>25</v>
      </c>
      <c r="E48" s="143" t="s">
        <v>25</v>
      </c>
      <c r="F48" s="143" t="s">
        <v>25</v>
      </c>
      <c r="G48" s="143" t="s">
        <v>25</v>
      </c>
      <c r="H48" s="143" t="s">
        <v>72</v>
      </c>
      <c r="I48" s="143" t="s">
        <v>25</v>
      </c>
      <c r="J48" s="143">
        <v>0</v>
      </c>
      <c r="K48" s="143">
        <v>0</v>
      </c>
      <c r="L48" s="143">
        <v>0</v>
      </c>
      <c r="M48" s="143">
        <v>0</v>
      </c>
      <c r="N48" s="143">
        <v>0</v>
      </c>
      <c r="O48" s="143">
        <v>0</v>
      </c>
      <c r="P48" s="143">
        <v>0</v>
      </c>
      <c r="Q48" s="143">
        <v>0</v>
      </c>
      <c r="R48" s="143">
        <v>0</v>
      </c>
      <c r="S48" s="143">
        <v>0</v>
      </c>
      <c r="T48" s="143">
        <v>0</v>
      </c>
      <c r="U48" s="143">
        <v>0</v>
      </c>
      <c r="V48" s="143">
        <v>0</v>
      </c>
      <c r="W48" s="143">
        <v>0</v>
      </c>
      <c r="X48" s="143">
        <v>0</v>
      </c>
      <c r="Y48" s="143">
        <v>0</v>
      </c>
      <c r="Z48" s="143">
        <v>0</v>
      </c>
      <c r="AA48" s="143">
        <v>0</v>
      </c>
      <c r="AB48" s="143">
        <v>0</v>
      </c>
      <c r="AC48" s="143">
        <v>0</v>
      </c>
      <c r="AD48" s="143">
        <v>0</v>
      </c>
      <c r="AE48" s="143">
        <v>0</v>
      </c>
      <c r="AF48" s="143">
        <v>0</v>
      </c>
      <c r="AG48" s="143">
        <v>0</v>
      </c>
      <c r="AH48" s="143">
        <v>0</v>
      </c>
      <c r="AI48" s="143">
        <v>0</v>
      </c>
      <c r="AJ48" s="143">
        <v>0</v>
      </c>
      <c r="AK48" s="143">
        <v>0</v>
      </c>
      <c r="AL48" s="143">
        <v>0</v>
      </c>
      <c r="AM48" s="143">
        <v>0</v>
      </c>
      <c r="AN48" s="143">
        <v>0</v>
      </c>
      <c r="AO48" s="143">
        <v>0</v>
      </c>
      <c r="AP48" s="143">
        <v>0</v>
      </c>
      <c r="AQ48" s="144">
        <v>0</v>
      </c>
    </row>
    <row r="49" spans="2:43" ht="12" customHeight="1" x14ac:dyDescent="0.3">
      <c r="B49" s="142" t="s">
        <v>46</v>
      </c>
      <c r="C49" s="143" t="s">
        <v>23</v>
      </c>
      <c r="D49" s="143" t="s">
        <v>47</v>
      </c>
      <c r="E49" s="143" t="s">
        <v>48</v>
      </c>
      <c r="F49" s="143" t="s">
        <v>25</v>
      </c>
      <c r="G49" s="143" t="s">
        <v>25</v>
      </c>
      <c r="H49" s="143" t="s">
        <v>72</v>
      </c>
      <c r="I49" s="143" t="s">
        <v>25</v>
      </c>
      <c r="J49" s="143">
        <v>0</v>
      </c>
      <c r="K49" s="143">
        <v>0</v>
      </c>
      <c r="L49" s="143">
        <v>0</v>
      </c>
      <c r="M49" s="143">
        <v>0</v>
      </c>
      <c r="N49" s="143">
        <v>0</v>
      </c>
      <c r="O49" s="143">
        <v>0</v>
      </c>
      <c r="P49" s="143">
        <v>0</v>
      </c>
      <c r="Q49" s="143">
        <v>0</v>
      </c>
      <c r="R49" s="143">
        <v>0</v>
      </c>
      <c r="S49" s="143">
        <v>0</v>
      </c>
      <c r="T49" s="143">
        <v>0</v>
      </c>
      <c r="U49" s="143">
        <v>0</v>
      </c>
      <c r="V49" s="143">
        <v>0</v>
      </c>
      <c r="W49" s="143">
        <v>0</v>
      </c>
      <c r="X49" s="143">
        <v>0</v>
      </c>
      <c r="Y49" s="143">
        <v>0</v>
      </c>
      <c r="Z49" s="143">
        <v>0</v>
      </c>
      <c r="AA49" s="143">
        <v>0</v>
      </c>
      <c r="AB49" s="143">
        <v>0</v>
      </c>
      <c r="AC49" s="143">
        <v>0</v>
      </c>
      <c r="AD49" s="143">
        <v>0</v>
      </c>
      <c r="AE49" s="143">
        <v>0</v>
      </c>
      <c r="AF49" s="143">
        <v>0</v>
      </c>
      <c r="AG49" s="143">
        <v>0</v>
      </c>
      <c r="AH49" s="143">
        <v>0</v>
      </c>
      <c r="AI49" s="143">
        <v>0</v>
      </c>
      <c r="AJ49" s="143">
        <v>0</v>
      </c>
      <c r="AK49" s="143">
        <v>0</v>
      </c>
      <c r="AL49" s="143">
        <v>0</v>
      </c>
      <c r="AM49" s="143">
        <v>0</v>
      </c>
      <c r="AN49" s="143">
        <v>0</v>
      </c>
      <c r="AO49" s="143">
        <v>0</v>
      </c>
      <c r="AP49" s="143">
        <v>0</v>
      </c>
      <c r="AQ49" s="144">
        <v>0</v>
      </c>
    </row>
    <row r="50" spans="2:43" ht="12" customHeight="1" x14ac:dyDescent="0.3">
      <c r="B50" s="145" t="s">
        <v>46</v>
      </c>
      <c r="C50" s="146" t="s">
        <v>23</v>
      </c>
      <c r="D50" s="146" t="s">
        <v>47</v>
      </c>
      <c r="E50" s="146" t="s">
        <v>90</v>
      </c>
      <c r="F50" s="146" t="s">
        <v>25</v>
      </c>
      <c r="G50" s="146" t="s">
        <v>25</v>
      </c>
      <c r="H50" s="146" t="s">
        <v>72</v>
      </c>
      <c r="I50" s="146" t="s">
        <v>25</v>
      </c>
      <c r="J50" s="146">
        <v>0</v>
      </c>
      <c r="K50" s="146">
        <v>0</v>
      </c>
      <c r="L50" s="146">
        <v>0</v>
      </c>
      <c r="M50" s="146">
        <v>0</v>
      </c>
      <c r="N50" s="146">
        <v>0</v>
      </c>
      <c r="O50" s="146">
        <v>0</v>
      </c>
      <c r="P50" s="146">
        <v>0</v>
      </c>
      <c r="Q50" s="146">
        <v>0</v>
      </c>
      <c r="R50" s="146">
        <v>0</v>
      </c>
      <c r="S50" s="146">
        <v>0</v>
      </c>
      <c r="T50" s="146">
        <v>0</v>
      </c>
      <c r="U50" s="146">
        <v>0</v>
      </c>
      <c r="V50" s="146">
        <v>0</v>
      </c>
      <c r="W50" s="146">
        <v>0</v>
      </c>
      <c r="X50" s="146">
        <v>0</v>
      </c>
      <c r="Y50" s="146">
        <v>0</v>
      </c>
      <c r="Z50" s="146">
        <v>0</v>
      </c>
      <c r="AA50" s="146">
        <v>0</v>
      </c>
      <c r="AB50" s="146">
        <v>0</v>
      </c>
      <c r="AC50" s="146">
        <v>0</v>
      </c>
      <c r="AD50" s="146">
        <v>0</v>
      </c>
      <c r="AE50" s="146">
        <v>0</v>
      </c>
      <c r="AF50" s="146">
        <v>0</v>
      </c>
      <c r="AG50" s="146">
        <v>0</v>
      </c>
      <c r="AH50" s="146">
        <v>0</v>
      </c>
      <c r="AI50" s="146">
        <v>0</v>
      </c>
      <c r="AJ50" s="146">
        <v>0</v>
      </c>
      <c r="AK50" s="146">
        <v>0</v>
      </c>
      <c r="AL50" s="146">
        <v>0</v>
      </c>
      <c r="AM50" s="146">
        <v>0</v>
      </c>
      <c r="AN50" s="146">
        <v>0</v>
      </c>
      <c r="AO50" s="146">
        <v>0</v>
      </c>
      <c r="AP50" s="146">
        <v>0</v>
      </c>
      <c r="AQ50" s="147">
        <v>0</v>
      </c>
    </row>
  </sheetData>
  <mergeCells count="8">
    <mergeCell ref="L1:AG1"/>
    <mergeCell ref="AH1:AQ1"/>
    <mergeCell ref="L2:S2"/>
    <mergeCell ref="T2:Z2"/>
    <mergeCell ref="AB2:AC2"/>
    <mergeCell ref="AD2:AG2"/>
    <mergeCell ref="AH2:AK2"/>
    <mergeCell ref="AM2:AP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2022-04-12T14:08:42Z</dcterms:created>
  <dcterms:modified xsi:type="dcterms:W3CDTF">2022-04-19T23:29:30Z</dcterms:modified>
</cp:coreProperties>
</file>